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<sst xmlns="http://schemas.openxmlformats.org/spreadsheetml/2006/main" count="6804" uniqueCount="6802">
  <si>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</si>
  <si>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</si>
  <si>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</si>
  <si>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</si>
  <si>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15:54:47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</si>
  <si>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</si>
  <si>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</si>
  <si>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</si>
  <si>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</si>
  <si>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</si>
  <si>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</si>
  <si>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</si>
  <si>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</si>
  <si>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</si>
  <si>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</si>
  <si>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</si>
  <si>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1:57:24 pm</t>
  </si>
  <si>
    <t>23/05/2023, 1:57:25 pm</t>
  </si>
  <si>
    <t>23/05/2023, 1:57:26 pm</t>
  </si>
  <si>
    <t>23/05/2023, 1:57:27 pm</t>
  </si>
  <si>
    <t>23/05/2023, 1:57:28 pm</t>
  </si>
  <si>
    <t>23/05/2023, 1:57:29 pm</t>
  </si>
  <si>
    <t>23/05/2023, 1:57:30 pm</t>
  </si>
  <si>
    <t>23/05/2023, 1:57:31 pm</t>
  </si>
  <si>
    <t>23/05/2023, 1:57:32 pm</t>
  </si>
  <si>
    <t>23/05/2023, 1:57:33 pm</t>
  </si>
  <si>
    <t>23/05/2023, 1:57:34 pm</t>
  </si>
  <si>
    <t>23/05/2023, 1:57:35 pm</t>
  </si>
  <si>
    <t>23/05/2023, 1:57:36 pm</t>
  </si>
  <si>
    <t>23/05/2023, 1:57:37 pm</t>
  </si>
  <si>
    <t>23/05/2023, 1:57:38 pm</t>
  </si>
  <si>
    <t>23/05/2023, 1:57:39 pm</t>
  </si>
  <si>
    <t>23/05/2023, 1:57:40 pm</t>
  </si>
  <si>
    <t>23/05/2023, 1:57:41 pm</t>
  </si>
  <si>
    <t>23/05/2023, 1:57:42 pm</t>
  </si>
  <si>
    <t>23/05/2023, 1:57:43 pm</t>
  </si>
  <si>
    <t>23/05/2023, 1:57:44 pm</t>
  </si>
  <si>
    <t>23/05/2023, 1:57:45 pm</t>
  </si>
  <si>
    <t>23/05/2023, 1:57:46 pm</t>
  </si>
  <si>
    <t>23/05/2023, 1:57:47 pm</t>
  </si>
  <si>
    <t>23/05/2023, 1:57:48 pm</t>
  </si>
  <si>
    <t>23/05/2023, 1:57:49 pm</t>
  </si>
  <si>
    <t>23/05/2023, 1:57:50 pm</t>
  </si>
  <si>
    <t>23/05/2023, 1:57:51 pm</t>
  </si>
  <si>
    <t>23/05/2023, 1:57:52 pm</t>
  </si>
  <si>
    <t>23/05/2023, 1:57:53 pm</t>
  </si>
  <si>
    <t>23/05/2023, 1:57:54 pm</t>
  </si>
  <si>
    <t>23/05/2023, 1:57:55 pm</t>
  </si>
  <si>
    <t>23/05/2023, 1:57:56 pm</t>
  </si>
  <si>
    <t>23/05/2023, 1:57:57 pm</t>
  </si>
  <si>
    <t>23/05/2023, 1:57:58 pm</t>
  </si>
  <si>
    <t>23/05/2023, 1:57:59 pm</t>
  </si>
  <si>
    <t>23/05/2023, 1:58:00 pm</t>
  </si>
  <si>
    <t>23/05/2023, 1:58:01 pm</t>
  </si>
  <si>
    <t>23/05/2023, 1:58:02 pm</t>
  </si>
  <si>
    <t>23/05/2023, 1:58:03 pm</t>
  </si>
  <si>
    <t>23/05/2023, 1:58:04 pm</t>
  </si>
  <si>
    <t>23/05/2023, 1:58:05 pm</t>
  </si>
  <si>
    <t>23/05/2023, 1:58:06 pm</t>
  </si>
  <si>
    <t>23/05/2023, 1:58:07 pm</t>
  </si>
  <si>
    <t>23/05/2023, 1:58:08 pm</t>
  </si>
  <si>
    <t>23/05/2023, 1:58:09 pm</t>
  </si>
  <si>
    <t>23/05/2023, 1:58:10 pm</t>
  </si>
  <si>
    <t>23/05/2023, 1:58:11 pm</t>
  </si>
  <si>
    <t>23/05/2023, 1:58:12 pm</t>
  </si>
  <si>
    <t>23/05/2023, 1:58:13 pm</t>
  </si>
  <si>
    <t>23/05/2023, 1:58:14 pm</t>
  </si>
  <si>
    <t>23/05/2023, 1:58:15 pm</t>
  </si>
  <si>
    <t>23/05/2023, 1:58:16 pm</t>
  </si>
  <si>
    <t>23/05/2023, 1:58:17 pm</t>
  </si>
  <si>
    <t>23/05/2023, 1:58:18 pm</t>
  </si>
  <si>
    <t>23/05/2023, 1:58:19 pm</t>
  </si>
  <si>
    <t>23/05/2023, 1:58:20 pm</t>
  </si>
  <si>
    <t>23/05/2023, 1:58:21 pm</t>
  </si>
  <si>
    <t>23/05/2023, 1:58:22 pm</t>
  </si>
  <si>
    <t>23/05/2023, 1:58:23 pm</t>
  </si>
  <si>
    <t>23/05/2023, 1:58:24 pm</t>
  </si>
  <si>
    <t>23/05/2023, 1:58:25 pm</t>
  </si>
  <si>
    <t>23/05/2023, 1:58:26 pm</t>
  </si>
  <si>
    <t>23/05/2023, 1:58:27 pm</t>
  </si>
  <si>
    <t>23/05/2023, 1:58:28 pm</t>
  </si>
  <si>
    <t>23/05/2023, 1:58:29 pm</t>
  </si>
  <si>
    <t>23/05/2023, 1:58:30 pm</t>
  </si>
  <si>
    <t>23/05/2023, 1:58:31 pm</t>
  </si>
  <si>
    <t>23/05/2023, 1:58:32 pm</t>
  </si>
  <si>
    <t>23/05/2023, 1:58:33 pm</t>
  </si>
  <si>
    <t>23/05/2023, 1:58:34 pm</t>
  </si>
  <si>
    <t>23/05/2023, 1:58:35 pm</t>
  </si>
  <si>
    <t>23/05/2023, 1:58:36 pm</t>
  </si>
  <si>
    <t>23/05/2023, 1:58:37 pm</t>
  </si>
  <si>
    <t>23/05/2023, 1:58:38 pm</t>
  </si>
  <si>
    <t>23/05/2023, 1:58:39 pm</t>
  </si>
  <si>
    <t>23/05/2023, 1:58:40 pm</t>
  </si>
  <si>
    <t>23/05/2023, 1:58:41 pm</t>
  </si>
  <si>
    <t>23/05/2023, 1:58:42 pm</t>
  </si>
  <si>
    <t>23/05/2023, 1:58:43 pm</t>
  </si>
  <si>
    <t>23/05/2023, 1:58:44 pm</t>
  </si>
  <si>
    <t>23/05/2023, 1:58:45 pm</t>
  </si>
  <si>
    <t>23/05/2023, 1:58:46 pm</t>
  </si>
  <si>
    <t>23/05/2023, 1:58:47 pm</t>
  </si>
  <si>
    <t>23/05/2023, 1:58:48 pm</t>
  </si>
  <si>
    <t>23/05/2023, 1:58:49 pm</t>
  </si>
  <si>
    <t>23/05/2023, 1:58:50 pm</t>
  </si>
  <si>
    <t>23/05/2023, 1:58:51 pm</t>
  </si>
  <si>
    <t>23/05/2023, 1:58:52 pm</t>
  </si>
  <si>
    <t>23/05/2023, 1:58:53 pm</t>
  </si>
  <si>
    <t>23/05/2023, 1:58:54 pm</t>
  </si>
  <si>
    <t>23/05/2023, 1:58:55 pm</t>
  </si>
  <si>
    <t>23/05/2023, 1:58:56 pm</t>
  </si>
  <si>
    <t>23/05/2023, 1:58:57 pm</t>
  </si>
  <si>
    <t>23/05/2023, 1:58:58 pm</t>
  </si>
  <si>
    <t>23/05/2023, 1:58:59 pm</t>
  </si>
  <si>
    <t>23/05/2023, 1:59:00 pm</t>
  </si>
  <si>
    <t>23/05/2023, 1:59:01 pm</t>
  </si>
  <si>
    <t>23/05/2023, 1:59:02 pm</t>
  </si>
  <si>
    <t>23/05/2023, 1:59:03 pm</t>
  </si>
  <si>
    <t>23/05/2023, 1:59:04 pm</t>
  </si>
  <si>
    <t>23/05/2023, 1:59:05 pm</t>
  </si>
  <si>
    <t>23/05/2023, 1:59:06 pm</t>
  </si>
  <si>
    <t>23/05/2023, 1:59:08 pm</t>
  </si>
  <si>
    <t>23/05/2023, 1:59:09 pm</t>
  </si>
  <si>
    <t>23/05/2023, 1:59:10 pm</t>
  </si>
  <si>
    <t>23/05/2023, 1:59:11 pm</t>
  </si>
  <si>
    <t>23/05/2023, 1:59:12 pm</t>
  </si>
  <si>
    <t>23/05/2023, 1:59:13 pm</t>
  </si>
  <si>
    <t>23/05/2023, 1:59:14 pm</t>
  </si>
  <si>
    <t>23/05/2023, 1:59:15 pm</t>
  </si>
  <si>
    <t>23/05/2023, 1:59:16 pm</t>
  </si>
  <si>
    <t>23/05/2023, 1:59:17 pm</t>
  </si>
  <si>
    <t>23/05/2023, 1:59:18 pm</t>
  </si>
  <si>
    <t>23/05/2023, 1:59:19 pm</t>
  </si>
  <si>
    <t>23/05/2023, 1:59:20 pm</t>
  </si>
  <si>
    <t>23/05/2023, 1:59:21 pm</t>
  </si>
  <si>
    <t>23/05/2023, 1:59:22 pm</t>
  </si>
  <si>
    <t>23/05/2023, 1:59:23 pm</t>
  </si>
  <si>
    <t>23/05/2023, 1:59:24 pm</t>
  </si>
  <si>
    <t>23/05/2023, 1:59:25 pm</t>
  </si>
  <si>
    <t>23/05/2023, 1:59:26 pm</t>
  </si>
  <si>
    <t>23/05/2023, 1:59:27 pm</t>
  </si>
  <si>
    <t>23/05/2023, 1:59:28 pm</t>
  </si>
  <si>
    <t>23/05/2023, 1:59:29 pm</t>
  </si>
  <si>
    <t>23/05/2023, 1:59:30 pm</t>
  </si>
  <si>
    <t>23/05/2023, 1:59:31 pm</t>
  </si>
  <si>
    <t>23/05/2023, 1:59:32 pm</t>
  </si>
  <si>
    <t>23/05/2023, 1:59:33 pm</t>
  </si>
  <si>
    <t>23/05/2023, 1:59:34 pm</t>
  </si>
  <si>
    <t>23/05/2023, 1:59:35 pm</t>
  </si>
  <si>
    <t>23/05/2023, 1:59:36 pm</t>
  </si>
  <si>
    <t>23/05/2023, 1:59:37 pm</t>
  </si>
  <si>
    <t>23/05/2023, 1:59:38 pm</t>
  </si>
  <si>
    <t>23/05/2023, 1:59:39 pm</t>
  </si>
  <si>
    <t>23/05/2023, 1:59:40 pm</t>
  </si>
  <si>
    <t>23/05/2023, 1:59:41 pm</t>
  </si>
  <si>
    <t>23/05/2023, 1:59:42 pm</t>
  </si>
  <si>
    <t>23/05/2023, 1:59:43 pm</t>
  </si>
  <si>
    <t>23/05/2023, 1:59:44 pm</t>
  </si>
  <si>
    <t>23/05/2023, 1:59:45 pm</t>
  </si>
  <si>
    <t>23/05/2023, 1:59:46 pm</t>
  </si>
  <si>
    <t>23/05/2023, 1:59:47 pm</t>
  </si>
  <si>
    <t>23/05/2023, 1:59:48 pm</t>
  </si>
  <si>
    <t>23/05/2023, 1:59:49 pm</t>
  </si>
  <si>
    <t>23/05/2023, 1:59:50 pm</t>
  </si>
  <si>
    <t>23/05/2023, 1:59:51 pm</t>
  </si>
  <si>
    <t>23/05/2023, 1:59:52 pm</t>
  </si>
  <si>
    <t>23/05/2023, 1:59:53 pm</t>
  </si>
  <si>
    <t>23/05/2023, 1:59:54 pm</t>
  </si>
  <si>
    <t>23/05/2023, 1:59:55 pm</t>
  </si>
  <si>
    <t>23/05/2023, 1:59:56 pm</t>
  </si>
  <si>
    <t>23/05/2023, 1:59:57 pm</t>
  </si>
  <si>
    <t>23/05/2023, 1:59:58 pm</t>
  </si>
  <si>
    <t>23/05/2023, 1:59:59 pm</t>
  </si>
  <si>
    <t>23/05/2023, 2:00:00 pm</t>
  </si>
  <si>
    <t>23/05/2023, 2:00:01 pm</t>
  </si>
  <si>
    <t>23/05/2023, 2:00:02 pm</t>
  </si>
  <si>
    <t>23/05/2023, 2:00:03 pm</t>
  </si>
  <si>
    <t>23/05/2023, 2:00:04 pm</t>
  </si>
  <si>
    <t>23/05/2023, 2:00:05 pm</t>
  </si>
  <si>
    <t>23/05/2023, 2:00:06 pm</t>
  </si>
  <si>
    <t>23/05/2023, 2:00:07 pm</t>
  </si>
  <si>
    <t>23/05/2023, 2:00:08 pm</t>
  </si>
  <si>
    <t>23/05/2023, 2:00:09 pm</t>
  </si>
  <si>
    <t>23/05/2023, 2:00:10 pm</t>
  </si>
  <si>
    <t>23/05/2023, 2:00:11 pm</t>
  </si>
  <si>
    <t>23/05/2023, 2:00:12 pm</t>
  </si>
  <si>
    <t>23/05/2023, 2:00:13 pm</t>
  </si>
  <si>
    <t>23/05/2023, 2:00:14 pm</t>
  </si>
  <si>
    <t>23/05/2023, 2:00:15 pm</t>
  </si>
  <si>
    <t>23/05/2023, 2:00:16 pm</t>
  </si>
  <si>
    <t>23/05/2023, 2:00:17 pm</t>
  </si>
  <si>
    <t>23/05/2023, 2:00:18 pm</t>
  </si>
  <si>
    <t>23/05/2023, 2:00:19 pm</t>
  </si>
  <si>
    <t>23/05/2023, 2:00:20 pm</t>
  </si>
  <si>
    <t>23/05/2023, 2:00:21 pm</t>
  </si>
  <si>
    <t>23/05/2023, 2:00:22 pm</t>
  </si>
  <si>
    <t>23/05/2023, 2:00:23 pm</t>
  </si>
  <si>
    <t>23/05/2023, 2:00:24 pm</t>
  </si>
  <si>
    <t>23/05/2023, 2:00:25 pm</t>
  </si>
  <si>
    <t>23/05/2023, 2:00:26 pm</t>
  </si>
  <si>
    <t>23/05/2023, 2:00:27 pm</t>
  </si>
  <si>
    <t>23/05/2023, 2:00:28 pm</t>
  </si>
  <si>
    <t>23/05/2023, 2:00:29 pm</t>
  </si>
  <si>
    <t>23/05/2023, 2:00:30 pm</t>
  </si>
  <si>
    <t>23/05/2023, 2:00:31 pm</t>
  </si>
  <si>
    <t>23/05/2023, 2:00:32 pm</t>
  </si>
  <si>
    <t>23/05/2023, 2:00:33 pm</t>
  </si>
  <si>
    <t>23/05/2023, 2:00:34 pm</t>
  </si>
  <si>
    <t>23/05/2023, 2:00:35 pm</t>
  </si>
  <si>
    <t>23/05/2023, 2:00:36 pm</t>
  </si>
  <si>
    <t>23/05/2023, 2:00:37 pm</t>
  </si>
  <si>
    <t>23/05/2023, 2:00:38 pm</t>
  </si>
  <si>
    <t>23/05/2023, 2:00:39 pm</t>
  </si>
  <si>
    <t>23/05/2023, 2:00:40 pm</t>
  </si>
  <si>
    <t>23/05/2023, 2:00:41 pm</t>
  </si>
  <si>
    <t>23/05/2023, 2:00:42 pm</t>
  </si>
  <si>
    <t>23/05/2023, 2:00:43 pm</t>
  </si>
  <si>
    <t>23/05/2023, 2:00:44 pm</t>
  </si>
  <si>
    <t>23/05/2023, 2:00:45 pm</t>
  </si>
  <si>
    <t>23/05/2023, 2:00:46 pm</t>
  </si>
  <si>
    <t>23/05/2023, 2:00:47 pm</t>
  </si>
  <si>
    <t>23/05/2023, 2:00:48 pm</t>
  </si>
  <si>
    <t>23/05/2023, 2:00:49 pm</t>
  </si>
  <si>
    <t>23/05/2023, 2:00:50 pm</t>
  </si>
  <si>
    <t>23/05/2023, 2:00:51 pm</t>
  </si>
  <si>
    <t>23/05/2023, 2:00:52 pm</t>
  </si>
  <si>
    <t>23/05/2023, 2:00:53 pm</t>
  </si>
  <si>
    <t>23/05/2023, 2:00:54 pm</t>
  </si>
  <si>
    <t>23/05/2023, 2:00:55 pm</t>
  </si>
  <si>
    <t>23/05/2023, 2:00:56 pm</t>
  </si>
  <si>
    <t>23/05/2023, 2:00:57 pm</t>
  </si>
  <si>
    <t>23/05/2023, 2:00:58 pm</t>
  </si>
  <si>
    <t>23/05/2023, 2:00:59 pm</t>
  </si>
  <si>
    <t>23/05/2023, 2:01:00 pm</t>
  </si>
  <si>
    <t>23/05/2023, 2:01:01 pm</t>
  </si>
  <si>
    <t>23/05/2023, 2:01:02 pm</t>
  </si>
  <si>
    <t>23/05/2023, 2:01:03 pm</t>
  </si>
  <si>
    <t>23/05/2023, 2:01:04 pm</t>
  </si>
  <si>
    <t>23/05/2023, 2:01:05 pm</t>
  </si>
  <si>
    <t>23/05/2023, 2:01:06 pm</t>
  </si>
  <si>
    <t>23/05/2023, 2:01:07 pm</t>
  </si>
  <si>
    <t>23/05/2023, 2:01:09 pm</t>
  </si>
  <si>
    <t>23/05/2023, 2:01:10 pm</t>
  </si>
  <si>
    <t>23/05/2023, 2:01:11 pm</t>
  </si>
  <si>
    <t>23/05/2023, 2:01:12 pm</t>
  </si>
  <si>
    <t>23/05/2023, 2:01:13 pm</t>
  </si>
  <si>
    <t>23/05/2023, 2:01:14 pm</t>
  </si>
  <si>
    <t>23/05/2023, 2:01:15 pm</t>
  </si>
  <si>
    <t>23/05/2023, 2:01:16 pm</t>
  </si>
  <si>
    <t>23/05/2023, 2:01:17 pm</t>
  </si>
  <si>
    <t>23/05/2023, 2:01:18 pm</t>
  </si>
  <si>
    <t>23/05/2023, 2:01:19 pm</t>
  </si>
  <si>
    <t>23/05/2023, 2:01:20 pm</t>
  </si>
  <si>
    <t>23/05/2023, 2:01:21 pm</t>
  </si>
  <si>
    <t>23/05/2023, 2:01:22 pm</t>
  </si>
  <si>
    <t>23/05/2023, 2:01:23 pm</t>
  </si>
  <si>
    <t>23/05/2023, 2:01:24 pm</t>
  </si>
  <si>
    <t>23/05/2023, 2:01:25 pm</t>
  </si>
  <si>
    <t>23/05/2023, 2:01:26 pm</t>
  </si>
  <si>
    <t>23/05/2023, 2:01:27 pm</t>
  </si>
  <si>
    <t>23/05/2023, 2:01:28 pm</t>
  </si>
  <si>
    <t>23/05/2023, 2:01:29 pm</t>
  </si>
  <si>
    <t>23/05/2023, 2:01:30 pm</t>
  </si>
  <si>
    <t>23/05/2023, 2:01:31 pm</t>
  </si>
  <si>
    <t>23/05/2023, 2:01:32 pm</t>
  </si>
  <si>
    <t>23/05/2023, 2:01:33 pm</t>
  </si>
  <si>
    <t>23/05/2023, 2:01:34 pm</t>
  </si>
  <si>
    <t>23/05/2023, 2:01:35 pm</t>
  </si>
  <si>
    <t>23/05/2023, 2:01:36 pm</t>
  </si>
  <si>
    <t>23/05/2023, 2:01:37 pm</t>
  </si>
  <si>
    <t>23/05/2023, 2:01:38 pm</t>
  </si>
  <si>
    <t>23/05/2023, 2:01:39 pm</t>
  </si>
  <si>
    <t>23/05/2023, 2:01:40 pm</t>
  </si>
  <si>
    <t>23/05/2023, 2:01:41 pm</t>
  </si>
  <si>
    <t>23/05/2023, 2:01:42 pm</t>
  </si>
  <si>
    <t>23/05/2023, 2:01:43 pm</t>
  </si>
  <si>
    <t>23/05/2023, 2:01:44 pm</t>
  </si>
  <si>
    <t>23/05/2023, 2:01:45 pm</t>
  </si>
  <si>
    <t>23/05/2023, 2:01:46 pm</t>
  </si>
  <si>
    <t>23/05/2023, 2:01:47 pm</t>
  </si>
  <si>
    <t>23/05/2023, 2:01:48 pm</t>
  </si>
  <si>
    <t>23/05/2023, 2:01:49 pm</t>
  </si>
  <si>
    <t>23/05/2023, 2:01:50 pm</t>
  </si>
  <si>
    <t>23/05/2023, 2:01:51 pm</t>
  </si>
  <si>
    <t>23/05/2023, 2:01:52 pm</t>
  </si>
  <si>
    <t>23/05/2023, 2:01:53 pm</t>
  </si>
  <si>
    <t>23/05/2023, 2:01:54 pm</t>
  </si>
  <si>
    <t>23/05/2023, 2:01:55 pm</t>
  </si>
  <si>
    <t>23/05/2023, 2:01:56 pm</t>
  </si>
  <si>
    <t>23/05/2023, 2:01:57 pm</t>
  </si>
  <si>
    <t>23/05/2023, 2:01:58 pm</t>
  </si>
  <si>
    <t>23/05/2023, 2:01:59 pm</t>
  </si>
  <si>
    <t>23/05/2023, 2:02:00 pm</t>
  </si>
  <si>
    <t>23/05/2023, 2:02:01 pm</t>
  </si>
  <si>
    <t>23/05/2023, 2:02:02 pm</t>
  </si>
  <si>
    <t>23/05/2023, 2:02:03 pm</t>
  </si>
  <si>
    <t>23/05/2023, 2:02:04 pm</t>
  </si>
  <si>
    <t>23/05/2023, 2:02:05 pm</t>
  </si>
  <si>
    <t>23/05/2023, 2:02:06 pm</t>
  </si>
  <si>
    <t>23/05/2023, 2:02:07 pm</t>
  </si>
  <si>
    <t>23/05/2023, 2:02:08 pm</t>
  </si>
  <si>
    <t>23/05/2023, 2:02:09 pm</t>
  </si>
  <si>
    <t>23/05/2023, 2:02:10 pm</t>
  </si>
  <si>
    <t>23/05/2023, 2:02:11 pm</t>
  </si>
  <si>
    <t>23/05/2023, 2:02:12 pm</t>
  </si>
  <si>
    <t>23/05/2023, 2:02:13 pm</t>
  </si>
  <si>
    <t>23/05/2023, 2:02:14 pm</t>
  </si>
  <si>
    <t>23/05/2023, 2:02:15 pm</t>
  </si>
  <si>
    <t>23/05/2023, 2:02:16 pm</t>
  </si>
  <si>
    <t>23/05/2023, 2:02:17 pm</t>
  </si>
  <si>
    <t>23/05/2023, 2:02:18 pm</t>
  </si>
  <si>
    <t>23/05/2023, 2:02:19 pm</t>
  </si>
  <si>
    <t>23/05/2023, 2:02:20 pm</t>
  </si>
  <si>
    <t>23/05/2023, 2:02:21 pm</t>
  </si>
  <si>
    <t>23/05/2023, 2:02:22 pm</t>
  </si>
  <si>
    <t>23/05/2023, 2:02:23 pm</t>
  </si>
  <si>
    <t>23/05/2023, 2:02:24 pm</t>
  </si>
  <si>
    <t>23/05/2023, 2:02:25 pm</t>
  </si>
  <si>
    <t>23/05/2023, 2:02:26 pm</t>
  </si>
  <si>
    <t>23/05/2023, 2:02:27 pm</t>
  </si>
  <si>
    <t>23/05/2023, 2:02:28 pm</t>
  </si>
  <si>
    <t>23/05/2023, 2:02:29 pm</t>
  </si>
  <si>
    <t>23/05/2023, 2:02:30 pm</t>
  </si>
  <si>
    <t>23/05/2023, 2:02:31 pm</t>
  </si>
  <si>
    <t>23/05/2023, 2:02:32 pm</t>
  </si>
  <si>
    <t>23/05/2023, 2:02:33 pm</t>
  </si>
  <si>
    <t>23/05/2023, 2:02:34 pm</t>
  </si>
  <si>
    <t>23/05/2023, 2:02:35 pm</t>
  </si>
  <si>
    <t>23/05/2023, 2:02:36 pm</t>
  </si>
  <si>
    <t>23/05/2023, 2:02:37 pm</t>
  </si>
  <si>
    <t>23/05/2023, 2:02:38 pm</t>
  </si>
  <si>
    <t>23/05/2023, 2:02:39 pm</t>
  </si>
  <si>
    <t>23/05/2023, 2:02:40 pm</t>
  </si>
  <si>
    <t>23/05/2023, 2:02:41 pm</t>
  </si>
  <si>
    <t>23/05/2023, 2:02:42 pm</t>
  </si>
  <si>
    <t>23/05/2023, 2:02:43 pm</t>
  </si>
  <si>
    <t>23/05/2023, 2:02:44 pm</t>
  </si>
  <si>
    <t>23/05/2023, 2:02:45 pm</t>
  </si>
  <si>
    <t>23/05/2023, 2:02:46 pm</t>
  </si>
  <si>
    <t>23/05/2023, 2:02:47 pm</t>
  </si>
  <si>
    <t>23/05/2023, 2:02:48 pm</t>
  </si>
  <si>
    <t>23/05/2023, 2:02:49 pm</t>
  </si>
  <si>
    <t>23/05/2023, 2:02:50 pm</t>
  </si>
  <si>
    <t>23/05/2023, 2:02:51 pm</t>
  </si>
  <si>
    <t>23/05/2023, 2:02:52 pm</t>
  </si>
  <si>
    <t>23/05/2023, 2:02:53 pm</t>
  </si>
  <si>
    <t>23/05/2023, 2:02:54 pm</t>
  </si>
  <si>
    <t>23/05/2023, 2:02:55 pm</t>
  </si>
  <si>
    <t>23/05/2023, 2:02:56 pm</t>
  </si>
  <si>
    <t>23/05/2023, 2:02:57 pm</t>
  </si>
  <si>
    <t>23/05/2023, 2:02:58 pm</t>
  </si>
  <si>
    <t>23/05/2023, 2:02:59 pm</t>
  </si>
  <si>
    <t>23/05/2023, 2:03:00 pm</t>
  </si>
  <si>
    <t>23/05/2023, 2:03:01 pm</t>
  </si>
  <si>
    <t>23/05/2023, 2:03:02 pm</t>
  </si>
  <si>
    <t>23/05/2023, 2:03:03 pm</t>
  </si>
  <si>
    <t>23/05/2023, 2:03:04 pm</t>
  </si>
  <si>
    <t>23/05/2023, 2:03:05 pm</t>
  </si>
  <si>
    <t>23/05/2023, 2:03:07 pm</t>
  </si>
  <si>
    <t>23/05/2023, 2:03:08 pm</t>
  </si>
  <si>
    <t>23/05/2023, 2:03:09 pm</t>
  </si>
  <si>
    <t>23/05/2023, 2:03:10 pm</t>
  </si>
  <si>
    <t>23/05/2023, 2:03:11 pm</t>
  </si>
  <si>
    <t>23/05/2023, 2:03:12 pm</t>
  </si>
  <si>
    <t>23/05/2023, 2:03:13 pm</t>
  </si>
  <si>
    <t>23/05/2023, 2:03:14 pm</t>
  </si>
  <si>
    <t>23/05/2023, 2:03:15 pm</t>
  </si>
  <si>
    <t>23/05/2023, 2:03:16 pm</t>
  </si>
  <si>
    <t>23/05/2023, 2:03:17 pm</t>
  </si>
  <si>
    <t>23/05/2023, 2:03:18 pm</t>
  </si>
  <si>
    <t>23/05/2023, 2:03:19 pm</t>
  </si>
  <si>
    <t>23/05/2023, 2:03:20 pm</t>
  </si>
  <si>
    <t>23/05/2023, 2:03:21 pm</t>
  </si>
  <si>
    <t>23/05/2023, 2:03:22 pm</t>
  </si>
  <si>
    <t>23/05/2023, 2:03:23 pm</t>
  </si>
  <si>
    <t>23/05/2023, 2:03:24 pm</t>
  </si>
  <si>
    <t>23/05/2023, 2:03:25 pm</t>
  </si>
  <si>
    <t>23/05/2023, 2:03:26 pm</t>
  </si>
  <si>
    <t>23/05/2023, 2:03:27 pm</t>
  </si>
  <si>
    <t>23/05/2023, 2:03:28 pm</t>
  </si>
  <si>
    <t>23/05/2023, 2:03:29 pm</t>
  </si>
  <si>
    <t>23/05/2023, 2:03:30 pm</t>
  </si>
  <si>
    <t>23/05/2023, 2:03:31 pm</t>
  </si>
  <si>
    <t>23/05/2023, 2:03:32 pm</t>
  </si>
  <si>
    <t>23/05/2023, 2:03:33 pm</t>
  </si>
  <si>
    <t>23/05/2023, 2:03:34 pm</t>
  </si>
  <si>
    <t>23/05/2023, 2:03:35 pm</t>
  </si>
  <si>
    <t>23/05/2023, 2:03:36 pm</t>
  </si>
  <si>
    <t>23/05/2023, 2:03:37 pm</t>
  </si>
  <si>
    <t>23/05/2023, 2:03:38 pm</t>
  </si>
  <si>
    <t>23/05/2023, 2:03:39 pm</t>
  </si>
  <si>
    <t>23/05/2023, 2:03:40 pm</t>
  </si>
  <si>
    <t>23/05/2023, 2:03:41 pm</t>
  </si>
  <si>
    <t>23/05/2023, 2:03:42 pm</t>
  </si>
  <si>
    <t>23/05/2023, 2:03:43 pm</t>
  </si>
  <si>
    <t>23/05/2023, 2:03:44 pm</t>
  </si>
  <si>
    <t>23/05/2023, 2:03:45 pm</t>
  </si>
  <si>
    <t>23/05/2023, 2:03:46 pm</t>
  </si>
  <si>
    <t>23/05/2023, 2:03:47 pm</t>
  </si>
  <si>
    <t>23/05/2023, 2:03:48 pm</t>
  </si>
  <si>
    <t>23/05/2023, 2:03:49 pm</t>
  </si>
  <si>
    <t>23/05/2023, 2:03:50 pm</t>
  </si>
  <si>
    <t>23/05/2023, 2:03:51 pm</t>
  </si>
  <si>
    <t>23/05/2023, 2:03:52 pm</t>
  </si>
  <si>
    <t>23/05/2023, 2:03:53 pm</t>
  </si>
  <si>
    <t>23/05/2023, 2:03:54 pm</t>
  </si>
  <si>
    <t>23/05/2023, 2:03:55 pm</t>
  </si>
  <si>
    <t>23/05/2023, 2:03:56 pm</t>
  </si>
  <si>
    <t>23/05/2023, 2:03:57 pm</t>
  </si>
  <si>
    <t>23/05/2023, 2:03:58 pm</t>
  </si>
  <si>
    <t>23/05/2023, 2:03:59 pm</t>
  </si>
  <si>
    <t>23/05/2023, 2:04:00 pm</t>
  </si>
  <si>
    <t>23/05/2023, 2:04:01 pm</t>
  </si>
  <si>
    <t>23/05/2023, 2:04:02 pm</t>
  </si>
  <si>
    <t>23/05/2023, 2:04:03 pm</t>
  </si>
  <si>
    <t>23/05/2023, 2:04:04 pm</t>
  </si>
  <si>
    <t>23/05/2023, 2:04:05 pm</t>
  </si>
  <si>
    <t>23/05/2023, 2:04:06 pm</t>
  </si>
  <si>
    <t>23/05/2023, 2:04:07 pm</t>
  </si>
  <si>
    <t>23/05/2023, 2:04:08 pm</t>
  </si>
  <si>
    <t>23/05/2023, 2:04:09 pm</t>
  </si>
  <si>
    <t>23/05/2023, 2:04:10 pm</t>
  </si>
  <si>
    <t>23/05/2023, 2:04:11 pm</t>
  </si>
  <si>
    <t>23/05/2023, 2:04:12 pm</t>
  </si>
  <si>
    <t>23/05/2023, 2:04:13 pm</t>
  </si>
  <si>
    <t>23/05/2023, 2:04:14 pm</t>
  </si>
  <si>
    <t>23/05/2023, 2:04:15 pm</t>
  </si>
  <si>
    <t>23/05/2023, 2:04:16 pm</t>
  </si>
  <si>
    <t>23/05/2023, 2:04:17 pm</t>
  </si>
  <si>
    <t>23/05/2023, 2:04:18 pm</t>
  </si>
  <si>
    <t>23/05/2023, 2:04:19 pm</t>
  </si>
  <si>
    <t>23/05/2023, 2:04:20 pm</t>
  </si>
  <si>
    <t>23/05/2023, 2:04:21 pm</t>
  </si>
  <si>
    <t>23/05/2023, 2:04:22 pm</t>
  </si>
  <si>
    <t>23/05/2023, 2:04:23 pm</t>
  </si>
  <si>
    <t>23/05/2023, 2:04:24 pm</t>
  </si>
  <si>
    <t>23/05/2023, 2:04:25 pm</t>
  </si>
  <si>
    <t>23/05/2023, 2:04:26 pm</t>
  </si>
  <si>
    <t>23/05/2023, 2:04:27 pm</t>
  </si>
  <si>
    <t>23/05/2023, 2:04:28 pm</t>
  </si>
  <si>
    <t>23/05/2023, 2:04:29 pm</t>
  </si>
  <si>
    <t>23/05/2023, 2:04:30 pm</t>
  </si>
  <si>
    <t>23/05/2023, 2:04:31 pm</t>
  </si>
  <si>
    <t>23/05/2023, 2:04:32 pm</t>
  </si>
  <si>
    <t>23/05/2023, 2:04:33 pm</t>
  </si>
  <si>
    <t>23/05/2023, 2:04:34 pm</t>
  </si>
  <si>
    <t>23/05/2023, 2:04:35 pm</t>
  </si>
  <si>
    <t>23/05/2023, 2:04:36 pm</t>
  </si>
  <si>
    <t>23/05/2023, 2:04:37 pm</t>
  </si>
  <si>
    <t>23/05/2023, 2:04:38 pm</t>
  </si>
  <si>
    <t>23/05/2023, 2:04:39 pm</t>
  </si>
  <si>
    <t>23/05/2023, 2:04:40 pm</t>
  </si>
  <si>
    <t>23/05/2023, 2:04:41 pm</t>
  </si>
  <si>
    <t>23/05/2023, 2:04:42 pm</t>
  </si>
  <si>
    <t>23/05/2023, 2:04:43 pm</t>
  </si>
  <si>
    <t>23/05/2023, 2:04:44 pm</t>
  </si>
  <si>
    <t>23/05/2023, 2:04:45 pm</t>
  </si>
  <si>
    <t>23/05/2023, 2:04:46 pm</t>
  </si>
  <si>
    <t>23/05/2023, 2:04:47 pm</t>
  </si>
  <si>
    <t>23/05/2023, 2:04:48 pm</t>
  </si>
  <si>
    <t>23/05/2023, 2:04:49 pm</t>
  </si>
  <si>
    <t>23/05/2023, 2:04:50 pm</t>
  </si>
  <si>
    <t>23/05/2023, 2:04:51 pm</t>
  </si>
  <si>
    <t>23/05/2023, 2:04:52 pm</t>
  </si>
  <si>
    <t>23/05/2023, 2:04:53 pm</t>
  </si>
  <si>
    <t>23/05/2023, 2:04:54 pm</t>
  </si>
  <si>
    <t>23/05/2023, 2:04:55 pm</t>
  </si>
  <si>
    <t>23/05/2023, 2:04:56 pm</t>
  </si>
  <si>
    <t>23/05/2023, 2:04:57 pm</t>
  </si>
  <si>
    <t>23/05/2023, 2:04:58 pm</t>
  </si>
  <si>
    <t>23/05/2023, 2:04:59 pm</t>
  </si>
  <si>
    <t>23/05/2023, 2:05:00 pm</t>
  </si>
  <si>
    <t>23/05/2023, 2:05:01 pm</t>
  </si>
  <si>
    <t>23/05/2023, 2:05:02 pm</t>
  </si>
  <si>
    <t>23/05/2023, 2:05:03 pm</t>
  </si>
  <si>
    <t>23/05/2023, 2:05:04 pm</t>
  </si>
  <si>
    <t>23/05/2023, 2:05:05 pm</t>
  </si>
  <si>
    <t>23/05/2023, 2:05:06 pm</t>
  </si>
  <si>
    <t>23/05/2023, 2:05:07 pm</t>
  </si>
  <si>
    <t>23/05/2023, 2:05:08 pm</t>
  </si>
  <si>
    <t>23/05/2023, 2:05:09 pm</t>
  </si>
  <si>
    <t>23/05/2023, 2:05:10 pm</t>
  </si>
  <si>
    <t>23/05/2023, 2:05:11 pm</t>
  </si>
  <si>
    <t>23/05/2023, 2:05:12 pm</t>
  </si>
  <si>
    <t>23/05/2023, 2:05:13 pm</t>
  </si>
  <si>
    <t>23/05/2023, 2:05:14 pm</t>
  </si>
  <si>
    <t>23/05/2023, 2:05:15 pm</t>
  </si>
  <si>
    <t>23/05/2023, 2:05:16 pm</t>
  </si>
  <si>
    <t>23/05/2023, 2:05:17 pm</t>
  </si>
  <si>
    <t>23/05/2023, 2:05:19 pm</t>
  </si>
  <si>
    <t>23/05/2023, 2:05:20 pm</t>
  </si>
  <si>
    <t>23/05/2023, 2:05:21 pm</t>
  </si>
  <si>
    <t>23/05/2023, 2:05:22 pm</t>
  </si>
  <si>
    <t>23/05/2023, 2:05:23 pm</t>
  </si>
  <si>
    <t>23/05/2023, 2:05:24 pm</t>
  </si>
  <si>
    <t>23/05/2023, 2:05:25 pm</t>
  </si>
  <si>
    <t>23/05/2023, 2:05:26 pm</t>
  </si>
  <si>
    <t>23/05/2023, 2:05:27 pm</t>
  </si>
  <si>
    <t>23/05/2023, 2:05:28 pm</t>
  </si>
  <si>
    <t>23/05/2023, 2:05:29 pm</t>
  </si>
  <si>
    <t>23/05/2023, 2:05:30 pm</t>
  </si>
  <si>
    <t>23/05/2023, 2:05:31 pm</t>
  </si>
  <si>
    <t>23/05/2023, 2:05:32 pm</t>
  </si>
  <si>
    <t>23/05/2023, 2:05:33 pm</t>
  </si>
  <si>
    <t>23/05/2023, 2:05:34 pm</t>
  </si>
  <si>
    <t>23/05/2023, 2:05:35 pm</t>
  </si>
  <si>
    <t>23/05/2023, 2:05:36 pm</t>
  </si>
  <si>
    <t>23/05/2023, 2:05:37 pm</t>
  </si>
  <si>
    <t>23/05/2023, 2:05:38 pm</t>
  </si>
  <si>
    <t>23/05/2023, 2:05:39 pm</t>
  </si>
  <si>
    <t>23/05/2023, 2:05:40 pm</t>
  </si>
  <si>
    <t>23/05/2023, 2:05:41 pm</t>
  </si>
  <si>
    <t>23/05/2023, 2:05:42 pm</t>
  </si>
  <si>
    <t>23/05/2023, 2:05:43 pm</t>
  </si>
  <si>
    <t>23/05/2023, 2:05:44 pm</t>
  </si>
  <si>
    <t>23/05/2023, 2:05:45 pm</t>
  </si>
  <si>
    <t>23/05/2023, 2:05:46 pm</t>
  </si>
  <si>
    <t>23/05/2023, 2:05:47 pm</t>
  </si>
  <si>
    <t>23/05/2023, 2:05:48 pm</t>
  </si>
  <si>
    <t>23/05/2023, 2:05:49 pm</t>
  </si>
  <si>
    <t>23/05/2023, 2:05:50 pm</t>
  </si>
  <si>
    <t>23/05/2023, 2:05:51 pm</t>
  </si>
  <si>
    <t>23/05/2023, 2:05:52 pm</t>
  </si>
  <si>
    <t>23/05/2023, 2:05:53 pm</t>
  </si>
  <si>
    <t>23/05/2023, 2:05:54 pm</t>
  </si>
  <si>
    <t>23/05/2023, 2:05:55 pm</t>
  </si>
  <si>
    <t>23/05/2023, 2:05:56 pm</t>
  </si>
  <si>
    <t>23/05/2023, 2:05:57 pm</t>
  </si>
  <si>
    <t>23/05/2023, 2:05:58 pm</t>
  </si>
  <si>
    <t>23/05/2023, 2:05:59 pm</t>
  </si>
  <si>
    <t>23/05/2023, 2:06:00 pm</t>
  </si>
  <si>
    <t>23/05/2023, 2:06:01 pm</t>
  </si>
  <si>
    <t>23/05/2023, 2:06:02 pm</t>
  </si>
  <si>
    <t>23/05/2023, 2:06:03 pm</t>
  </si>
  <si>
    <t>23/05/2023, 2:06:04 pm</t>
  </si>
  <si>
    <t>23/05/2023, 2:06:05 pm</t>
  </si>
  <si>
    <t>23/05/2023, 2:06:06 pm</t>
  </si>
  <si>
    <t>23/05/2023, 2:06:07 pm</t>
  </si>
  <si>
    <t>23/05/2023, 2:06:08 pm</t>
  </si>
  <si>
    <t>23/05/2023, 2:06:09 pm</t>
  </si>
  <si>
    <t>23/05/2023, 2:06:10 pm</t>
  </si>
  <si>
    <t>23/05/2023, 2:06:11 pm</t>
  </si>
  <si>
    <t>23/05/2023, 2:06:12 pm</t>
  </si>
  <si>
    <t>23/05/2023, 2:06:13 pm</t>
  </si>
  <si>
    <t>23/05/2023, 2:06:14 pm</t>
  </si>
  <si>
    <t>23/05/2023, 2:06:15 pm</t>
  </si>
  <si>
    <t>23/05/2023, 2:06:16 pm</t>
  </si>
  <si>
    <t>23/05/2023, 2:06:17 pm</t>
  </si>
  <si>
    <t>23/05/2023, 2:06:18 pm</t>
  </si>
  <si>
    <t>23/05/2023, 2:06:19 pm</t>
  </si>
  <si>
    <t>23/05/2023, 2:06:20 pm</t>
  </si>
  <si>
    <t>23/05/2023, 2:06:21 pm</t>
  </si>
  <si>
    <t>23/05/2023, 2:06:22 pm</t>
  </si>
  <si>
    <t>23/05/2023, 2:06:23 pm</t>
  </si>
  <si>
    <t>23/05/2023, 2:06:24 pm</t>
  </si>
  <si>
    <t>23/05/2023, 2:06:25 pm</t>
  </si>
  <si>
    <t>23/05/2023, 2:06:26 pm</t>
  </si>
  <si>
    <t>23/05/2023, 2:06:27 pm</t>
  </si>
  <si>
    <t>23/05/2023, 2:06:28 pm</t>
  </si>
  <si>
    <t>23/05/2023, 2:06:29 pm</t>
  </si>
  <si>
    <t>23/05/2023, 2:06:30 pm</t>
  </si>
  <si>
    <t>23/05/2023, 2:06:31 pm</t>
  </si>
  <si>
    <t>23/05/2023, 2:06:32 pm</t>
  </si>
  <si>
    <t>23/05/2023, 2:06:33 pm</t>
  </si>
  <si>
    <t>23/05/2023, 2:06:34 pm</t>
  </si>
  <si>
    <t>23/05/2023, 2:06:35 pm</t>
  </si>
  <si>
    <t>23/05/2023, 2:06:36 pm</t>
  </si>
  <si>
    <t>23/05/2023, 2:06:37 pm</t>
  </si>
  <si>
    <t>23/05/2023, 2:06:38 pm</t>
  </si>
  <si>
    <t>23/05/2023, 2:06:39 pm</t>
  </si>
  <si>
    <t>23/05/2023, 2:06:40 pm</t>
  </si>
  <si>
    <t>23/05/2023, 2:06:41 pm</t>
  </si>
  <si>
    <t>23/05/2023, 2:06:42 pm</t>
  </si>
  <si>
    <t>23/05/2023, 2:06:43 pm</t>
  </si>
  <si>
    <t>23/05/2023, 2:06:44 pm</t>
  </si>
  <si>
    <t>23/05/2023, 2:06:45 pm</t>
  </si>
  <si>
    <t>23/05/2023, 2:06:46 pm</t>
  </si>
  <si>
    <t>23/05/2023, 2:06:47 pm</t>
  </si>
  <si>
    <t>23/05/2023, 2:06:48 pm</t>
  </si>
  <si>
    <t>23/05/2023, 2:06:49 pm</t>
  </si>
  <si>
    <t>23/05/2023, 2:06:50 pm</t>
  </si>
  <si>
    <t>23/05/2023, 2:06:51 pm</t>
  </si>
  <si>
    <t>23/05/2023, 2:06:52 pm</t>
  </si>
  <si>
    <t>23/05/2023, 2:06:53 pm</t>
  </si>
  <si>
    <t>23/05/2023, 2:06:54 pm</t>
  </si>
  <si>
    <t>23/05/2023, 2:06:55 pm</t>
  </si>
  <si>
    <t>23/05/2023, 2:06:56 pm</t>
  </si>
  <si>
    <t>23/05/2023, 2:06:57 pm</t>
  </si>
  <si>
    <t>23/05/2023, 2:06:58 pm</t>
  </si>
  <si>
    <t>23/05/2023, 2:06:59 pm</t>
  </si>
  <si>
    <t>23/05/2023, 2:07:00 pm</t>
  </si>
  <si>
    <t>23/05/2023, 2:07:01 pm</t>
  </si>
  <si>
    <t>23/05/2023, 2:07:02 pm</t>
  </si>
  <si>
    <t>23/05/2023, 2:07:03 pm</t>
  </si>
  <si>
    <t>23/05/2023, 2:07:04 pm</t>
  </si>
  <si>
    <t>23/05/2023, 2:07:05 pm</t>
  </si>
  <si>
    <t>23/05/2023, 2:07:06 pm</t>
  </si>
  <si>
    <t>23/05/2023, 2:07:07 pm</t>
  </si>
  <si>
    <t>23/05/2023, 2:07:08 pm</t>
  </si>
  <si>
    <t>23/05/2023, 2:07:09 pm</t>
  </si>
  <si>
    <t>23/05/2023, 2:07:10 pm</t>
  </si>
  <si>
    <t>23/05/2023, 2:07:11 pm</t>
  </si>
  <si>
    <t>23/05/2023, 2:07:12 pm</t>
  </si>
  <si>
    <t>23/05/2023, 2:07:13 pm</t>
  </si>
  <si>
    <t>23/05/2023, 2:07:14 pm</t>
  </si>
  <si>
    <t>23/05/2023, 2:07:15 pm</t>
  </si>
  <si>
    <t>23/05/2023, 2:07:16 pm</t>
  </si>
  <si>
    <t>23/05/2023, 2:07:17 pm</t>
  </si>
  <si>
    <t>23/05/2023, 2:07:18 pm</t>
  </si>
  <si>
    <t>23/05/2023, 2:07:19 pm</t>
  </si>
  <si>
    <t>23/05/2023, 2:07:20 pm</t>
  </si>
  <si>
    <t>23/05/2023, 2:07:21 pm</t>
  </si>
  <si>
    <t>23/05/2023, 2:07:22 pm</t>
  </si>
  <si>
    <t>23/05/2023, 2:07:23 pm</t>
  </si>
  <si>
    <t>23/05/2023, 2:07:24 pm</t>
  </si>
  <si>
    <t>23/05/2023, 2:07:26 pm</t>
  </si>
  <si>
    <t>23/05/2023, 2:07:27 pm</t>
  </si>
  <si>
    <t>23/05/2023, 2:07:28 pm</t>
  </si>
  <si>
    <t>23/05/2023, 2:07:29 pm</t>
  </si>
  <si>
    <t>23/05/2023, 2:07:30 pm</t>
  </si>
  <si>
    <t>23/05/2023, 2:07:31 pm</t>
  </si>
  <si>
    <t>23/05/2023, 2:07:32 pm</t>
  </si>
  <si>
    <t>23/05/2023, 2:07:33 pm</t>
  </si>
  <si>
    <t>23/05/2023, 2:07:34 pm</t>
  </si>
  <si>
    <t>23/05/2023, 2:07:35 pm</t>
  </si>
  <si>
    <t>23/05/2023, 2:07:36 pm</t>
  </si>
  <si>
    <t>23/05/2023, 2:07:37 pm</t>
  </si>
  <si>
    <t>23/05/2023, 2:07:38 pm</t>
  </si>
  <si>
    <t>23/05/2023, 2:07:39 pm</t>
  </si>
  <si>
    <t>23/05/2023, 2:07:40 pm</t>
  </si>
  <si>
    <t>23/05/2023, 2:07:41 pm</t>
  </si>
  <si>
    <t>23/05/2023, 2:07:42 pm</t>
  </si>
  <si>
    <t>23/05/2023, 2:07:43 pm</t>
  </si>
  <si>
    <t>23/05/2023, 2:07:44 pm</t>
  </si>
  <si>
    <t>23/05/2023, 2:07:45 pm</t>
  </si>
  <si>
    <t>23/05/2023, 2:07:46 pm</t>
  </si>
  <si>
    <t>23/05/2023, 2:07:47 pm</t>
  </si>
  <si>
    <t>23/05/2023, 2:07:48 pm</t>
  </si>
  <si>
    <t>23/05/2023, 2:07:49 pm</t>
  </si>
  <si>
    <t>23/05/2023, 2:07:50 pm</t>
  </si>
  <si>
    <t>23/05/2023, 2:07:51 pm</t>
  </si>
  <si>
    <t>23/05/2023, 2:07:52 pm</t>
  </si>
  <si>
    <t>23/05/2023, 2:07:53 pm</t>
  </si>
  <si>
    <t>23/05/2023, 2:07:54 pm</t>
  </si>
  <si>
    <t>23/05/2023, 2:07:55 pm</t>
  </si>
  <si>
    <t>23/05/2023, 2:07:56 pm</t>
  </si>
  <si>
    <t>23/05/2023, 2:07:57 pm</t>
  </si>
  <si>
    <t>23/05/2023, 2:07:58 pm</t>
  </si>
  <si>
    <t>23/05/2023, 2:07:59 pm</t>
  </si>
  <si>
    <t>23/05/2023, 2:08:00 pm</t>
  </si>
  <si>
    <t>23/05/2023, 2:08:01 pm</t>
  </si>
  <si>
    <t>23/05/2023, 2:08:02 pm</t>
  </si>
  <si>
    <t>23/05/2023, 2:08:03 pm</t>
  </si>
  <si>
    <t>23/05/2023, 2:08:04 pm</t>
  </si>
  <si>
    <t>23/05/2023, 2:08:05 pm</t>
  </si>
  <si>
    <t>23/05/2023, 2:08:06 pm</t>
  </si>
  <si>
    <t>23/05/2023, 2:08:07 pm</t>
  </si>
  <si>
    <t>23/05/2023, 2:08:08 pm</t>
  </si>
  <si>
    <t>23/05/2023, 2:08:09 pm</t>
  </si>
  <si>
    <t>23/05/2023, 2:08:10 pm</t>
  </si>
  <si>
    <t>23/05/2023, 2:08:11 pm</t>
  </si>
  <si>
    <t>23/05/2023, 2:08:12 pm</t>
  </si>
  <si>
    <t>23/05/2023, 2:08:13 pm</t>
  </si>
  <si>
    <t>23/05/2023, 2:08:14 pm</t>
  </si>
  <si>
    <t>23/05/2023, 2:08:15 pm</t>
  </si>
  <si>
    <t>23/05/2023, 2:08:16 pm</t>
  </si>
  <si>
    <t>23/05/2023, 2:08:17 pm</t>
  </si>
  <si>
    <t>23/05/2023, 2:08:18 pm</t>
  </si>
  <si>
    <t>23/05/2023, 2:08:19 pm</t>
  </si>
  <si>
    <t>23/05/2023, 2:08:20 pm</t>
  </si>
  <si>
    <t>23/05/2023, 2:08:21 pm</t>
  </si>
  <si>
    <t>23/05/2023, 2:08:22 pm</t>
  </si>
  <si>
    <t>23/05/2023, 2:08:23 pm</t>
  </si>
  <si>
    <t>23/05/2023, 2:08:24 pm</t>
  </si>
  <si>
    <t>23/05/2023, 2:08:25 pm</t>
  </si>
  <si>
    <t>23/05/2023, 2:08:26 pm</t>
  </si>
  <si>
    <t>23/05/2023, 2:08:27 pm</t>
  </si>
  <si>
    <t>23/05/2023, 2:08:28 pm</t>
  </si>
  <si>
    <t>23/05/2023, 2:08:29 pm</t>
  </si>
  <si>
    <t>23/05/2023, 2:08:30 pm</t>
  </si>
  <si>
    <t>23/05/2023, 2:08:31 pm</t>
  </si>
  <si>
    <t>23/05/2023, 2:08:32 pm</t>
  </si>
  <si>
    <t>23/05/2023, 2:08:33 pm</t>
  </si>
  <si>
    <t>23/05/2023, 2:08:34 pm</t>
  </si>
  <si>
    <t>23/05/2023, 2:08:35 pm</t>
  </si>
  <si>
    <t>23/05/2023, 2:08:36 pm</t>
  </si>
  <si>
    <t>23/05/2023, 2:08:37 pm</t>
  </si>
  <si>
    <t>23/05/2023, 2:08:38 pm</t>
  </si>
  <si>
    <t>23/05/2023, 2:08:39 pm</t>
  </si>
  <si>
    <t>23/05/2023, 2:08:40 pm</t>
  </si>
  <si>
    <t>23/05/2023, 2:08:41 pm</t>
  </si>
  <si>
    <t>23/05/2023, 2:08:42 pm</t>
  </si>
  <si>
    <t>23/05/2023, 2:08:43 pm</t>
  </si>
  <si>
    <t>23/05/2023, 2:08:44 pm</t>
  </si>
  <si>
    <t>23/05/2023, 2:08:45 pm</t>
  </si>
  <si>
    <t>23/05/2023, 2:08:46 pm</t>
  </si>
  <si>
    <t>23/05/2023, 2:08:47 pm</t>
  </si>
  <si>
    <t>23/05/2023, 2:08:48 pm</t>
  </si>
  <si>
    <t>23/05/2023, 2:08:49 pm</t>
  </si>
  <si>
    <t>23/05/2023, 2:08:50 pm</t>
  </si>
  <si>
    <t>23/05/2023, 2:08:51 pm</t>
  </si>
  <si>
    <t>23/05/2023, 2:08:52 pm</t>
  </si>
  <si>
    <t>23/05/2023, 2:08:53 pm</t>
  </si>
  <si>
    <t>23/05/2023, 2:08:54 pm</t>
  </si>
  <si>
    <t>23/05/2023, 2:08:55 pm</t>
  </si>
  <si>
    <t>23/05/2023, 2:08:56 pm</t>
  </si>
  <si>
    <t>23/05/2023, 2:08:57 pm</t>
  </si>
  <si>
    <t>23/05/2023, 2:08:58 pm</t>
  </si>
  <si>
    <t>23/05/2023, 2:08:59 pm</t>
  </si>
  <si>
    <t>23/05/2023, 2:09:00 pm</t>
  </si>
  <si>
    <t>23/05/2023, 2:09:01 pm</t>
  </si>
  <si>
    <t>23/05/2023, 2:09:02 pm</t>
  </si>
  <si>
    <t>23/05/2023, 2:09:03 pm</t>
  </si>
  <si>
    <t>23/05/2023, 2:09:04 pm</t>
  </si>
  <si>
    <t>23/05/2023, 2:09:05 pm</t>
  </si>
  <si>
    <t>23/05/2023, 2:09:06 pm</t>
  </si>
  <si>
    <t>23/05/2023, 2:09:07 pm</t>
  </si>
  <si>
    <t>23/05/2023, 2:09:08 pm</t>
  </si>
  <si>
    <t>23/05/2023, 2:09:09 pm</t>
  </si>
  <si>
    <t>23/05/2023, 2:09:10 pm</t>
  </si>
  <si>
    <t>23/05/2023, 2:09:11 pm</t>
  </si>
  <si>
    <t>23/05/2023, 2:09:12 pm</t>
  </si>
  <si>
    <t>23/05/2023, 2:09:13 pm</t>
  </si>
  <si>
    <t>23/05/2023, 2:09:14 pm</t>
  </si>
  <si>
    <t>23/05/2023, 2:09:15 pm</t>
  </si>
  <si>
    <t>23/05/2023, 2:09:16 pm</t>
  </si>
  <si>
    <t>23/05/2023, 2:09:17 pm</t>
  </si>
  <si>
    <t>23/05/2023, 2:09:18 pm</t>
  </si>
  <si>
    <t>23/05/2023, 2:09:19 pm</t>
  </si>
  <si>
    <t>23/05/2023, 2:09:20 pm</t>
  </si>
  <si>
    <t>23/05/2023, 2:09:21 pm</t>
  </si>
  <si>
    <t>23/05/2023, 2:09:22 pm</t>
  </si>
  <si>
    <t>23/05/2023, 2:09:23 pm</t>
  </si>
  <si>
    <t>23/05/2023, 2:09:24 pm</t>
  </si>
  <si>
    <t>23/05/2023, 2:09:25 pm</t>
  </si>
  <si>
    <t>23/05/2023, 2:09:26 pm</t>
  </si>
  <si>
    <t>23/05/2023, 2:09:27 pm</t>
  </si>
  <si>
    <t>23/05/2023, 2:09:28 pm</t>
  </si>
  <si>
    <t>23/05/2023, 2:09:29 pm</t>
  </si>
  <si>
    <t>23/05/2023, 2:09:30 pm</t>
  </si>
  <si>
    <t>23/05/2023, 2:09:31 pm</t>
  </si>
  <si>
    <t>23/05/2023, 2:09:32 pm</t>
  </si>
  <si>
    <t>23/05/2023, 2:09:33 pm</t>
  </si>
  <si>
    <t>23/05/2023, 2:09:34 pm</t>
  </si>
  <si>
    <t>23/05/2023, 2:09:35 pm</t>
  </si>
  <si>
    <t>23/05/2023, 2:09:36 pm</t>
  </si>
  <si>
    <t>23/05/2023, 2:09:38 pm</t>
  </si>
  <si>
    <t>23/05/2023, 2:09:39 pm</t>
  </si>
  <si>
    <t>23/05/2023, 2:09:40 pm</t>
  </si>
  <si>
    <t>23/05/2023, 2:09:41 pm</t>
  </si>
  <si>
    <t>23/05/2023, 2:09:42 pm</t>
  </si>
  <si>
    <t>23/05/2023, 2:09:43 pm</t>
  </si>
  <si>
    <t>23/05/2023, 2:09:44 pm</t>
  </si>
  <si>
    <t>23/05/2023, 2:09:45 pm</t>
  </si>
  <si>
    <t>23/05/2023, 2:09:46 pm</t>
  </si>
  <si>
    <t>23/05/2023, 2:09:47 pm</t>
  </si>
  <si>
    <t>23/05/2023, 2:09:48 pm</t>
  </si>
  <si>
    <t>23/05/2023, 2:09:49 pm</t>
  </si>
  <si>
    <t>23/05/2023, 2:09:50 pm</t>
  </si>
  <si>
    <t>23/05/2023, 2:09:51 pm</t>
  </si>
  <si>
    <t>23/05/2023, 2:09:52 pm</t>
  </si>
  <si>
    <t>23/05/2023, 2:09:53 pm</t>
  </si>
  <si>
    <t>23/05/2023, 2:09:54 pm</t>
  </si>
  <si>
    <t>23/05/2023, 2:09:55 pm</t>
  </si>
  <si>
    <t>23/05/2023, 2:09:56 pm</t>
  </si>
  <si>
    <t>23/05/2023, 2:09:57 pm</t>
  </si>
  <si>
    <t>23/05/2023, 2:09:58 pm</t>
  </si>
  <si>
    <t>23/05/2023, 2:09:59 pm</t>
  </si>
  <si>
    <t>23/05/2023, 2:10:00 pm</t>
  </si>
  <si>
    <t>23/05/2023, 2:10:01 pm</t>
  </si>
  <si>
    <t>23/05/2023, 2:10:02 pm</t>
  </si>
  <si>
    <t>23/05/2023, 2:10:03 pm</t>
  </si>
  <si>
    <t>23/05/2023, 2:10:04 pm</t>
  </si>
  <si>
    <t>23/05/2023, 2:10:05 pm</t>
  </si>
  <si>
    <t>23/05/2023, 2:10:06 pm</t>
  </si>
  <si>
    <t>23/05/2023, 2:10:07 pm</t>
  </si>
  <si>
    <t>23/05/2023, 2:10:08 pm</t>
  </si>
  <si>
    <t>23/05/2023, 2:10:09 pm</t>
  </si>
  <si>
    <t>23/05/2023, 2:10:10 pm</t>
  </si>
  <si>
    <t>23/05/2023, 2:10:11 pm</t>
  </si>
  <si>
    <t>23/05/2023, 2:10:12 pm</t>
  </si>
  <si>
    <t>23/05/2023, 2:10:13 pm</t>
  </si>
  <si>
    <t>23/05/2023, 2:10:14 pm</t>
  </si>
  <si>
    <t>23/05/2023, 2:10:15 pm</t>
  </si>
  <si>
    <t>23/05/2023, 2:10:16 pm</t>
  </si>
  <si>
    <t>23/05/2023, 2:10:17 pm</t>
  </si>
  <si>
    <t>23/05/2023, 2:10:18 pm</t>
  </si>
  <si>
    <t>23/05/2023, 2:10:19 pm</t>
  </si>
  <si>
    <t>23/05/2023, 2:10:20 pm</t>
  </si>
  <si>
    <t>23/05/2023, 2:10:21 pm</t>
  </si>
  <si>
    <t>23/05/2023, 2:10:22 pm</t>
  </si>
  <si>
    <t>23/05/2023, 2:10:23 pm</t>
  </si>
  <si>
    <t>23/05/2023, 2:10:24 pm</t>
  </si>
  <si>
    <t>23/05/2023, 2:10:25 pm</t>
  </si>
  <si>
    <t>23/05/2023, 2:10:26 pm</t>
  </si>
  <si>
    <t>23/05/2023, 2:10:27 pm</t>
  </si>
  <si>
    <t>23/05/2023, 2:10:28 pm</t>
  </si>
  <si>
    <t>23/05/2023, 2:10:29 pm</t>
  </si>
  <si>
    <t>23/05/2023, 2:10:30 pm</t>
  </si>
  <si>
    <t>23/05/2023, 2:10:31 pm</t>
  </si>
  <si>
    <t>23/05/2023, 2:10:32 pm</t>
  </si>
  <si>
    <t>23/05/2023, 2:10:33 pm</t>
  </si>
  <si>
    <t>23/05/2023, 2:10:34 pm</t>
  </si>
  <si>
    <t>23/05/2023, 2:10:35 pm</t>
  </si>
  <si>
    <t>23/05/2023, 2:10:36 pm</t>
  </si>
  <si>
    <t>23/05/2023, 2:10:37 pm</t>
  </si>
  <si>
    <t>23/05/2023, 2:10:38 pm</t>
  </si>
  <si>
    <t>23/05/2023, 2:10:39 pm</t>
  </si>
  <si>
    <t>23/05/2023, 2:10:40 pm</t>
  </si>
  <si>
    <t>23/05/2023, 2:10:41 pm</t>
  </si>
  <si>
    <t>23/05/2023, 2:10:42 pm</t>
  </si>
  <si>
    <t>23/05/2023, 2:10:43 pm</t>
  </si>
  <si>
    <t>23/05/2023, 2:10:44 pm</t>
  </si>
  <si>
    <t>23/05/2023, 2:10:45 pm</t>
  </si>
  <si>
    <t>23/05/2023, 2:10:46 pm</t>
  </si>
  <si>
    <t>23/05/2023, 2:10:47 pm</t>
  </si>
  <si>
    <t>23/05/2023, 2:10:48 pm</t>
  </si>
  <si>
    <t>23/05/2023, 2:10:49 pm</t>
  </si>
  <si>
    <t>23/05/2023, 2:10:50 pm</t>
  </si>
  <si>
    <t>23/05/2023, 2:10:51 pm</t>
  </si>
  <si>
    <t>23/05/2023, 2:10:52 pm</t>
  </si>
  <si>
    <t>23/05/2023, 2:10:53 pm</t>
  </si>
  <si>
    <t>23/05/2023, 2:10:54 pm</t>
  </si>
  <si>
    <t>23/05/2023, 2:10:55 pm</t>
  </si>
  <si>
    <t>23/05/2023, 2:10:56 pm</t>
  </si>
  <si>
    <t>23/05/2023, 2:10:57 pm</t>
  </si>
  <si>
    <t>23/05/2023, 2:10:58 pm</t>
  </si>
  <si>
    <t>23/05/2023, 2:10:59 pm</t>
  </si>
  <si>
    <t>23/05/2023, 2:11:00 pm</t>
  </si>
  <si>
    <t>23/05/2023, 2:11:01 pm</t>
  </si>
  <si>
    <t>23/05/2023, 2:11:02 pm</t>
  </si>
  <si>
    <t>23/05/2023, 2:11:03 pm</t>
  </si>
  <si>
    <t>23/05/2023, 2:11:04 pm</t>
  </si>
  <si>
    <t>23/05/2023, 2:11:05 pm</t>
  </si>
  <si>
    <t>23/05/2023, 2:11:06 pm</t>
  </si>
  <si>
    <t>23/05/2023, 2:11:07 pm</t>
  </si>
  <si>
    <t>23/05/2023, 2:11:08 pm</t>
  </si>
  <si>
    <t>23/05/2023, 2:11:09 pm</t>
  </si>
  <si>
    <t>23/05/2023, 2:11:10 pm</t>
  </si>
  <si>
    <t>23/05/2023, 2:11:11 pm</t>
  </si>
  <si>
    <t>23/05/2023, 2:11:12 pm</t>
  </si>
  <si>
    <t>23/05/2023, 2:11:13 pm</t>
  </si>
  <si>
    <t>23/05/2023, 2:11:14 pm</t>
  </si>
  <si>
    <t>23/05/2023, 2:11:15 pm</t>
  </si>
  <si>
    <t>23/05/2023, 2:11:16 pm</t>
  </si>
  <si>
    <t>23/05/2023, 2:11:17 pm</t>
  </si>
  <si>
    <t>23/05/2023, 2:11:18 pm</t>
  </si>
  <si>
    <t>23/05/2023, 2:11:19 pm</t>
  </si>
  <si>
    <t>23/05/2023, 2:11:20 pm</t>
  </si>
  <si>
    <t>23/05/2023, 2:11:21 pm</t>
  </si>
  <si>
    <t>23/05/2023, 2:11:22 pm</t>
  </si>
  <si>
    <t>23/05/2023, 2:11:23 pm</t>
  </si>
  <si>
    <t>23/05/2023, 2:11:24 pm</t>
  </si>
  <si>
    <t>23/05/2023, 2:11:25 pm</t>
  </si>
  <si>
    <t>23/05/2023, 2:11:26 pm</t>
  </si>
  <si>
    <t>23/05/2023, 2:11:27 pm</t>
  </si>
  <si>
    <t>23/05/2023, 2:11:28 pm</t>
  </si>
  <si>
    <t>23/05/2023, 2:11:29 pm</t>
  </si>
  <si>
    <t>23/05/2023, 2:11:30 pm</t>
  </si>
  <si>
    <t>23/05/2023, 2:11:31 pm</t>
  </si>
  <si>
    <t>23/05/2023, 2:11:32 pm</t>
  </si>
  <si>
    <t>23/05/2023, 2:11:33 pm</t>
  </si>
  <si>
    <t>23/05/2023, 2:11:34 pm</t>
  </si>
  <si>
    <t>23/05/2023, 2:11:35 pm</t>
  </si>
  <si>
    <t>23/05/2023, 2:11:36 pm</t>
  </si>
  <si>
    <t>23/05/2023, 2:11:37 pm</t>
  </si>
  <si>
    <t>23/05/2023, 2:11:39 pm</t>
  </si>
  <si>
    <t>23/05/2023, 2:11:40 pm</t>
  </si>
  <si>
    <t>23/05/2023, 2:11:41 pm</t>
  </si>
  <si>
    <t>23/05/2023, 2:11:42 pm</t>
  </si>
  <si>
    <t>23/05/2023, 2:11:43 pm</t>
  </si>
  <si>
    <t>23/05/2023, 2:11:44 pm</t>
  </si>
  <si>
    <t>23/05/2023, 2:11:45 pm</t>
  </si>
  <si>
    <t>23/05/2023, 2:11:46 pm</t>
  </si>
  <si>
    <t>23/05/2023, 2:11:47 pm</t>
  </si>
  <si>
    <t>23/05/2023, 2:11:48 pm</t>
  </si>
  <si>
    <t>23/05/2023, 2:11:49 pm</t>
  </si>
  <si>
    <t>23/05/2023, 2:11:50 pm</t>
  </si>
  <si>
    <t>23/05/2023, 2:11:51 pm</t>
  </si>
  <si>
    <t>23/05/2023, 2:11:52 pm</t>
  </si>
  <si>
    <t>23/05/2023, 2:11:53 pm</t>
  </si>
  <si>
    <t>23/05/2023, 2:11:54 pm</t>
  </si>
  <si>
    <t>23/05/2023, 2:11:55 pm</t>
  </si>
  <si>
    <t>23/05/2023, 2:11:56 pm</t>
  </si>
  <si>
    <t>23/05/2023, 2:11:57 pm</t>
  </si>
  <si>
    <t>23/05/2023, 2:11:58 pm</t>
  </si>
  <si>
    <t>23/05/2023, 2:11:59 pm</t>
  </si>
  <si>
    <t>23/05/2023, 2:12:00 pm</t>
  </si>
  <si>
    <t>23/05/2023, 2:12:01 pm</t>
  </si>
  <si>
    <t>23/05/2023, 2:12:02 pm</t>
  </si>
  <si>
    <t>23/05/2023, 2:12:03 pm</t>
  </si>
  <si>
    <t>23/05/2023, 2:12:04 pm</t>
  </si>
  <si>
    <t>23/05/2023, 2:12:05 pm</t>
  </si>
  <si>
    <t>23/05/2023, 2:12:06 pm</t>
  </si>
  <si>
    <t>23/05/2023, 2:12:07 pm</t>
  </si>
  <si>
    <t>23/05/2023, 2:12:08 pm</t>
  </si>
  <si>
    <t>23/05/2023, 2:12:09 pm</t>
  </si>
  <si>
    <t>23/05/2023, 2:12:10 pm</t>
  </si>
  <si>
    <t>23/05/2023, 2:12:11 pm</t>
  </si>
  <si>
    <t>23/05/2023, 2:12:12 pm</t>
  </si>
  <si>
    <t>23/05/2023, 2:12:13 pm</t>
  </si>
  <si>
    <t>23/05/2023, 2:12:14 pm</t>
  </si>
  <si>
    <t>23/05/2023, 2:12:15 pm</t>
  </si>
  <si>
    <t>23/05/2023, 2:12:16 pm</t>
  </si>
  <si>
    <t>23/05/2023, 2:12:17 pm</t>
  </si>
  <si>
    <t>23/05/2023, 2:12:18 pm</t>
  </si>
  <si>
    <t>23/05/2023, 2:12:19 pm</t>
  </si>
  <si>
    <t>23/05/2023, 2:12:20 pm</t>
  </si>
  <si>
    <t>23/05/2023, 2:12:21 pm</t>
  </si>
  <si>
    <t>23/05/2023, 2:12:22 pm</t>
  </si>
  <si>
    <t>23/05/2023, 2:12:23 pm</t>
  </si>
  <si>
    <t>23/05/2023, 2:12:24 pm</t>
  </si>
  <si>
    <t>23/05/2023, 2:12:25 pm</t>
  </si>
  <si>
    <t>23/05/2023, 2:12:26 pm</t>
  </si>
  <si>
    <t>23/05/2023, 2:12:27 pm</t>
  </si>
  <si>
    <t>23/05/2023, 2:12:28 pm</t>
  </si>
  <si>
    <t>23/05/2023, 2:12:29 pm</t>
  </si>
  <si>
    <t>23/05/2023, 2:12:30 pm</t>
  </si>
  <si>
    <t>23/05/2023, 2:12:31 pm</t>
  </si>
  <si>
    <t>23/05/2023, 2:12:32 pm</t>
  </si>
  <si>
    <t>23/05/2023, 2:12:33 pm</t>
  </si>
  <si>
    <t>23/05/2023, 2:12:34 pm</t>
  </si>
  <si>
    <t>23/05/2023, 2:12:35 pm</t>
  </si>
  <si>
    <t>23/05/2023, 2:12:36 pm</t>
  </si>
  <si>
    <t>23/05/2023, 2:12:37 pm</t>
  </si>
  <si>
    <t>23/05/2023, 2:12:38 pm</t>
  </si>
  <si>
    <t>23/05/2023, 2:12:39 pm</t>
  </si>
  <si>
    <t>23/05/2023, 2:12:40 pm</t>
  </si>
  <si>
    <t>23/05/2023, 2:12:41 pm</t>
  </si>
  <si>
    <t>23/05/2023, 2:12:42 pm</t>
  </si>
  <si>
    <t>23/05/2023, 2:12:43 pm</t>
  </si>
  <si>
    <t>23/05/2023, 2:12:44 pm</t>
  </si>
  <si>
    <t>23/05/2023, 2:12:45 pm</t>
  </si>
  <si>
    <t>23/05/2023, 2:12:46 pm</t>
  </si>
  <si>
    <t>23/05/2023, 2:12:47 pm</t>
  </si>
  <si>
    <t>23/05/2023, 2:12:48 pm</t>
  </si>
  <si>
    <t>23/05/2023, 2:12:49 pm</t>
  </si>
  <si>
    <t>23/05/2023, 2:12:50 pm</t>
  </si>
  <si>
    <t>23/05/2023, 2:12:51 pm</t>
  </si>
  <si>
    <t>23/05/2023, 2:12:52 pm</t>
  </si>
  <si>
    <t>23/05/2023, 2:12:53 pm</t>
  </si>
  <si>
    <t>23/05/2023, 2:12:54 pm</t>
  </si>
  <si>
    <t>23/05/2023, 2:12:55 pm</t>
  </si>
  <si>
    <t>23/05/2023, 2:12:56 pm</t>
  </si>
  <si>
    <t>23/05/2023, 2:12:57 pm</t>
  </si>
  <si>
    <t>23/05/2023, 2:12:58 pm</t>
  </si>
  <si>
    <t>23/05/2023, 2:12:59 pm</t>
  </si>
  <si>
    <t>23/05/2023, 2:13:00 pm</t>
  </si>
  <si>
    <t>23/05/2023, 2:13:01 pm</t>
  </si>
  <si>
    <t>23/05/2023, 2:13:02 pm</t>
  </si>
  <si>
    <t>23/05/2023, 2:13:03 pm</t>
  </si>
  <si>
    <t>23/05/2023, 2:13:04 pm</t>
  </si>
  <si>
    <t>23/05/2023, 2:13:05 pm</t>
  </si>
  <si>
    <t>23/05/2023, 2:13:06 pm</t>
  </si>
  <si>
    <t>23/05/2023, 2:13:07 pm</t>
  </si>
  <si>
    <t>23/05/2023, 2:13:08 pm</t>
  </si>
  <si>
    <t>23/05/2023, 2:13:09 pm</t>
  </si>
  <si>
    <t>23/05/2023, 2:13:10 pm</t>
  </si>
  <si>
    <t>23/05/2023, 2:13:11 pm</t>
  </si>
  <si>
    <t>23/05/2023, 2:13:12 pm</t>
  </si>
  <si>
    <t>23/05/2023, 2:13:13 pm</t>
  </si>
  <si>
    <t>23/05/2023, 2:13:14 pm</t>
  </si>
  <si>
    <t>23/05/2023, 2:13:15 pm</t>
  </si>
  <si>
    <t>23/05/2023, 2:13:16 pm</t>
  </si>
  <si>
    <t>23/05/2023, 2:13:17 pm</t>
  </si>
  <si>
    <t>23/05/2023, 2:13:18 pm</t>
  </si>
  <si>
    <t>23/05/2023, 2:13:19 pm</t>
  </si>
  <si>
    <t>23/05/2023, 2:13:20 pm</t>
  </si>
  <si>
    <t>23/05/2023, 2:13:21 pm</t>
  </si>
  <si>
    <t>23/05/2023, 2:13:22 pm</t>
  </si>
  <si>
    <t>23/05/2023, 2:13:23 pm</t>
  </si>
  <si>
    <t>23/05/2023, 2:13:24 pm</t>
  </si>
  <si>
    <t>23/05/2023, 2:13:25 pm</t>
  </si>
  <si>
    <t>23/05/2023, 2:13:26 pm</t>
  </si>
  <si>
    <t>23/05/2023, 2:13:27 pm</t>
  </si>
  <si>
    <t>23/05/2023, 2:13:28 pm</t>
  </si>
  <si>
    <t>23/05/2023, 2:13:29 pm</t>
  </si>
  <si>
    <t>23/05/2023, 2:13:30 pm</t>
  </si>
  <si>
    <t>23/05/2023, 2:13:31 pm</t>
  </si>
  <si>
    <t>23/05/2023, 2:13:32 pm</t>
  </si>
  <si>
    <t>23/05/2023, 2:13:33 pm</t>
  </si>
  <si>
    <t>23/05/2023, 2:13:34 pm</t>
  </si>
  <si>
    <t>23/05/2023, 2:13:35 pm</t>
  </si>
  <si>
    <t>23/05/2023, 2:13:36 pm</t>
  </si>
  <si>
    <t>23/05/2023, 2:13:37 pm</t>
  </si>
  <si>
    <t>23/05/2023, 2:13:38 pm</t>
  </si>
  <si>
    <t>23/05/2023, 2:13:39 pm</t>
  </si>
  <si>
    <t>23/05/2023, 2:13:40 pm</t>
  </si>
  <si>
    <t>23/05/2023, 2:13:41 pm</t>
  </si>
  <si>
    <t>23/05/2023, 2:13:42 pm</t>
  </si>
  <si>
    <t>23/05/2023, 2:13:43 pm</t>
  </si>
  <si>
    <t>23/05/2023, 2:13:44 pm</t>
  </si>
  <si>
    <t>23/05/2023, 2:13:45 pm</t>
  </si>
  <si>
    <t>23/05/2023, 2:13:46 pm</t>
  </si>
  <si>
    <t>23/05/2023, 2:13:47 pm</t>
  </si>
  <si>
    <t>23/05/2023, 2:13:48 pm</t>
  </si>
  <si>
    <t>23/05/2023, 2:13:49 pm</t>
  </si>
  <si>
    <t>23/05/2023, 2:13:50 pm</t>
  </si>
  <si>
    <t>23/05/2023, 2:13:51 pm</t>
  </si>
  <si>
    <t>23/05/2023, 2:13:52 pm</t>
  </si>
  <si>
    <t>23/05/2023, 2:13:53 pm</t>
  </si>
  <si>
    <t>23/05/2023, 2:13:54 pm</t>
  </si>
  <si>
    <t>23/05/2023, 2:13:55 pm</t>
  </si>
  <si>
    <t>23/05/2023, 2:13:57 pm</t>
  </si>
  <si>
    <t>23/05/2023, 2:13:58 pm</t>
  </si>
  <si>
    <t>23/05/2023, 2:13:59 pm</t>
  </si>
  <si>
    <t>23/05/2023, 2:14:00 pm</t>
  </si>
  <si>
    <t>23/05/2023, 2:14:01 pm</t>
  </si>
  <si>
    <t>23/05/2023, 2:14:02 pm</t>
  </si>
  <si>
    <t>23/05/2023, 2:14:03 pm</t>
  </si>
  <si>
    <t>23/05/2023, 2:14:04 pm</t>
  </si>
  <si>
    <t>23/05/2023, 2:14:05 pm</t>
  </si>
  <si>
    <t>23/05/2023, 2:14:06 pm</t>
  </si>
  <si>
    <t>23/05/2023, 2:14:07 pm</t>
  </si>
  <si>
    <t>23/05/2023, 2:14:08 pm</t>
  </si>
  <si>
    <t>23/05/2023, 2:14:09 pm</t>
  </si>
  <si>
    <t>23/05/2023, 2:14:10 pm</t>
  </si>
  <si>
    <t>23/05/2023, 2:14:11 pm</t>
  </si>
  <si>
    <t>23/05/2023, 2:14:12 pm</t>
  </si>
  <si>
    <t>23/05/2023, 2:14:13 pm</t>
  </si>
  <si>
    <t>23/05/2023, 2:14:14 pm</t>
  </si>
  <si>
    <t>23/05/2023, 2:14:15 pm</t>
  </si>
  <si>
    <t>23/05/2023, 2:14:16 pm</t>
  </si>
  <si>
    <t>23/05/2023, 2:14:17 pm</t>
  </si>
  <si>
    <t>23/05/2023, 2:14:18 pm</t>
  </si>
  <si>
    <t>23/05/2023, 2:14:19 pm</t>
  </si>
  <si>
    <t>23/05/2023, 2:14:20 pm</t>
  </si>
  <si>
    <t>23/05/2023, 2:14:21 pm</t>
  </si>
  <si>
    <t>23/05/2023, 2:14:22 pm</t>
  </si>
  <si>
    <t>23/05/2023, 2:14:23 pm</t>
  </si>
  <si>
    <t>23/05/2023, 2:14:24 pm</t>
  </si>
  <si>
    <t>23/05/2023, 2:14:25 pm</t>
  </si>
  <si>
    <t>23/05/2023, 2:14:26 pm</t>
  </si>
  <si>
    <t>23/05/2023, 2:14:27 pm</t>
  </si>
  <si>
    <t>23/05/2023, 2:14:28 pm</t>
  </si>
  <si>
    <t>23/05/2023, 2:14:29 pm</t>
  </si>
  <si>
    <t>23/05/2023, 2:14:30 pm</t>
  </si>
  <si>
    <t>23/05/2023, 2:14:31 pm</t>
  </si>
  <si>
    <t>23/05/2023, 2:14:32 pm</t>
  </si>
  <si>
    <t>23/05/2023, 2:14:33 pm</t>
  </si>
  <si>
    <t>23/05/2023, 2:14:34 pm</t>
  </si>
  <si>
    <t>23/05/2023, 2:14:35 pm</t>
  </si>
  <si>
    <t>23/05/2023, 2:14:36 pm</t>
  </si>
  <si>
    <t>23/05/2023, 2:14:37 pm</t>
  </si>
  <si>
    <t>23/05/2023, 2:14:38 pm</t>
  </si>
  <si>
    <t>23/05/2023, 2:14:39 pm</t>
  </si>
  <si>
    <t>23/05/2023, 2:14:40 pm</t>
  </si>
  <si>
    <t>23/05/2023, 2:14:41 pm</t>
  </si>
  <si>
    <t>23/05/2023, 2:14:42 pm</t>
  </si>
  <si>
    <t>23/05/2023, 2:14:43 pm</t>
  </si>
  <si>
    <t>23/05/2023, 2:14:44 pm</t>
  </si>
  <si>
    <t>23/05/2023, 2:14:45 pm</t>
  </si>
  <si>
    <t>23/05/2023, 2:14:46 pm</t>
  </si>
  <si>
    <t>23/05/2023, 2:14:47 pm</t>
  </si>
  <si>
    <t>23/05/2023, 2:14:48 pm</t>
  </si>
  <si>
    <t>23/05/2023, 2:14:49 pm</t>
  </si>
  <si>
    <t>23/05/2023, 2:14:50 pm</t>
  </si>
  <si>
    <t>23/05/2023, 2:14:51 pm</t>
  </si>
  <si>
    <t>23/05/2023, 2:14:52 pm</t>
  </si>
  <si>
    <t>23/05/2023, 2:14:53 pm</t>
  </si>
  <si>
    <t>23/05/2023, 2:14:54 pm</t>
  </si>
  <si>
    <t>23/05/2023, 2:14:55 pm</t>
  </si>
  <si>
    <t>23/05/2023, 2:14:56 pm</t>
  </si>
  <si>
    <t>23/05/2023, 2:14:57 pm</t>
  </si>
  <si>
    <t>23/05/2023, 2:14:58 pm</t>
  </si>
  <si>
    <t>23/05/2023, 2:14:59 pm</t>
  </si>
  <si>
    <t>23/05/2023, 2:15:00 pm</t>
  </si>
  <si>
    <t>23/05/2023, 2:15:01 pm</t>
  </si>
  <si>
    <t>23/05/2023, 2:15:02 pm</t>
  </si>
  <si>
    <t>23/05/2023, 2:15:03 pm</t>
  </si>
  <si>
    <t>23/05/2023, 2:15:04 pm</t>
  </si>
  <si>
    <t>23/05/2023, 2:15:05 pm</t>
  </si>
  <si>
    <t>23/05/2023, 2:15:06 pm</t>
  </si>
  <si>
    <t>23/05/2023, 2:15:07 pm</t>
  </si>
  <si>
    <t>23/05/2023, 2:15:08 pm</t>
  </si>
  <si>
    <t>23/05/2023, 2:15:09 pm</t>
  </si>
  <si>
    <t>23/05/2023, 2:15:10 pm</t>
  </si>
  <si>
    <t>23/05/2023, 2:15:11 pm</t>
  </si>
  <si>
    <t>23/05/2023, 2:15:12 pm</t>
  </si>
  <si>
    <t>23/05/2023, 2:15:13 pm</t>
  </si>
  <si>
    <t>23/05/2023, 2:15:14 pm</t>
  </si>
  <si>
    <t>23/05/2023, 2:15:15 pm</t>
  </si>
  <si>
    <t>23/05/2023, 2:15:16 pm</t>
  </si>
  <si>
    <t>23/05/2023, 2:15:17 pm</t>
  </si>
  <si>
    <t>23/05/2023, 2:15:18 pm</t>
  </si>
  <si>
    <t>23/05/2023, 2:15:19 pm</t>
  </si>
  <si>
    <t>23/05/2023, 2:15:20 pm</t>
  </si>
  <si>
    <t>23/05/2023, 2:15:21 pm</t>
  </si>
  <si>
    <t>23/05/2023, 2:15:22 pm</t>
  </si>
  <si>
    <t>23/05/2023, 2:15:23 pm</t>
  </si>
  <si>
    <t>23/05/2023, 2:15:24 pm</t>
  </si>
  <si>
    <t>23/05/2023, 2:15:25 pm</t>
  </si>
  <si>
    <t>23/05/2023, 2:15:26 pm</t>
  </si>
  <si>
    <t>23/05/2023, 2:15:27 pm</t>
  </si>
  <si>
    <t>23/05/2023, 2:15:28 pm</t>
  </si>
  <si>
    <t>23/05/2023, 2:15:29 pm</t>
  </si>
  <si>
    <t>23/05/2023, 2:15:30 pm</t>
  </si>
  <si>
    <t>23/05/2023, 2:15:31 pm</t>
  </si>
  <si>
    <t>23/05/2023, 2:15:32 pm</t>
  </si>
  <si>
    <t>23/05/2023, 2:15:33 pm</t>
  </si>
  <si>
    <t>23/05/2023, 2:15:34 pm</t>
  </si>
  <si>
    <t>23/05/2023, 2:15:35 pm</t>
  </si>
  <si>
    <t>23/05/2023, 2:15:36 pm</t>
  </si>
  <si>
    <t>23/05/2023, 2:15:37 pm</t>
  </si>
  <si>
    <t>23/05/2023, 2:15:38 pm</t>
  </si>
  <si>
    <t>23/05/2023, 2:15:39 pm</t>
  </si>
  <si>
    <t>23/05/2023, 2:15:40 pm</t>
  </si>
  <si>
    <t>23/05/2023, 2:15:41 pm</t>
  </si>
  <si>
    <t>23/05/2023, 2:15:42 pm</t>
  </si>
  <si>
    <t>23/05/2023, 2:15:43 pm</t>
  </si>
  <si>
    <t>23/05/2023, 2:15:44 pm</t>
  </si>
  <si>
    <t>23/05/2023, 2:15:45 pm</t>
  </si>
  <si>
    <t>23/05/2023, 2:15:46 pm</t>
  </si>
  <si>
    <t>23/05/2023, 2:15:47 pm</t>
  </si>
  <si>
    <t>23/05/2023, 2:15:48 pm</t>
  </si>
  <si>
    <t>23/05/2023, 2:15:49 pm</t>
  </si>
  <si>
    <t>23/05/2023, 2:15:50 pm</t>
  </si>
  <si>
    <t>23/05/2023, 2:15:51 pm</t>
  </si>
  <si>
    <t>23/05/2023, 2:15:52 pm</t>
  </si>
  <si>
    <t>23/05/2023, 2:15:53 pm</t>
  </si>
  <si>
    <t>23/05/2023, 2:15:54 pm</t>
  </si>
  <si>
    <t>23/05/2023, 2:15:55 pm</t>
  </si>
  <si>
    <t>23/05/2023, 2:15:56 pm</t>
  </si>
  <si>
    <t>23/05/2023, 2:15:57 pm</t>
  </si>
  <si>
    <t>23/05/2023, 2:15:58 pm</t>
  </si>
  <si>
    <t>23/05/2023, 2:15:59 pm</t>
  </si>
  <si>
    <t>23/05/2023, 2:16:00 pm</t>
  </si>
  <si>
    <t>23/05/2023, 2:16:01 pm</t>
  </si>
  <si>
    <t>23/05/2023, 2:16:02 pm</t>
  </si>
  <si>
    <t>23/05/2023, 2:16:03 pm</t>
  </si>
  <si>
    <t>23/05/2023, 2:16:04 pm</t>
  </si>
  <si>
    <t>23/05/2023, 2:16:06 pm</t>
  </si>
  <si>
    <t>23/05/2023, 2:16:07 pm</t>
  </si>
  <si>
    <t>23/05/2023, 2:16:08 pm</t>
  </si>
  <si>
    <t>23/05/2023, 2:16:09 pm</t>
  </si>
  <si>
    <t>23/05/2023, 2:16:10 pm</t>
  </si>
  <si>
    <t>23/05/2023, 2:16:11 pm</t>
  </si>
  <si>
    <t>23/05/2023, 2:16:12 pm</t>
  </si>
  <si>
    <t>23/05/2023, 2:16:13 pm</t>
  </si>
  <si>
    <t>23/05/2023, 2:16:14 pm</t>
  </si>
  <si>
    <t>23/05/2023, 2:16:15 pm</t>
  </si>
  <si>
    <t>23/05/2023, 2:16:16 pm</t>
  </si>
  <si>
    <t>23/05/2023, 2:16:17 pm</t>
  </si>
  <si>
    <t>23/05/2023, 2:16:18 pm</t>
  </si>
  <si>
    <t>23/05/2023, 2:16:19 pm</t>
  </si>
  <si>
    <t>23/05/2023, 2:16:20 pm</t>
  </si>
  <si>
    <t>23/05/2023, 2:16:21 pm</t>
  </si>
  <si>
    <t>23/05/2023, 2:16:22 pm</t>
  </si>
  <si>
    <t>23/05/2023, 2:16:23 pm</t>
  </si>
  <si>
    <t>23/05/2023, 2:16:24 pm</t>
  </si>
  <si>
    <t>23/05/2023, 2:16:25 pm</t>
  </si>
  <si>
    <t>23/05/2023, 2:16:26 pm</t>
  </si>
  <si>
    <t>23/05/2023, 2:16:27 pm</t>
  </si>
  <si>
    <t>23/05/2023, 2:16:28 pm</t>
  </si>
  <si>
    <t>23/05/2023, 2:16:29 pm</t>
  </si>
  <si>
    <t>23/05/2023, 2:16:30 pm</t>
  </si>
  <si>
    <t>23/05/2023, 2:16:31 pm</t>
  </si>
  <si>
    <t>23/05/2023, 2:16:32 pm</t>
  </si>
  <si>
    <t>23/05/2023, 2:16:33 pm</t>
  </si>
  <si>
    <t>23/05/2023, 2:16:34 pm</t>
  </si>
  <si>
    <t>23/05/2023, 2:16:35 pm</t>
  </si>
  <si>
    <t>23/05/2023, 2:16:36 pm</t>
  </si>
  <si>
    <t>23/05/2023, 2:16:37 pm</t>
  </si>
  <si>
    <t>23/05/2023, 2:16:38 pm</t>
  </si>
  <si>
    <t>23/05/2023, 2:16:39 pm</t>
  </si>
  <si>
    <t>23/05/2023, 2:16:40 pm</t>
  </si>
  <si>
    <t>23/05/2023, 2:16:41 pm</t>
  </si>
  <si>
    <t>23/05/2023, 2:16:42 pm</t>
  </si>
  <si>
    <t>23/05/2023, 2:16:43 pm</t>
  </si>
  <si>
    <t>23/05/2023, 2:16:44 pm</t>
  </si>
  <si>
    <t>23/05/2023, 2:16:45 pm</t>
  </si>
  <si>
    <t>23/05/2023, 2:16:46 pm</t>
  </si>
  <si>
    <t>23/05/2023, 2:16:47 pm</t>
  </si>
  <si>
    <t>23/05/2023, 2:16:48 pm</t>
  </si>
  <si>
    <t>23/05/2023, 2:16:49 pm</t>
  </si>
  <si>
    <t>23/05/2023, 2:16:50 pm</t>
  </si>
  <si>
    <t>23/05/2023, 2:16:51 pm</t>
  </si>
  <si>
    <t>23/05/2023, 2:16:52 pm</t>
  </si>
  <si>
    <t>23/05/2023, 2:16:53 pm</t>
  </si>
  <si>
    <t>23/05/2023, 2:16:54 pm</t>
  </si>
  <si>
    <t>23/05/2023, 2:16:55 pm</t>
  </si>
  <si>
    <t>23/05/2023, 2:16:56 pm</t>
  </si>
  <si>
    <t>23/05/2023, 2:16:57 pm</t>
  </si>
  <si>
    <t>23/05/2023, 2:16:58 pm</t>
  </si>
  <si>
    <t>23/05/2023, 2:16:59 pm</t>
  </si>
  <si>
    <t>23/05/2023, 2:17:00 pm</t>
  </si>
  <si>
    <t>23/05/2023, 2:17:01 pm</t>
  </si>
  <si>
    <t>23/05/2023, 2:17:02 pm</t>
  </si>
  <si>
    <t>23/05/2023, 2:17:03 pm</t>
  </si>
  <si>
    <t>23/05/2023, 2:17:04 pm</t>
  </si>
  <si>
    <t>23/05/2023, 2:17:05 pm</t>
  </si>
  <si>
    <t>23/05/2023, 2:17:06 pm</t>
  </si>
  <si>
    <t>23/05/2023, 2:17:07 pm</t>
  </si>
  <si>
    <t>23/05/2023, 2:17:08 pm</t>
  </si>
  <si>
    <t>23/05/2023, 2:17:09 pm</t>
  </si>
  <si>
    <t>23/05/2023, 2:17:10 pm</t>
  </si>
  <si>
    <t>23/05/2023, 2:17:11 pm</t>
  </si>
  <si>
    <t>23/05/2023, 2:17:12 pm</t>
  </si>
  <si>
    <t>23/05/2023, 2:17:13 pm</t>
  </si>
  <si>
    <t>23/05/2023, 2:17:14 pm</t>
  </si>
  <si>
    <t>23/05/2023, 2:17:15 pm</t>
  </si>
  <si>
    <t>23/05/2023, 2:17:16 pm</t>
  </si>
  <si>
    <t>23/05/2023, 2:17:17 pm</t>
  </si>
  <si>
    <t>23/05/2023, 2:17:18 pm</t>
  </si>
  <si>
    <t>23/05/2023, 2:17:19 pm</t>
  </si>
  <si>
    <t>23/05/2023, 2:17:20 pm</t>
  </si>
  <si>
    <t>23/05/2023, 2:17:21 pm</t>
  </si>
  <si>
    <t>23/05/2023, 2:17:22 pm</t>
  </si>
  <si>
    <t>23/05/2023, 2:17:23 pm</t>
  </si>
  <si>
    <t>23/05/2023, 2:17:24 pm</t>
  </si>
  <si>
    <t>23/05/2023, 2:17:25 pm</t>
  </si>
  <si>
    <t>23/05/2023, 2:17:26 pm</t>
  </si>
  <si>
    <t>23/05/2023, 2:17:27 pm</t>
  </si>
  <si>
    <t>23/05/2023, 2:17:28 pm</t>
  </si>
  <si>
    <t>23/05/2023, 2:17:29 pm</t>
  </si>
  <si>
    <t>23/05/2023, 2:17:30 pm</t>
  </si>
  <si>
    <t>23/05/2023, 2:17:31 pm</t>
  </si>
  <si>
    <t>23/05/2023, 2:17:32 pm</t>
  </si>
  <si>
    <t>23/05/2023, 2:17:33 pm</t>
  </si>
  <si>
    <t>23/05/2023, 2:17:34 pm</t>
  </si>
  <si>
    <t>23/05/2023, 2:17:35 pm</t>
  </si>
  <si>
    <t>23/05/2023, 2:17:36 pm</t>
  </si>
  <si>
    <t>23/05/2023, 2:17:37 pm</t>
  </si>
  <si>
    <t>23/05/2023, 2:17:38 pm</t>
  </si>
  <si>
    <t>23/05/2023, 2:17:39 pm</t>
  </si>
  <si>
    <t>23/05/2023, 2:17:40 pm</t>
  </si>
  <si>
    <t>23/05/2023, 2:17:41 pm</t>
  </si>
  <si>
    <t>23/05/2023, 2:17:42 pm</t>
  </si>
  <si>
    <t>23/05/2023, 2:17:43 pm</t>
  </si>
  <si>
    <t>23/05/2023, 2:17:44 pm</t>
  </si>
  <si>
    <t>23/05/2023, 2:17:45 pm</t>
  </si>
  <si>
    <t>23/05/2023, 2:17:46 pm</t>
  </si>
  <si>
    <t>23/05/2023, 2:17:47 pm</t>
  </si>
  <si>
    <t>23/05/2023, 2:17:48 pm</t>
  </si>
  <si>
    <t>23/05/2023, 2:17:49 pm</t>
  </si>
  <si>
    <t>23/05/2023, 2:17:50 pm</t>
  </si>
  <si>
    <t>23/05/2023, 2:17:51 pm</t>
  </si>
  <si>
    <t>23/05/2023, 2:17:52 pm</t>
  </si>
  <si>
    <t>23/05/2023, 2:17:53 pm</t>
  </si>
  <si>
    <t>23/05/2023, 2:17:54 pm</t>
  </si>
  <si>
    <t>23/05/2023, 2:17:55 pm</t>
  </si>
  <si>
    <t>23/05/2023, 2:17:56 pm</t>
  </si>
  <si>
    <t>23/05/2023, 2:17:57 pm</t>
  </si>
  <si>
    <t>23/05/2023, 2:17:58 pm</t>
  </si>
  <si>
    <t>23/05/2023, 2:17:59 pm</t>
  </si>
  <si>
    <t>23/05/2023, 2:18:00 pm</t>
  </si>
  <si>
    <t>23/05/2023, 2:18:01 pm</t>
  </si>
  <si>
    <t>23/05/2023, 2:18:02 pm</t>
  </si>
  <si>
    <t>23/05/2023, 2:18:03 pm</t>
  </si>
  <si>
    <t>23/05/2023, 2:18:05 pm</t>
  </si>
  <si>
    <t>23/05/2023, 2:18:06 pm</t>
  </si>
  <si>
    <t>23/05/2023, 2:18:07 pm</t>
  </si>
  <si>
    <t>23/05/2023, 2:18:08 pm</t>
  </si>
  <si>
    <t>23/05/2023, 2:18:09 pm</t>
  </si>
  <si>
    <t>23/05/2023, 2:18:10 pm</t>
  </si>
  <si>
    <t>23/05/2023, 2:18:11 pm</t>
  </si>
  <si>
    <t>23/05/2023, 2:18:12 pm</t>
  </si>
  <si>
    <t>23/05/2023, 2:18:13 pm</t>
  </si>
  <si>
    <t>23/05/2023, 2:18:14 pm</t>
  </si>
  <si>
    <t>23/05/2023, 2:18:15 pm</t>
  </si>
  <si>
    <t>23/05/2023, 2:18:16 pm</t>
  </si>
  <si>
    <t>23/05/2023, 2:18:17 pm</t>
  </si>
  <si>
    <t>23/05/2023, 2:18:18 pm</t>
  </si>
  <si>
    <t>23/05/2023, 2:18:19 pm</t>
  </si>
  <si>
    <t>23/05/2023, 2:18:20 pm</t>
  </si>
  <si>
    <t>23/05/2023, 2:18:21 pm</t>
  </si>
  <si>
    <t>23/05/2023, 2:18:22 pm</t>
  </si>
  <si>
    <t>23/05/2023, 2:18:23 pm</t>
  </si>
  <si>
    <t>23/05/2023, 2:18:24 pm</t>
  </si>
  <si>
    <t>23/05/2023, 2:18:25 pm</t>
  </si>
  <si>
    <t>23/05/2023, 2:18:26 pm</t>
  </si>
  <si>
    <t>23/05/2023, 2:18:27 pm</t>
  </si>
  <si>
    <t>23/05/2023, 2:18:28 pm</t>
  </si>
  <si>
    <t>23/05/2023, 2:18:29 pm</t>
  </si>
  <si>
    <t>23/05/2023, 2:18:30 pm</t>
  </si>
  <si>
    <t>23/05/2023, 2:18:31 pm</t>
  </si>
  <si>
    <t>23/05/2023, 2:18:32 pm</t>
  </si>
  <si>
    <t>23/05/2023, 2:18:33 pm</t>
  </si>
  <si>
    <t>23/05/2023, 2:18:34 pm</t>
  </si>
  <si>
    <t>23/05/2023, 2:18:35 pm</t>
  </si>
  <si>
    <t>23/05/2023, 2:18:36 pm</t>
  </si>
  <si>
    <t>23/05/2023, 2:18:37 pm</t>
  </si>
  <si>
    <t>23/05/2023, 2:18:38 pm</t>
  </si>
  <si>
    <t>23/05/2023, 2:18:39 pm</t>
  </si>
  <si>
    <t>23/05/2023, 2:18:40 pm</t>
  </si>
  <si>
    <t>23/05/2023, 2:18:41 pm</t>
  </si>
  <si>
    <t>23/05/2023, 2:18:42 pm</t>
  </si>
  <si>
    <t>23/05/2023, 2:18:43 pm</t>
  </si>
  <si>
    <t>23/05/2023, 2:18:44 pm</t>
  </si>
  <si>
    <t>23/05/2023, 2:18:45 pm</t>
  </si>
  <si>
    <t>23/05/2023, 2:18:46 pm</t>
  </si>
  <si>
    <t>23/05/2023, 2:18:47 pm</t>
  </si>
  <si>
    <t>23/05/2023, 2:18:48 pm</t>
  </si>
  <si>
    <t>23/05/2023, 2:18:49 pm</t>
  </si>
  <si>
    <t>23/05/2023, 2:18:50 pm</t>
  </si>
  <si>
    <t>23/05/2023, 2:18:51 pm</t>
  </si>
  <si>
    <t>23/05/2023, 2:18:52 pm</t>
  </si>
  <si>
    <t>23/05/2023, 2:18:53 pm</t>
  </si>
  <si>
    <t>23/05/2023, 2:18:54 pm</t>
  </si>
  <si>
    <t>23/05/2023, 2:18:55 pm</t>
  </si>
  <si>
    <t>23/05/2023, 2:18:56 pm</t>
  </si>
  <si>
    <t>23/05/2023, 2:18:57 pm</t>
  </si>
  <si>
    <t>23/05/2023, 2:18:58 pm</t>
  </si>
  <si>
    <t>23/05/2023, 2:18:59 pm</t>
  </si>
  <si>
    <t>23/05/2023, 2:19:00 pm</t>
  </si>
  <si>
    <t>23/05/2023, 2:19:01 pm</t>
  </si>
  <si>
    <t>23/05/2023, 2:19:02 pm</t>
  </si>
  <si>
    <t>23/05/2023, 2:19:03 pm</t>
  </si>
  <si>
    <t>23/05/2023, 2:19:04 pm</t>
  </si>
  <si>
    <t>23/05/2023, 2:19:05 pm</t>
  </si>
  <si>
    <t>23/05/2023, 2:19:06 pm</t>
  </si>
  <si>
    <t>23/05/2023, 2:19:07 pm</t>
  </si>
  <si>
    <t>23/05/2023, 2:19:08 pm</t>
  </si>
  <si>
    <t>23/05/2023, 2:19:09 pm</t>
  </si>
  <si>
    <t>23/05/2023, 2:19:10 pm</t>
  </si>
  <si>
    <t>23/05/2023, 2:19:11 pm</t>
  </si>
  <si>
    <t>23/05/2023, 2:19:12 pm</t>
  </si>
  <si>
    <t>23/05/2023, 2:19:13 pm</t>
  </si>
  <si>
    <t>23/05/2023, 2:19:14 pm</t>
  </si>
  <si>
    <t>23/05/2023, 2:19:15 pm</t>
  </si>
  <si>
    <t>23/05/2023, 2:19:16 pm</t>
  </si>
  <si>
    <t>23/05/2023, 2:19:17 pm</t>
  </si>
  <si>
    <t>23/05/2023, 2:19:18 pm</t>
  </si>
  <si>
    <t>23/05/2023, 2:19:19 pm</t>
  </si>
  <si>
    <t>23/05/2023, 2:19:20 pm</t>
  </si>
  <si>
    <t>23/05/2023, 2:19:21 pm</t>
  </si>
  <si>
    <t>23/05/2023, 2:19:22 pm</t>
  </si>
  <si>
    <t>23/05/2023, 2:19:23 pm</t>
  </si>
  <si>
    <t>23/05/2023, 2:19:24 pm</t>
  </si>
  <si>
    <t>23/05/2023, 2:19:25 pm</t>
  </si>
  <si>
    <t>23/05/2023, 2:19:26 pm</t>
  </si>
  <si>
    <t>23/05/2023, 2:19:27 pm</t>
  </si>
  <si>
    <t>23/05/2023, 2:19:28 pm</t>
  </si>
  <si>
    <t>23/05/2023, 2:19:29 pm</t>
  </si>
  <si>
    <t>23/05/2023, 2:19:30 pm</t>
  </si>
  <si>
    <t>23/05/2023, 2:19:31 pm</t>
  </si>
  <si>
    <t>23/05/2023, 2:19:32 pm</t>
  </si>
  <si>
    <t>23/05/2023, 2:19:33 pm</t>
  </si>
  <si>
    <t>23/05/2023, 2:19:34 pm</t>
  </si>
  <si>
    <t>23/05/2023, 2:19:35 pm</t>
  </si>
  <si>
    <t>23/05/2023, 2:19:36 pm</t>
  </si>
  <si>
    <t>23/05/2023, 2:19:37 pm</t>
  </si>
  <si>
    <t>23/05/2023, 2:19:38 pm</t>
  </si>
  <si>
    <t>23/05/2023, 2:19:39 pm</t>
  </si>
  <si>
    <t>23/05/2023, 2:19:40 pm</t>
  </si>
  <si>
    <t>23/05/2023, 2:19:41 pm</t>
  </si>
  <si>
    <t>23/05/2023, 2:19:42 pm</t>
  </si>
  <si>
    <t>23/05/2023, 2:19:43 pm</t>
  </si>
  <si>
    <t>23/05/2023, 2:19:44 pm</t>
  </si>
  <si>
    <t>23/05/2023, 2:19:45 pm</t>
  </si>
  <si>
    <t>23/05/2023, 2:19:46 pm</t>
  </si>
  <si>
    <t>23/05/2023, 2:19:47 pm</t>
  </si>
  <si>
    <t>23/05/2023, 2:19:48 pm</t>
  </si>
  <si>
    <t>23/05/2023, 2:19:49 pm</t>
  </si>
  <si>
    <t>23/05/2023, 2:19:50 pm</t>
  </si>
  <si>
    <t>23/05/2023, 2:19:51 pm</t>
  </si>
  <si>
    <t>23/05/2023, 2:19:52 pm</t>
  </si>
  <si>
    <t>23/05/2023, 2:19:53 pm</t>
  </si>
  <si>
    <t>23/05/2023, 2:19:54 pm</t>
  </si>
  <si>
    <t>23/05/2023, 2:19:55 pm</t>
  </si>
  <si>
    <t>23/05/2023, 2:19:56 pm</t>
  </si>
  <si>
    <t>23/05/2023, 2:19:57 pm</t>
  </si>
  <si>
    <t>23/05/2023, 2:19:58 pm</t>
  </si>
  <si>
    <t>23/05/2023, 2:19:59 pm</t>
  </si>
  <si>
    <t>23/05/2023, 2:20:00 pm</t>
  </si>
  <si>
    <t>23/05/2023, 2:20:01 pm</t>
  </si>
  <si>
    <t>23/05/2023, 2:20:02 pm</t>
  </si>
  <si>
    <t>23/05/2023, 2:20:03 pm</t>
  </si>
  <si>
    <t>23/05/2023, 2:20:04 pm</t>
  </si>
  <si>
    <t>23/05/2023, 2:20:05 pm</t>
  </si>
  <si>
    <t>23/05/2023, 2:20:06 pm</t>
  </si>
  <si>
    <t>23/05/2023, 2:20:07 pm</t>
  </si>
  <si>
    <t>23/05/2023, 2:20:08 pm</t>
  </si>
  <si>
    <t>23/05/2023, 2:20:09 pm</t>
  </si>
  <si>
    <t>23/05/2023, 2:20:10 pm</t>
  </si>
  <si>
    <t>23/05/2023, 2:20:11 pm</t>
  </si>
  <si>
    <t>23/05/2023, 2:20:12 pm</t>
  </si>
  <si>
    <t>23/05/2023, 2:20:13 pm</t>
  </si>
  <si>
    <t>23/05/2023, 2:20:14 pm</t>
  </si>
  <si>
    <t>23/05/2023, 2:20:16 pm</t>
  </si>
  <si>
    <t>23/05/2023, 2:20:17 pm</t>
  </si>
  <si>
    <t>23/05/2023, 2:20:18 pm</t>
  </si>
  <si>
    <t>23/05/2023, 2:20:19 pm</t>
  </si>
  <si>
    <t>23/05/2023, 2:20:20 pm</t>
  </si>
  <si>
    <t>23/05/2023, 2:20:21 pm</t>
  </si>
  <si>
    <t>23/05/2023, 2:20:22 pm</t>
  </si>
  <si>
    <t>23/05/2023, 2:20:23 pm</t>
  </si>
  <si>
    <t>23/05/2023, 2:20:24 pm</t>
  </si>
  <si>
    <t>23/05/2023, 2:20:25 pm</t>
  </si>
  <si>
    <t>23/05/2023, 2:20:26 pm</t>
  </si>
  <si>
    <t>23/05/2023, 2:20:27 pm</t>
  </si>
  <si>
    <t>23/05/2023, 2:20:28 pm</t>
  </si>
  <si>
    <t>23/05/2023, 2:20:29 pm</t>
  </si>
  <si>
    <t>23/05/2023, 2:20:30 pm</t>
  </si>
  <si>
    <t>23/05/2023, 2:20:31 pm</t>
  </si>
  <si>
    <t>23/05/2023, 2:20:32 pm</t>
  </si>
  <si>
    <t>23/05/2023, 2:20:33 pm</t>
  </si>
  <si>
    <t>23/05/2023, 2:20:34 pm</t>
  </si>
  <si>
    <t>23/05/2023, 2:20:35 pm</t>
  </si>
  <si>
    <t>23/05/2023, 2:20:36 pm</t>
  </si>
  <si>
    <t>23/05/2023, 2:20:37 pm</t>
  </si>
  <si>
    <t>23/05/2023, 2:20:38 pm</t>
  </si>
  <si>
    <t>23/05/2023, 2:20:39 pm</t>
  </si>
  <si>
    <t>23/05/2023, 2:20:40 pm</t>
  </si>
  <si>
    <t>23/05/2023, 2:20:41 pm</t>
  </si>
  <si>
    <t>23/05/2023, 2:20:42 pm</t>
  </si>
  <si>
    <t>23/05/2023, 2:20:43 pm</t>
  </si>
  <si>
    <t>23/05/2023, 2:20:44 pm</t>
  </si>
  <si>
    <t>23/05/2023, 2:20:45 pm</t>
  </si>
  <si>
    <t>23/05/2023, 2:20:46 pm</t>
  </si>
  <si>
    <t>23/05/2023, 2:20:47 pm</t>
  </si>
  <si>
    <t>23/05/2023, 2:20:48 pm</t>
  </si>
  <si>
    <t>23/05/2023, 2:20:49 pm</t>
  </si>
  <si>
    <t>23/05/2023, 2:20:50 pm</t>
  </si>
  <si>
    <t>23/05/2023, 2:20:51 pm</t>
  </si>
  <si>
    <t>23/05/2023, 2:20:52 pm</t>
  </si>
  <si>
    <t>23/05/2023, 2:20:53 pm</t>
  </si>
  <si>
    <t>23/05/2023, 2:20:54 pm</t>
  </si>
  <si>
    <t>23/05/2023, 2:20:55 pm</t>
  </si>
  <si>
    <t>23/05/2023, 2:20:56 pm</t>
  </si>
  <si>
    <t>23/05/2023, 2:20:57 pm</t>
  </si>
  <si>
    <t>23/05/2023, 2:20:58 pm</t>
  </si>
  <si>
    <t>23/05/2023, 2:20:59 pm</t>
  </si>
  <si>
    <t>23/05/2023, 2:21:00 pm</t>
  </si>
  <si>
    <t>23/05/2023, 2:21:01 pm</t>
  </si>
  <si>
    <t>23/05/2023, 2:21:02 pm</t>
  </si>
  <si>
    <t>23/05/2023, 2:21:03 pm</t>
  </si>
  <si>
    <t>23/05/2023, 2:21:04 pm</t>
  </si>
  <si>
    <t>23/05/2023, 2:21:05 pm</t>
  </si>
  <si>
    <t>23/05/2023, 2:21:06 pm</t>
  </si>
  <si>
    <t>23/05/2023, 2:21:07 pm</t>
  </si>
  <si>
    <t>23/05/2023, 2:21:08 pm</t>
  </si>
  <si>
    <t>23/05/2023, 2:21:09 pm</t>
  </si>
  <si>
    <t>23/05/2023, 2:21:10 pm</t>
  </si>
  <si>
    <t>23/05/2023, 2:21:11 pm</t>
  </si>
  <si>
    <t>23/05/2023, 2:21:12 pm</t>
  </si>
  <si>
    <t>23/05/2023, 2:21:13 pm</t>
  </si>
  <si>
    <t>23/05/2023, 2:21:14 pm</t>
  </si>
  <si>
    <t>23/05/2023, 2:21:15 pm</t>
  </si>
  <si>
    <t>23/05/2023, 2:21:16 pm</t>
  </si>
  <si>
    <t>23/05/2023, 2:21:17 pm</t>
  </si>
  <si>
    <t>23/05/2023, 2:21:18 pm</t>
  </si>
  <si>
    <t>23/05/2023, 2:21:19 pm</t>
  </si>
  <si>
    <t>23/05/2023, 2:21:20 pm</t>
  </si>
  <si>
    <t>23/05/2023, 2:21:21 pm</t>
  </si>
  <si>
    <t>23/05/2023, 2:21:22 pm</t>
  </si>
  <si>
    <t>23/05/2023, 2:21:23 pm</t>
  </si>
  <si>
    <t>23/05/2023, 2:21:24 pm</t>
  </si>
  <si>
    <t>23/05/2023, 2:21:25 pm</t>
  </si>
  <si>
    <t>23/05/2023, 2:21:26 pm</t>
  </si>
  <si>
    <t>23/05/2023, 2:21:27 pm</t>
  </si>
  <si>
    <t>23/05/2023, 2:21:28 pm</t>
  </si>
  <si>
    <t>23/05/2023, 2:21:29 pm</t>
  </si>
  <si>
    <t>23/05/2023, 2:21:30 pm</t>
  </si>
  <si>
    <t>23/05/2023, 2:21:31 pm</t>
  </si>
  <si>
    <t>23/05/2023, 2:21:32 pm</t>
  </si>
  <si>
    <t>23/05/2023, 2:21:33 pm</t>
  </si>
  <si>
    <t>23/05/2023, 2:21:34 pm</t>
  </si>
  <si>
    <t>23/05/2023, 2:21:35 pm</t>
  </si>
  <si>
    <t>23/05/2023, 2:21:36 pm</t>
  </si>
  <si>
    <t>23/05/2023, 2:21:37 pm</t>
  </si>
  <si>
    <t>23/05/2023, 2:21:38 pm</t>
  </si>
  <si>
    <t>23/05/2023, 2:21:39 pm</t>
  </si>
  <si>
    <t>23/05/2023, 2:21:40 pm</t>
  </si>
  <si>
    <t>23/05/2023, 2:21:41 pm</t>
  </si>
  <si>
    <t>23/05/2023, 2:21:42 pm</t>
  </si>
  <si>
    <t>23/05/2023, 2:21:43 pm</t>
  </si>
  <si>
    <t>23/05/2023, 2:21:44 pm</t>
  </si>
  <si>
    <t>23/05/2023, 2:21:45 pm</t>
  </si>
  <si>
    <t>23/05/2023, 2:21:46 pm</t>
  </si>
  <si>
    <t>23/05/2023, 2:21:47 pm</t>
  </si>
  <si>
    <t>23/05/2023, 2:21:48 pm</t>
  </si>
  <si>
    <t>23/05/2023, 2:21:49 pm</t>
  </si>
  <si>
    <t>23/05/2023, 2:21:50 pm</t>
  </si>
  <si>
    <t>23/05/2023, 2:21:51 pm</t>
  </si>
  <si>
    <t>23/05/2023, 2:21:52 pm</t>
  </si>
  <si>
    <t>23/05/2023, 2:21:53 pm</t>
  </si>
  <si>
    <t>23/05/2023, 2:21:54 pm</t>
  </si>
  <si>
    <t>23/05/2023, 2:21:55 pm</t>
  </si>
  <si>
    <t>23/05/2023, 2:21:56 pm</t>
  </si>
  <si>
    <t>23/05/2023, 2:21:57 pm</t>
  </si>
  <si>
    <t>23/05/2023, 2:21:58 pm</t>
  </si>
  <si>
    <t>23/05/2023, 2:21:59 pm</t>
  </si>
  <si>
    <t>23/05/2023, 2:22:00 pm</t>
  </si>
  <si>
    <t>23/05/2023, 2:22:01 pm</t>
  </si>
  <si>
    <t>23/05/2023, 2:22:02 pm</t>
  </si>
  <si>
    <t>23/05/2023, 2:22:03 pm</t>
  </si>
  <si>
    <t>23/05/2023, 2:22:04 pm</t>
  </si>
  <si>
    <t>23/05/2023, 2:22:05 pm</t>
  </si>
  <si>
    <t>23/05/2023, 2:22:06 pm</t>
  </si>
  <si>
    <t>23/05/2023, 2:22:07 pm</t>
  </si>
  <si>
    <t>23/05/2023, 2:22:08 pm</t>
  </si>
  <si>
    <t>23/05/2023, 2:22:09 pm</t>
  </si>
  <si>
    <t>23/05/2023, 2:22:10 pm</t>
  </si>
  <si>
    <t>23/05/2023, 2:22:11 pm</t>
  </si>
  <si>
    <t>23/05/2023, 2:22:12 pm</t>
  </si>
  <si>
    <t>23/05/2023, 2:22:13 pm</t>
  </si>
  <si>
    <t>23/05/2023, 2:22:14 pm</t>
  </si>
  <si>
    <t>23/05/2023, 2:22:15 pm</t>
  </si>
  <si>
    <t>23/05/2023, 2:22:16 pm</t>
  </si>
  <si>
    <t>23/05/2023, 2:22:17 pm</t>
  </si>
  <si>
    <t>23/05/2023, 2:22:18 pm</t>
  </si>
  <si>
    <t>23/05/2023, 2:22:19 pm</t>
  </si>
  <si>
    <t>23/05/2023, 2:22:20 pm</t>
  </si>
  <si>
    <t>23/05/2023, 2:22:21 pm</t>
  </si>
  <si>
    <t>23/05/2023, 2:22:22 pm</t>
  </si>
  <si>
    <t>23/05/2023, 2:22:23 pm</t>
  </si>
  <si>
    <t>23/05/2023, 2:22:25 pm</t>
  </si>
  <si>
    <t>23/05/2023, 2:22:26 pm</t>
  </si>
  <si>
    <t>23/05/2023, 2:22:27 pm</t>
  </si>
  <si>
    <t>23/05/2023, 2:22:28 pm</t>
  </si>
  <si>
    <t>23/05/2023, 2:22:29 pm</t>
  </si>
  <si>
    <t>23/05/2023, 2:22:30 pm</t>
  </si>
  <si>
    <t>23/05/2023, 2:22:31 pm</t>
  </si>
  <si>
    <t>23/05/2023, 2:22:32 pm</t>
  </si>
  <si>
    <t>23/05/2023, 2:22:33 pm</t>
  </si>
  <si>
    <t>23/05/2023, 2:22:34 pm</t>
  </si>
  <si>
    <t>23/05/2023, 2:22:35 pm</t>
  </si>
  <si>
    <t>23/05/2023, 2:22:36 pm</t>
  </si>
  <si>
    <t>23/05/2023, 2:22:37 pm</t>
  </si>
  <si>
    <t>23/05/2023, 2:22:38 pm</t>
  </si>
  <si>
    <t>23/05/2023, 2:22:39 pm</t>
  </si>
  <si>
    <t>23/05/2023, 2:22:40 pm</t>
  </si>
  <si>
    <t>23/05/2023, 2:22:41 pm</t>
  </si>
  <si>
    <t>23/05/2023, 2:22:42 pm</t>
  </si>
  <si>
    <t>23/05/2023, 2:22:43 pm</t>
  </si>
  <si>
    <t>23/05/2023, 2:22:44 pm</t>
  </si>
  <si>
    <t>23/05/2023, 2:22:45 pm</t>
  </si>
  <si>
    <t>23/05/2023, 2:22:46 pm</t>
  </si>
  <si>
    <t>23/05/2023, 2:22:47 pm</t>
  </si>
  <si>
    <t>23/05/2023, 2:22:48 pm</t>
  </si>
  <si>
    <t>23/05/2023, 2:22:49 pm</t>
  </si>
  <si>
    <t>23/05/2023, 2:22:50 pm</t>
  </si>
  <si>
    <t>23/05/2023, 2:22:51 pm</t>
  </si>
  <si>
    <t>23/05/2023, 2:22:52 pm</t>
  </si>
  <si>
    <t>23/05/2023, 2:22:53 pm</t>
  </si>
  <si>
    <t>23/05/2023, 2:22:54 pm</t>
  </si>
  <si>
    <t>23/05/2023, 2:22:55 pm</t>
  </si>
  <si>
    <t>23/05/2023, 2:22:56 pm</t>
  </si>
  <si>
    <t>23/05/2023, 2:22:57 pm</t>
  </si>
  <si>
    <t>23/05/2023, 2:22:58 pm</t>
  </si>
  <si>
    <t>23/05/2023, 2:22:59 pm</t>
  </si>
  <si>
    <t>23/05/2023, 2:23:00 pm</t>
  </si>
  <si>
    <t>23/05/2023, 2:23:01 pm</t>
  </si>
  <si>
    <t>23/05/2023, 2:23:02 pm</t>
  </si>
  <si>
    <t>23/05/2023, 2:23:03 pm</t>
  </si>
  <si>
    <t>23/05/2023, 2:23:04 pm</t>
  </si>
  <si>
    <t>23/05/2023, 2:23:05 pm</t>
  </si>
  <si>
    <t>23/05/2023, 2:23:06 pm</t>
  </si>
  <si>
    <t>23/05/2023, 2:23:07 pm</t>
  </si>
  <si>
    <t>23/05/2023, 2:23:08 pm</t>
  </si>
  <si>
    <t>23/05/2023, 2:23:09 pm</t>
  </si>
  <si>
    <t>23/05/2023, 2:23:10 pm</t>
  </si>
  <si>
    <t>23/05/2023, 2:23:11 pm</t>
  </si>
  <si>
    <t>23/05/2023, 2:23:12 pm</t>
  </si>
  <si>
    <t>23/05/2023, 2:23:13 pm</t>
  </si>
  <si>
    <t>23/05/2023, 2:23:14 pm</t>
  </si>
  <si>
    <t>23/05/2023, 2:23:15 pm</t>
  </si>
  <si>
    <t>23/05/2023, 2:23:16 pm</t>
  </si>
  <si>
    <t>23/05/2023, 2:23:17 pm</t>
  </si>
  <si>
    <t>23/05/2023, 2:23:18 pm</t>
  </si>
  <si>
    <t>23/05/2023, 2:23:19 pm</t>
  </si>
  <si>
    <t>23/05/2023, 2:23:20 pm</t>
  </si>
  <si>
    <t>23/05/2023, 2:23:21 pm</t>
  </si>
  <si>
    <t>23/05/2023, 2:23:22 pm</t>
  </si>
  <si>
    <t>23/05/2023, 2:23:23 pm</t>
  </si>
  <si>
    <t>23/05/2023, 2:23:24 pm</t>
  </si>
  <si>
    <t>23/05/2023, 2:23:25 pm</t>
  </si>
  <si>
    <t>23/05/2023, 2:23:26 pm</t>
  </si>
  <si>
    <t>23/05/2023, 2:23:27 pm</t>
  </si>
  <si>
    <t>23/05/2023, 2:23:28 pm</t>
  </si>
  <si>
    <t>23/05/2023, 2:23:29 pm</t>
  </si>
  <si>
    <t>23/05/2023, 2:23:30 pm</t>
  </si>
  <si>
    <t>23/05/2023, 2:23:31 pm</t>
  </si>
  <si>
    <t>23/05/2023, 2:23:32 pm</t>
  </si>
  <si>
    <t>23/05/2023, 2:23:33 pm</t>
  </si>
  <si>
    <t>23/05/2023, 2:23:34 pm</t>
  </si>
  <si>
    <t>23/05/2023, 2:23:35 pm</t>
  </si>
  <si>
    <t>23/05/2023, 2:23:36 pm</t>
  </si>
  <si>
    <t>23/05/2023, 2:23:37 pm</t>
  </si>
  <si>
    <t>23/05/2023, 2:23:38 pm</t>
  </si>
  <si>
    <t>23/05/2023, 2:23:39 pm</t>
  </si>
  <si>
    <t>23/05/2023, 2:23:40 pm</t>
  </si>
  <si>
    <t>23/05/2023, 2:23:41 pm</t>
  </si>
  <si>
    <t>23/05/2023, 2:23:42 pm</t>
  </si>
  <si>
    <t>23/05/2023, 2:23:43 pm</t>
  </si>
  <si>
    <t>23/05/2023, 2:23:44 pm</t>
  </si>
  <si>
    <t>23/05/2023, 2:23:45 pm</t>
  </si>
  <si>
    <t>23/05/2023, 2:23:46 pm</t>
  </si>
  <si>
    <t>23/05/2023, 2:23:47 pm</t>
  </si>
  <si>
    <t>23/05/2023, 2:23:48 pm</t>
  </si>
  <si>
    <t>23/05/2023, 2:23:49 pm</t>
  </si>
  <si>
    <t>23/05/2023, 2:23:50 pm</t>
  </si>
  <si>
    <t>23/05/2023, 2:23:51 pm</t>
  </si>
  <si>
    <t>23/05/2023, 2:23:52 pm</t>
  </si>
  <si>
    <t>23/05/2023, 2:23:53 pm</t>
  </si>
  <si>
    <t>23/05/2023, 2:23:54 pm</t>
  </si>
  <si>
    <t>23/05/2023, 2:23:55 pm</t>
  </si>
  <si>
    <t>23/05/2023, 2:23:56 pm</t>
  </si>
  <si>
    <t>23/05/2023, 2:23:57 pm</t>
  </si>
  <si>
    <t>23/05/2023, 2:23:58 pm</t>
  </si>
  <si>
    <t>23/05/2023, 2:23:59 pm</t>
  </si>
  <si>
    <t>23/05/2023, 2:24:00 pm</t>
  </si>
  <si>
    <t>23/05/2023, 2:24:01 pm</t>
  </si>
  <si>
    <t>23/05/2023, 2:24:02 pm</t>
  </si>
  <si>
    <t>23/05/2023, 2:24:03 pm</t>
  </si>
  <si>
    <t>23/05/2023, 2:24:04 pm</t>
  </si>
  <si>
    <t>23/05/2023, 2:24:05 pm</t>
  </si>
  <si>
    <t>23/05/2023, 2:24:06 pm</t>
  </si>
  <si>
    <t>23/05/2023, 2:24:07 pm</t>
  </si>
  <si>
    <t>23/05/2023, 2:24:08 pm</t>
  </si>
  <si>
    <t>23/05/2023, 2:24:09 pm</t>
  </si>
  <si>
    <t>23/05/2023, 2:24:10 pm</t>
  </si>
  <si>
    <t>23/05/2023, 2:24:11 pm</t>
  </si>
  <si>
    <t>23/05/2023, 2:24:12 pm</t>
  </si>
  <si>
    <t>23/05/2023, 2:24:13 pm</t>
  </si>
  <si>
    <t>23/05/2023, 2:24:14 pm</t>
  </si>
  <si>
    <t>23/05/2023, 2:24:15 pm</t>
  </si>
  <si>
    <t>23/05/2023, 2:24:16 pm</t>
  </si>
  <si>
    <t>23/05/2023, 2:24:17 pm</t>
  </si>
  <si>
    <t>23/05/2023, 2:24:18 pm</t>
  </si>
  <si>
    <t>23/05/2023, 2:24:19 pm</t>
  </si>
  <si>
    <t>23/05/2023, 2:24:20 pm</t>
  </si>
  <si>
    <t>23/05/2023, 2:24:21 pm</t>
  </si>
  <si>
    <t>23/05/2023, 2:24:22 pm</t>
  </si>
  <si>
    <t>23/05/2023, 2:24:23 pm</t>
  </si>
  <si>
    <t>23/05/2023, 2:24:24 pm</t>
  </si>
  <si>
    <t>23/05/2023, 2:24:25 pm</t>
  </si>
  <si>
    <t>23/05/2023, 2:24:27 pm</t>
  </si>
  <si>
    <t>23/05/2023, 2:24:28 pm</t>
  </si>
  <si>
    <t>23/05/2023, 2:24:29 pm</t>
  </si>
  <si>
    <t>23/05/2023, 2:24:30 pm</t>
  </si>
  <si>
    <t>23/05/2023, 2:24:31 pm</t>
  </si>
  <si>
    <t>23/05/2023, 2:24:32 pm</t>
  </si>
  <si>
    <t>23/05/2023, 2:24:33 pm</t>
  </si>
  <si>
    <t>23/05/2023, 2:24:34 pm</t>
  </si>
  <si>
    <t>23/05/2023, 2:24:35 pm</t>
  </si>
  <si>
    <t>23/05/2023, 2:24:36 pm</t>
  </si>
  <si>
    <t>23/05/2023, 2:24:37 pm</t>
  </si>
  <si>
    <t>23/05/2023, 2:24:38 pm</t>
  </si>
  <si>
    <t>23/05/2023, 2:24:39 pm</t>
  </si>
  <si>
    <t>23/05/2023, 2:24:40 pm</t>
  </si>
  <si>
    <t>23/05/2023, 2:24:41 pm</t>
  </si>
  <si>
    <t>23/05/2023, 2:24:42 pm</t>
  </si>
  <si>
    <t>23/05/2023, 2:24:43 pm</t>
  </si>
  <si>
    <t>23/05/2023, 2:24:44 pm</t>
  </si>
  <si>
    <t>23/05/2023, 2:24:45 pm</t>
  </si>
  <si>
    <t>23/05/2023, 2:24:46 pm</t>
  </si>
  <si>
    <t>23/05/2023, 2:24:47 pm</t>
  </si>
  <si>
    <t>23/05/2023, 2:24:48 pm</t>
  </si>
  <si>
    <t>23/05/2023, 2:24:49 pm</t>
  </si>
  <si>
    <t>23/05/2023, 2:24:50 pm</t>
  </si>
  <si>
    <t>23/05/2023, 2:24:51 pm</t>
  </si>
  <si>
    <t>23/05/2023, 2:24:52 pm</t>
  </si>
  <si>
    <t>23/05/2023, 2:24:53 pm</t>
  </si>
  <si>
    <t>23/05/2023, 2:24:54 pm</t>
  </si>
  <si>
    <t>23/05/2023, 2:24:55 pm</t>
  </si>
  <si>
    <t>23/05/2023, 2:24:56 pm</t>
  </si>
  <si>
    <t>23/05/2023, 2:24:57 pm</t>
  </si>
  <si>
    <t>23/05/2023, 2:24:58 pm</t>
  </si>
  <si>
    <t>23/05/2023, 2:24:59 pm</t>
  </si>
  <si>
    <t>23/05/2023, 2:25:00 pm</t>
  </si>
  <si>
    <t>23/05/2023, 2:25:01 pm</t>
  </si>
  <si>
    <t>23/05/2023, 2:25:02 pm</t>
  </si>
  <si>
    <t>23/05/2023, 2:25:03 pm</t>
  </si>
  <si>
    <t>23/05/2023, 2:25:04 pm</t>
  </si>
  <si>
    <t>23/05/2023, 2:25:05 pm</t>
  </si>
  <si>
    <t>23/05/2023, 2:25:06 pm</t>
  </si>
  <si>
    <t>23/05/2023, 2:25:07 pm</t>
  </si>
  <si>
    <t>23/05/2023, 2:25:08 pm</t>
  </si>
  <si>
    <t>23/05/2023, 2:25:09 pm</t>
  </si>
  <si>
    <t>23/05/2023, 2:25:10 pm</t>
  </si>
  <si>
    <t>23/05/2023, 2:25:11 pm</t>
  </si>
  <si>
    <t>23/05/2023, 2:25:12 pm</t>
  </si>
  <si>
    <t>23/05/2023, 2:25:13 pm</t>
  </si>
  <si>
    <t>23/05/2023, 2:25:14 pm</t>
  </si>
  <si>
    <t>23/05/2023, 2:25:15 pm</t>
  </si>
  <si>
    <t>23/05/2023, 2:25:16 pm</t>
  </si>
  <si>
    <t>23/05/2023, 2:25:17 pm</t>
  </si>
  <si>
    <t>23/05/2023, 2:25:18 pm</t>
  </si>
  <si>
    <t>23/05/2023, 2:25:19 pm</t>
  </si>
  <si>
    <t>23/05/2023, 2:25:20 pm</t>
  </si>
  <si>
    <t>23/05/2023, 2:25:21 pm</t>
  </si>
  <si>
    <t>23/05/2023, 2:25:22 pm</t>
  </si>
  <si>
    <t>23/05/2023, 2:25:23 pm</t>
  </si>
  <si>
    <t>23/05/2023, 2:25:24 pm</t>
  </si>
  <si>
    <t>23/05/2023, 2:25:25 pm</t>
  </si>
  <si>
    <t>23/05/2023, 2:25:26 pm</t>
  </si>
  <si>
    <t>23/05/2023, 2:25:27 pm</t>
  </si>
  <si>
    <t>23/05/2023, 2:25:28 pm</t>
  </si>
  <si>
    <t>23/05/2023, 2:25:29 pm</t>
  </si>
  <si>
    <t>23/05/2023, 2:25:30 pm</t>
  </si>
  <si>
    <t>23/05/2023, 2:25:31 pm</t>
  </si>
  <si>
    <t>23/05/2023, 2:25:32 pm</t>
  </si>
  <si>
    <t>23/05/2023, 2:25:33 pm</t>
  </si>
  <si>
    <t>23/05/2023, 2:25:34 pm</t>
  </si>
  <si>
    <t>23/05/2023, 2:25:35 pm</t>
  </si>
  <si>
    <t>23/05/2023, 2:25:36 pm</t>
  </si>
  <si>
    <t>23/05/2023, 2:25:37 pm</t>
  </si>
  <si>
    <t>23/05/2023, 2:25:38 pm</t>
  </si>
  <si>
    <t>23/05/2023, 2:25:39 pm</t>
  </si>
  <si>
    <t>23/05/2023, 2:25:40 pm</t>
  </si>
  <si>
    <t>23/05/2023, 2:25:41 pm</t>
  </si>
  <si>
    <t>23/05/2023, 2:25:42 pm</t>
  </si>
  <si>
    <t>23/05/2023, 2:25:43 pm</t>
  </si>
  <si>
    <t>23/05/2023, 2:25:44 pm</t>
  </si>
  <si>
    <t>23/05/2023, 2:25:45 pm</t>
  </si>
  <si>
    <t>23/05/2023, 2:25:46 pm</t>
  </si>
  <si>
    <t>23/05/2023, 2:25:47 pm</t>
  </si>
  <si>
    <t>23/05/2023, 2:25:48 pm</t>
  </si>
  <si>
    <t>23/05/2023, 2:25:49 pm</t>
  </si>
  <si>
    <t>23/05/2023, 2:25:50 pm</t>
  </si>
  <si>
    <t>23/05/2023, 2:25:51 pm</t>
  </si>
  <si>
    <t>23/05/2023, 2:25:52 pm</t>
  </si>
  <si>
    <t>23/05/2023, 2:25:53 pm</t>
  </si>
  <si>
    <t>23/05/2023, 2:25:54 pm</t>
  </si>
  <si>
    <t>23/05/2023, 2:25:55 pm</t>
  </si>
  <si>
    <t>23/05/2023, 2:25:56 pm</t>
  </si>
  <si>
    <t>23/05/2023, 2:25:57 pm</t>
  </si>
  <si>
    <t>23/05/2023, 2:25:58 pm</t>
  </si>
  <si>
    <t>23/05/2023, 2:25:59 pm</t>
  </si>
  <si>
    <t>23/05/2023, 2:26:00 pm</t>
  </si>
  <si>
    <t>23/05/2023, 2:26:01 pm</t>
  </si>
  <si>
    <t>23/05/2023, 2:26:02 pm</t>
  </si>
  <si>
    <t>23/05/2023, 2:26:03 pm</t>
  </si>
  <si>
    <t>23/05/2023, 2:26:04 pm</t>
  </si>
  <si>
    <t>23/05/2023, 2:26:05 pm</t>
  </si>
  <si>
    <t>23/05/2023, 2:26:06 pm</t>
  </si>
  <si>
    <t>23/05/2023, 2:26:07 pm</t>
  </si>
  <si>
    <t>23/05/2023, 2:26:08 pm</t>
  </si>
  <si>
    <t>23/05/2023, 2:26:09 pm</t>
  </si>
  <si>
    <t>23/05/2023, 2:26:10 pm</t>
  </si>
  <si>
    <t>23/05/2023, 2:26:11 pm</t>
  </si>
  <si>
    <t>23/05/2023, 2:26:12 pm</t>
  </si>
  <si>
    <t>23/05/2023, 2:26:13 pm</t>
  </si>
  <si>
    <t>23/05/2023, 2:26:14 pm</t>
  </si>
  <si>
    <t>23/05/2023, 2:26:15 pm</t>
  </si>
  <si>
    <t>23/05/2023, 2:26:16 pm</t>
  </si>
  <si>
    <t>23/05/2023, 2:26:17 pm</t>
  </si>
  <si>
    <t>23/05/2023, 2:26:18 pm</t>
  </si>
  <si>
    <t>23/05/2023, 2:26:19 pm</t>
  </si>
  <si>
    <t>23/05/2023, 2:26:20 pm</t>
  </si>
  <si>
    <t>23/05/2023, 2:26:21 pm</t>
  </si>
  <si>
    <t>23/05/2023, 2:26:22 pm</t>
  </si>
  <si>
    <t>23/05/2023, 2:26:23 pm</t>
  </si>
  <si>
    <t>23/05/2023, 2:26:24 pm</t>
  </si>
  <si>
    <t>23/05/2023, 2:26:25 pm</t>
  </si>
  <si>
    <t>23/05/2023, 2:26:26 pm</t>
  </si>
  <si>
    <t>23/05/2023, 2:26:27 pm</t>
  </si>
  <si>
    <t>23/05/2023, 2:26:28 pm</t>
  </si>
  <si>
    <t>23/05/2023, 2:26:29 pm</t>
  </si>
  <si>
    <t>23/05/2023, 2:26:30 pm</t>
  </si>
  <si>
    <t>23/05/2023, 2:26:31 pm</t>
  </si>
  <si>
    <t>23/05/2023, 2:26:32 pm</t>
  </si>
  <si>
    <t>23/05/2023, 2:26:33 pm</t>
  </si>
  <si>
    <t>23/05/2023, 2:26:34 pm</t>
  </si>
  <si>
    <t>23/05/2023, 2:26:35 pm</t>
  </si>
  <si>
    <t>23/05/2023, 2:26:36 pm</t>
  </si>
  <si>
    <t>23/05/2023, 2:26:37 pm</t>
  </si>
  <si>
    <t>23/05/2023, 2:26:39 pm</t>
  </si>
  <si>
    <t>23/05/2023, 2:26:41 pm</t>
  </si>
  <si>
    <t>23/05/2023, 2:26:42 pm</t>
  </si>
  <si>
    <t>23/05/2023, 2:26:43 pm</t>
  </si>
  <si>
    <t>23/05/2023, 2:26:44 pm</t>
  </si>
  <si>
    <t>23/05/2023, 2:26:45 pm</t>
  </si>
  <si>
    <t>23/05/2023, 2:26:46 pm</t>
  </si>
  <si>
    <t>23/05/2023, 2:26:47 pm</t>
  </si>
  <si>
    <t>23/05/2023, 2:26:48 pm</t>
  </si>
  <si>
    <t>23/05/2023, 2:26:49 pm</t>
  </si>
  <si>
    <t>23/05/2023, 2:26:50 pm</t>
  </si>
  <si>
    <t>23/05/2023, 2:26:51 pm</t>
  </si>
  <si>
    <t>23/05/2023, 2:26:52 pm</t>
  </si>
  <si>
    <t>23/05/2023, 2:26:53 pm</t>
  </si>
  <si>
    <t>23/05/2023, 2:26:54 pm</t>
  </si>
  <si>
    <t>23/05/2023, 2:26:55 pm</t>
  </si>
  <si>
    <t>23/05/2023, 2:26:56 pm</t>
  </si>
  <si>
    <t>23/05/2023, 2:26:57 pm</t>
  </si>
  <si>
    <t>23/05/2023, 2:26:58 pm</t>
  </si>
  <si>
    <t>23/05/2023, 2:26:59 pm</t>
  </si>
  <si>
    <t>23/05/2023, 2:27:00 pm</t>
  </si>
  <si>
    <t>23/05/2023, 2:27:01 pm</t>
  </si>
  <si>
    <t>23/05/2023, 2:27:02 pm</t>
  </si>
  <si>
    <t>23/05/2023, 2:27:03 pm</t>
  </si>
  <si>
    <t>23/05/2023, 2:27:04 pm</t>
  </si>
  <si>
    <t>23/05/2023, 2:27:05 pm</t>
  </si>
  <si>
    <t>23/05/2023, 2:27:06 pm</t>
  </si>
  <si>
    <t>23/05/2023, 2:27:07 pm</t>
  </si>
  <si>
    <t>23/05/2023, 2:27:08 pm</t>
  </si>
  <si>
    <t>23/05/2023, 2:27:09 pm</t>
  </si>
  <si>
    <t>23/05/2023, 2:27:10 pm</t>
  </si>
  <si>
    <t>23/05/2023, 2:27:11 pm</t>
  </si>
  <si>
    <t>23/05/2023, 2:27:12 pm</t>
  </si>
  <si>
    <t>23/05/2023, 2:27:13 pm</t>
  </si>
  <si>
    <t>23/05/2023, 2:27:14 pm</t>
  </si>
  <si>
    <t>23/05/2023, 2:27:15 pm</t>
  </si>
  <si>
    <t>23/05/2023, 2:27:16 pm</t>
  </si>
  <si>
    <t>23/05/2023, 2:27:17 pm</t>
  </si>
  <si>
    <t>23/05/2023, 2:27:18 pm</t>
  </si>
  <si>
    <t>23/05/2023, 2:27:19 pm</t>
  </si>
  <si>
    <t>23/05/2023, 2:27:20 pm</t>
  </si>
  <si>
    <t>23/05/2023, 2:27:21 pm</t>
  </si>
  <si>
    <t>23/05/2023, 2:27:22 pm</t>
  </si>
  <si>
    <t>23/05/2023, 2:27:23 pm</t>
  </si>
  <si>
    <t>23/05/2023, 2:27:24 pm</t>
  </si>
  <si>
    <t>23/05/2023, 2:27:25 pm</t>
  </si>
  <si>
    <t>23/05/2023, 2:27:26 pm</t>
  </si>
  <si>
    <t>23/05/2023, 2:27:27 pm</t>
  </si>
  <si>
    <t>23/05/2023, 2:27:28 pm</t>
  </si>
  <si>
    <t>23/05/2023, 2:27:29 pm</t>
  </si>
  <si>
    <t>23/05/2023, 2:27:30 pm</t>
  </si>
  <si>
    <t>23/05/2023, 2:27:31 pm</t>
  </si>
  <si>
    <t>23/05/2023, 2:27:32 pm</t>
  </si>
  <si>
    <t>23/05/2023, 2:27:33 pm</t>
  </si>
  <si>
    <t>23/05/2023, 2:27:34 pm</t>
  </si>
  <si>
    <t>23/05/2023, 2:27:35 pm</t>
  </si>
  <si>
    <t>23/05/2023, 2:27:36 pm</t>
  </si>
  <si>
    <t>23/05/2023, 2:27:37 pm</t>
  </si>
  <si>
    <t>23/05/2023, 2:27:38 pm</t>
  </si>
  <si>
    <t>23/05/2023, 2:27:39 pm</t>
  </si>
  <si>
    <t>23/05/2023, 2:27:40 pm</t>
  </si>
  <si>
    <t>23/05/2023, 2:27:41 pm</t>
  </si>
  <si>
    <t>23/05/2023, 2:27:42 pm</t>
  </si>
  <si>
    <t>23/05/2023, 2:27:43 pm</t>
  </si>
  <si>
    <t>23/05/2023, 2:27:44 pm</t>
  </si>
  <si>
    <t>23/05/2023, 2:27:45 pm</t>
  </si>
  <si>
    <t>23/05/2023, 2:27:46 pm</t>
  </si>
  <si>
    <t>23/05/2023, 2:27:47 pm</t>
  </si>
  <si>
    <t>23/05/2023, 2:27:48 pm</t>
  </si>
  <si>
    <t>23/05/2023, 2:27:49 pm</t>
  </si>
  <si>
    <t>23/05/2023, 2:27:50 pm</t>
  </si>
  <si>
    <t>23/05/2023, 2:27:51 pm</t>
  </si>
  <si>
    <t>23/05/2023, 2:27:52 pm</t>
  </si>
  <si>
    <t>23/05/2023, 2:27:53 pm</t>
  </si>
  <si>
    <t>23/05/2023, 2:27:54 pm</t>
  </si>
  <si>
    <t>23/05/2023, 2:27:55 pm</t>
  </si>
  <si>
    <t>23/05/2023, 2:27:56 pm</t>
  </si>
  <si>
    <t>23/05/2023, 2:27:57 pm</t>
  </si>
  <si>
    <t>23/05/2023, 2:27:58 pm</t>
  </si>
  <si>
    <t>23/05/2023, 2:27:59 pm</t>
  </si>
  <si>
    <t>23/05/2023, 2:28:00 pm</t>
  </si>
  <si>
    <t>23/05/2023, 2:28:01 pm</t>
  </si>
  <si>
    <t>23/05/2023, 2:28:02 pm</t>
  </si>
  <si>
    <t>23/05/2023, 2:28:03 pm</t>
  </si>
  <si>
    <t>23/05/2023, 2:28:04 pm</t>
  </si>
  <si>
    <t>23/05/2023, 2:28:05 pm</t>
  </si>
  <si>
    <t>23/05/2023, 2:28:06 pm</t>
  </si>
  <si>
    <t>23/05/2023, 2:28:07 pm</t>
  </si>
  <si>
    <t>23/05/2023, 2:28:08 pm</t>
  </si>
  <si>
    <t>23/05/2023, 2:28:09 pm</t>
  </si>
  <si>
    <t>23/05/2023, 2:28:10 pm</t>
  </si>
  <si>
    <t>23/05/2023, 2:28:11 pm</t>
  </si>
  <si>
    <t>23/05/2023, 2:28:12 pm</t>
  </si>
  <si>
    <t>23/05/2023, 2:28:13 pm</t>
  </si>
  <si>
    <t>23/05/2023, 2:28:14 pm</t>
  </si>
  <si>
    <t>23/05/2023, 2:28:15 pm</t>
  </si>
  <si>
    <t>23/05/2023, 2:28:16 pm</t>
  </si>
  <si>
    <t>23/05/2023, 2:28:17 pm</t>
  </si>
  <si>
    <t>23/05/2023, 2:28:18 pm</t>
  </si>
  <si>
    <t>23/05/2023, 2:28:19 pm</t>
  </si>
  <si>
    <t>23/05/2023, 2:28:20 pm</t>
  </si>
  <si>
    <t>23/05/2023, 2:28:21 pm</t>
  </si>
  <si>
    <t>23/05/2023, 2:28:22 pm</t>
  </si>
  <si>
    <t>23/05/2023, 2:28:23 pm</t>
  </si>
  <si>
    <t>23/05/2023, 2:28:24 pm</t>
  </si>
  <si>
    <t>23/05/2023, 2:28:25 pm</t>
  </si>
  <si>
    <t>23/05/2023, 2:28:26 pm</t>
  </si>
  <si>
    <t>23/05/2023, 2:28:27 pm</t>
  </si>
  <si>
    <t>23/05/2023, 2:28:28 pm</t>
  </si>
  <si>
    <t>23/05/2023, 2:28:29 pm</t>
  </si>
  <si>
    <t>23/05/2023, 2:28:30 pm</t>
  </si>
  <si>
    <t>23/05/2023, 2:28:31 pm</t>
  </si>
  <si>
    <t>23/05/2023, 2:28:32 pm</t>
  </si>
  <si>
    <t>23/05/2023, 2:28:33 pm</t>
  </si>
  <si>
    <t>23/05/2023, 2:28:34 pm</t>
  </si>
  <si>
    <t>23/05/2023, 2:28:35 pm</t>
  </si>
  <si>
    <t>23/05/2023, 2:28:36 pm</t>
  </si>
  <si>
    <t>23/05/2023, 2:28:37 pm</t>
  </si>
  <si>
    <t>23/05/2023, 2:28:38 pm</t>
  </si>
  <si>
    <t>23/05/2023, 2:28:40 pm</t>
  </si>
  <si>
    <t>23/05/2023, 2:28:41 pm</t>
  </si>
  <si>
    <t>23/05/2023, 2:28:42 pm</t>
  </si>
  <si>
    <t>23/05/2023, 2:28:43 pm</t>
  </si>
  <si>
    <t>23/05/2023, 2:28:44 pm</t>
  </si>
  <si>
    <t>23/05/2023, 2:28:45 pm</t>
  </si>
  <si>
    <t>23/05/2023, 2:28:46 pm</t>
  </si>
  <si>
    <t>23/05/2023, 2:28:47 pm</t>
  </si>
  <si>
    <t>23/05/2023, 2:28:48 pm</t>
  </si>
  <si>
    <t>23/05/2023, 2:28:49 pm</t>
  </si>
  <si>
    <t>23/05/2023, 2:28:50 pm</t>
  </si>
  <si>
    <t>23/05/2023, 2:28:51 pm</t>
  </si>
  <si>
    <t>23/05/2023, 2:28:52 pm</t>
  </si>
  <si>
    <t>23/05/2023, 2:28:53 pm</t>
  </si>
  <si>
    <t>23/05/2023, 2:28:54 pm</t>
  </si>
  <si>
    <t>23/05/2023, 2:28:55 pm</t>
  </si>
  <si>
    <t>23/05/2023, 2:28:56 pm</t>
  </si>
  <si>
    <t>23/05/2023, 2:28:57 pm</t>
  </si>
  <si>
    <t>23/05/2023, 2:28:58 pm</t>
  </si>
  <si>
    <t>23/05/2023, 2:28:59 pm</t>
  </si>
  <si>
    <t>23/05/2023, 2:29:00 pm</t>
  </si>
  <si>
    <t>23/05/2023, 2:29:01 pm</t>
  </si>
  <si>
    <t>23/05/2023, 2:29:02 pm</t>
  </si>
  <si>
    <t>23/05/2023, 2:29:03 pm</t>
  </si>
  <si>
    <t>23/05/2023, 2:29:04 pm</t>
  </si>
  <si>
    <t>23/05/2023, 2:29:05 pm</t>
  </si>
  <si>
    <t>23/05/2023, 2:29:06 pm</t>
  </si>
  <si>
    <t>23/05/2023, 2:29:07 pm</t>
  </si>
  <si>
    <t>23/05/2023, 2:29:08 pm</t>
  </si>
  <si>
    <t>23/05/2023, 2:29:09 pm</t>
  </si>
  <si>
    <t>23/05/2023, 2:29:10 pm</t>
  </si>
  <si>
    <t>23/05/2023, 2:29:11 pm</t>
  </si>
  <si>
    <t>23/05/2023, 2:29:12 pm</t>
  </si>
  <si>
    <t>23/05/2023, 2:29:13 pm</t>
  </si>
  <si>
    <t>23/05/2023, 2:29:14 pm</t>
  </si>
  <si>
    <t>23/05/2023, 2:29:15 pm</t>
  </si>
  <si>
    <t>23/05/2023, 2:29:16 pm</t>
  </si>
  <si>
    <t>23/05/2023, 2:29:17 pm</t>
  </si>
  <si>
    <t>23/05/2023, 2:29:18 pm</t>
  </si>
  <si>
    <t>23/05/2023, 2:29:19 pm</t>
  </si>
  <si>
    <t>23/05/2023, 2:29:20 pm</t>
  </si>
  <si>
    <t>23/05/2023, 2:29:21 pm</t>
  </si>
  <si>
    <t>23/05/2023, 2:29:22 pm</t>
  </si>
  <si>
    <t>23/05/2023, 2:29:23 pm</t>
  </si>
  <si>
    <t>23/05/2023, 2:29:24 pm</t>
  </si>
  <si>
    <t>23/05/2023, 2:29:25 pm</t>
  </si>
  <si>
    <t>23/05/2023, 2:29:26 pm</t>
  </si>
  <si>
    <t>23/05/2023, 2:29:27 pm</t>
  </si>
  <si>
    <t>23/05/2023, 2:29:28 pm</t>
  </si>
  <si>
    <t>23/05/2023, 2:29:29 pm</t>
  </si>
  <si>
    <t>23/05/2023, 2:29:30 pm</t>
  </si>
  <si>
    <t>23/05/2023, 2:29:31 pm</t>
  </si>
  <si>
    <t>23/05/2023, 2:29:32 pm</t>
  </si>
  <si>
    <t>23/05/2023, 2:29:33 pm</t>
  </si>
  <si>
    <t>23/05/2023, 2:29:34 pm</t>
  </si>
  <si>
    <t>23/05/2023, 2:29:35 pm</t>
  </si>
  <si>
    <t>23/05/2023, 2:29:36 pm</t>
  </si>
  <si>
    <t>23/05/2023, 2:29:37 pm</t>
  </si>
  <si>
    <t>23/05/2023, 2:29:38 pm</t>
  </si>
  <si>
    <t>23/05/2023, 2:29:39 pm</t>
  </si>
  <si>
    <t>23/05/2023, 2:29:40 pm</t>
  </si>
  <si>
    <t>23/05/2023, 2:29:41 pm</t>
  </si>
  <si>
    <t>23/05/2023, 2:29:42 pm</t>
  </si>
  <si>
    <t>23/05/2023, 2:29:43 pm</t>
  </si>
  <si>
    <t>23/05/2023, 2:29:44 pm</t>
  </si>
  <si>
    <t>23/05/2023, 2:29:45 pm</t>
  </si>
  <si>
    <t>23/05/2023, 2:29:46 pm</t>
  </si>
  <si>
    <t>23/05/2023, 2:29:47 pm</t>
  </si>
  <si>
    <t>23/05/2023, 2:29:48 pm</t>
  </si>
  <si>
    <t>23/05/2023, 2:29:49 pm</t>
  </si>
  <si>
    <t>23/05/2023, 2:29:50 pm</t>
  </si>
  <si>
    <t>23/05/2023, 2:29:51 pm</t>
  </si>
  <si>
    <t>23/05/2023, 2:29:52 pm</t>
  </si>
  <si>
    <t>23/05/2023, 2:29:53 pm</t>
  </si>
  <si>
    <t>23/05/2023, 2:29:54 pm</t>
  </si>
  <si>
    <t>23/05/2023, 2:29:55 pm</t>
  </si>
  <si>
    <t>23/05/2023, 2:29:56 pm</t>
  </si>
  <si>
    <t>23/05/2023, 2:29:57 pm</t>
  </si>
  <si>
    <t>23/05/2023, 2:29:58 pm</t>
  </si>
  <si>
    <t>23/05/2023, 2:29:59 pm</t>
  </si>
  <si>
    <t>23/05/2023, 2:30:00 pm</t>
  </si>
  <si>
    <t>23/05/2023, 2:30:01 pm</t>
  </si>
  <si>
    <t>23/05/2023, 2:30:02 pm</t>
  </si>
  <si>
    <t>23/05/2023, 2:30:03 pm</t>
  </si>
  <si>
    <t>23/05/2023, 2:30:04 pm</t>
  </si>
  <si>
    <t>23/05/2023, 2:30:05 pm</t>
  </si>
  <si>
    <t>23/05/2023, 2:30:06 pm</t>
  </si>
  <si>
    <t>23/05/2023, 2:30:07 pm</t>
  </si>
  <si>
    <t>23/05/2023, 2:30:08 pm</t>
  </si>
  <si>
    <t>23/05/2023, 2:30:09 pm</t>
  </si>
  <si>
    <t>23/05/2023, 2:30:10 pm</t>
  </si>
  <si>
    <t>23/05/2023, 2:30:11 pm</t>
  </si>
  <si>
    <t>23/05/2023, 2:30:12 pm</t>
  </si>
  <si>
    <t>23/05/2023, 2:30:13 pm</t>
  </si>
  <si>
    <t>23/05/2023, 2:30:14 pm</t>
  </si>
  <si>
    <t>23/05/2023, 2:30:15 pm</t>
  </si>
  <si>
    <t>23/05/2023, 2:30:16 pm</t>
  </si>
  <si>
    <t>23/05/2023, 2:30:17 pm</t>
  </si>
  <si>
    <t>23/05/2023, 2:30:18 pm</t>
  </si>
  <si>
    <t>23/05/2023, 2:30:19 pm</t>
  </si>
  <si>
    <t>23/05/2023, 2:30:20 pm</t>
  </si>
  <si>
    <t>23/05/2023, 2:30:21 pm</t>
  </si>
  <si>
    <t>23/05/2023, 2:30:22 pm</t>
  </si>
  <si>
    <t>23/05/2023, 2:30:23 pm</t>
  </si>
  <si>
    <t>23/05/2023, 2:30:24 pm</t>
  </si>
  <si>
    <t>23/05/2023, 2:30:25 pm</t>
  </si>
  <si>
    <t>23/05/2023, 2:30:26 pm</t>
  </si>
  <si>
    <t>23/05/2023, 2:30:27 pm</t>
  </si>
  <si>
    <t>23/05/2023, 2:30:28 pm</t>
  </si>
  <si>
    <t>23/05/2023, 2:30:29 pm</t>
  </si>
  <si>
    <t>23/05/2023, 2:30:30 pm</t>
  </si>
  <si>
    <t>23/05/2023, 2:30:31 pm</t>
  </si>
  <si>
    <t>23/05/2023, 2:30:32 pm</t>
  </si>
  <si>
    <t>23/05/2023, 2:30:33 pm</t>
  </si>
  <si>
    <t>23/05/2023, 2:30:34 pm</t>
  </si>
  <si>
    <t>23/05/2023, 2:30:35 pm</t>
  </si>
  <si>
    <t>23/05/2023, 2:30:36 pm</t>
  </si>
  <si>
    <t>23/05/2023, 2:30:37 pm</t>
  </si>
  <si>
    <t>23/05/2023, 2:30:38 pm</t>
  </si>
  <si>
    <t>23/05/2023, 2:30:40 pm</t>
  </si>
  <si>
    <t>23/05/2023, 2:30:41 pm</t>
  </si>
  <si>
    <t>23/05/2023, 2:30:42 pm</t>
  </si>
  <si>
    <t>23/05/2023, 2:30:43 pm</t>
  </si>
  <si>
    <t>23/05/2023, 2:30:44 pm</t>
  </si>
  <si>
    <t>23/05/2023, 2:30:45 pm</t>
  </si>
  <si>
    <t>23/05/2023, 2:30:46 pm</t>
  </si>
  <si>
    <t>23/05/2023, 2:30:47 pm</t>
  </si>
  <si>
    <t>23/05/2023, 2:30:48 pm</t>
  </si>
  <si>
    <t>23/05/2023, 2:30:49 pm</t>
  </si>
  <si>
    <t>23/05/2023, 2:30:50 pm</t>
  </si>
  <si>
    <t>23/05/2023, 2:30:51 pm</t>
  </si>
  <si>
    <t>23/05/2023, 2:30:52 pm</t>
  </si>
  <si>
    <t>23/05/2023, 2:30:53 pm</t>
  </si>
  <si>
    <t>23/05/2023, 2:30:54 pm</t>
  </si>
  <si>
    <t>23/05/2023, 2:30:55 pm</t>
  </si>
  <si>
    <t>23/05/2023, 2:30:56 pm</t>
  </si>
  <si>
    <t>23/05/2023, 2:30:57 pm</t>
  </si>
  <si>
    <t>23/05/2023, 2:30:58 pm</t>
  </si>
  <si>
    <t>23/05/2023, 2:30:59 pm</t>
  </si>
  <si>
    <t>23/05/2023, 2:31:00 pm</t>
  </si>
  <si>
    <t>23/05/2023, 2:31:01 pm</t>
  </si>
  <si>
    <t>23/05/2023, 2:31:02 pm</t>
  </si>
  <si>
    <t>23/05/2023, 2:31:03 pm</t>
  </si>
  <si>
    <t>23/05/2023, 2:31:04 pm</t>
  </si>
  <si>
    <t>23/05/2023, 2:31:05 pm</t>
  </si>
  <si>
    <t>23/05/2023, 2:31:06 pm</t>
  </si>
  <si>
    <t>23/05/2023, 2:31:07 pm</t>
  </si>
  <si>
    <t>23/05/2023, 2:31:08 pm</t>
  </si>
  <si>
    <t>23/05/2023, 2:31:09 pm</t>
  </si>
  <si>
    <t>23/05/2023, 2:31:10 pm</t>
  </si>
  <si>
    <t>23/05/2023, 2:31:11 pm</t>
  </si>
  <si>
    <t>23/05/2023, 2:31:12 pm</t>
  </si>
  <si>
    <t>23/05/2023, 2:31:13 pm</t>
  </si>
  <si>
    <t>23/05/2023, 2:31:14 pm</t>
  </si>
  <si>
    <t>23/05/2023, 2:31:15 pm</t>
  </si>
  <si>
    <t>23/05/2023, 2:31:16 pm</t>
  </si>
  <si>
    <t>23/05/2023, 2:31:17 pm</t>
  </si>
  <si>
    <t>23/05/2023, 2:31:18 pm</t>
  </si>
  <si>
    <t>23/05/2023, 2:31:19 pm</t>
  </si>
  <si>
    <t>23/05/2023, 2:31:20 pm</t>
  </si>
  <si>
    <t>23/05/2023, 2:31:21 pm</t>
  </si>
  <si>
    <t>23/05/2023, 2:31:22 pm</t>
  </si>
  <si>
    <t>23/05/2023, 2:31:23 pm</t>
  </si>
  <si>
    <t>23/05/2023, 2:31:24 pm</t>
  </si>
  <si>
    <t>23/05/2023, 2:31:25 pm</t>
  </si>
  <si>
    <t>23/05/2023, 2:31:26 pm</t>
  </si>
  <si>
    <t>23/05/2023, 2:31:27 pm</t>
  </si>
  <si>
    <t>23/05/2023, 2:31:28 pm</t>
  </si>
  <si>
    <t>23/05/2023, 2:31:29 pm</t>
  </si>
  <si>
    <t>23/05/2023, 2:31:30 pm</t>
  </si>
  <si>
    <t>23/05/2023, 2:31:31 pm</t>
  </si>
  <si>
    <t>23/05/2023, 2:31:32 pm</t>
  </si>
  <si>
    <t>23/05/2023, 2:31:33 pm</t>
  </si>
  <si>
    <t>23/05/2023, 2:31:34 pm</t>
  </si>
  <si>
    <t>23/05/2023, 2:31:35 pm</t>
  </si>
  <si>
    <t>23/05/2023, 2:31:36 pm</t>
  </si>
  <si>
    <t>23/05/2023, 2:31:37 pm</t>
  </si>
  <si>
    <t>23/05/2023, 2:31:38 pm</t>
  </si>
  <si>
    <t>23/05/2023, 2:31:39 pm</t>
  </si>
  <si>
    <t>23/05/2023, 2:31:40 pm</t>
  </si>
  <si>
    <t>23/05/2023, 2:31:41 pm</t>
  </si>
  <si>
    <t>23/05/2023, 2:31:42 pm</t>
  </si>
  <si>
    <t>23/05/2023, 2:31:43 pm</t>
  </si>
  <si>
    <t>23/05/2023, 2:31:44 pm</t>
  </si>
  <si>
    <t>23/05/2023, 2:31:45 pm</t>
  </si>
  <si>
    <t>23/05/2023, 2:31:46 pm</t>
  </si>
  <si>
    <t>23/05/2023, 2:31:47 pm</t>
  </si>
  <si>
    <t>23/05/2023, 2:31:48 pm</t>
  </si>
  <si>
    <t>23/05/2023, 2:31:49 pm</t>
  </si>
  <si>
    <t>23/05/2023, 2:31:50 pm</t>
  </si>
  <si>
    <t>23/05/2023, 2:31:51 pm</t>
  </si>
  <si>
    <t>23/05/2023, 2:31:52 pm</t>
  </si>
  <si>
    <t>23/05/2023, 2:31:53 pm</t>
  </si>
  <si>
    <t>23/05/2023, 2:31:54 pm</t>
  </si>
  <si>
    <t>23/05/2023, 2:31:55 pm</t>
  </si>
  <si>
    <t>23/05/2023, 2:31:56 pm</t>
  </si>
  <si>
    <t>23/05/2023, 2:31:57 pm</t>
  </si>
  <si>
    <t>23/05/2023, 2:31:58 pm</t>
  </si>
  <si>
    <t>23/05/2023, 2:31:59 pm</t>
  </si>
  <si>
    <t>23/05/2023, 2:32:00 pm</t>
  </si>
  <si>
    <t>23/05/2023, 2:32:01 pm</t>
  </si>
  <si>
    <t>23/05/2023, 2:32:02 pm</t>
  </si>
  <si>
    <t>23/05/2023, 2:32:03 pm</t>
  </si>
  <si>
    <t>23/05/2023, 2:32:04 pm</t>
  </si>
  <si>
    <t>23/05/2023, 2:32:05 pm</t>
  </si>
  <si>
    <t>23/05/2023, 2:32:06 pm</t>
  </si>
  <si>
    <t>23/05/2023, 2:32:07 pm</t>
  </si>
  <si>
    <t>23/05/2023, 2:32:08 pm</t>
  </si>
  <si>
    <t>23/05/2023, 2:32:09 pm</t>
  </si>
  <si>
    <t>23/05/2023, 2:32:10 pm</t>
  </si>
  <si>
    <t>23/05/2023, 2:32:11 pm</t>
  </si>
  <si>
    <t>23/05/2023, 2:32:12 pm</t>
  </si>
  <si>
    <t>23/05/2023, 2:32:13 pm</t>
  </si>
  <si>
    <t>23/05/2023, 2:32:14 pm</t>
  </si>
  <si>
    <t>23/05/2023, 2:32:15 pm</t>
  </si>
  <si>
    <t>23/05/2023, 2:32:16 pm</t>
  </si>
  <si>
    <t>23/05/2023, 2:32:17 pm</t>
  </si>
  <si>
    <t>23/05/2023, 2:32:18 pm</t>
  </si>
  <si>
    <t>23/05/2023, 2:32:19 pm</t>
  </si>
  <si>
    <t>23/05/2023, 2:32:20 pm</t>
  </si>
  <si>
    <t>23/05/2023, 2:32:21 pm</t>
  </si>
  <si>
    <t>23/05/2023, 2:32:22 pm</t>
  </si>
  <si>
    <t>23/05/2023, 2:32:23 pm</t>
  </si>
  <si>
    <t>23/05/2023, 2:32:24 pm</t>
  </si>
  <si>
    <t>23/05/2023, 2:32:25 pm</t>
  </si>
  <si>
    <t>23/05/2023, 2:32:26 pm</t>
  </si>
  <si>
    <t>23/05/2023, 2:32:27 pm</t>
  </si>
  <si>
    <t>23/05/2023, 2:32:28 pm</t>
  </si>
  <si>
    <t>23/05/2023, 2:32:29 pm</t>
  </si>
  <si>
    <t>23/05/2023, 2:32:30 pm</t>
  </si>
  <si>
    <t>23/05/2023, 2:32:31 pm</t>
  </si>
  <si>
    <t>23/05/2023, 2:32:32 pm</t>
  </si>
  <si>
    <t>23/05/2023, 2:32:34 pm</t>
  </si>
  <si>
    <t>23/05/2023, 2:32:35 pm</t>
  </si>
  <si>
    <t>23/05/2023, 2:32:36 pm</t>
  </si>
  <si>
    <t>23/05/2023, 2:32:37 pm</t>
  </si>
  <si>
    <t>23/05/2023, 2:32:38 pm</t>
  </si>
  <si>
    <t>23/05/2023, 2:32:39 pm</t>
  </si>
  <si>
    <t>23/05/2023, 2:32:40 pm</t>
  </si>
  <si>
    <t>23/05/2023, 2:32:41 pm</t>
  </si>
  <si>
    <t>23/05/2023, 2:32:42 pm</t>
  </si>
  <si>
    <t>23/05/2023, 2:32:43 pm</t>
  </si>
  <si>
    <t>23/05/2023, 2:32:44 pm</t>
  </si>
  <si>
    <t>23/05/2023, 2:32:45 pm</t>
  </si>
  <si>
    <t>23/05/2023, 2:32:46 pm</t>
  </si>
  <si>
    <t>23/05/2023, 2:32:47 pm</t>
  </si>
  <si>
    <t>23/05/2023, 2:32:48 pm</t>
  </si>
  <si>
    <t>23/05/2023, 2:32:49 pm</t>
  </si>
  <si>
    <t>23/05/2023, 2:32:50 pm</t>
  </si>
  <si>
    <t>23/05/2023, 2:32:51 pm</t>
  </si>
  <si>
    <t>23/05/2023, 2:32:52 pm</t>
  </si>
  <si>
    <t>23/05/2023, 2:32:53 pm</t>
  </si>
  <si>
    <t>23/05/2023, 2:32:54 pm</t>
  </si>
  <si>
    <t>23/05/2023, 2:32:55 pm</t>
  </si>
  <si>
    <t>23/05/2023, 2:32:56 pm</t>
  </si>
  <si>
    <t>23/05/2023, 2:32:57 pm</t>
  </si>
  <si>
    <t>23/05/2023, 2:32:58 pm</t>
  </si>
  <si>
    <t>23/05/2023, 2:32:59 pm</t>
  </si>
  <si>
    <t>23/05/2023, 2:33:00 pm</t>
  </si>
  <si>
    <t>23/05/2023, 2:33:01 pm</t>
  </si>
  <si>
    <t>23/05/2023, 2:33:02 pm</t>
  </si>
  <si>
    <t>23/05/2023, 2:33:03 pm</t>
  </si>
  <si>
    <t>23/05/2023, 2:33:04 pm</t>
  </si>
  <si>
    <t>23/05/2023, 2:33:05 pm</t>
  </si>
  <si>
    <t>23/05/2023, 2:33:06 pm</t>
  </si>
  <si>
    <t>23/05/2023, 2:33:07 pm</t>
  </si>
  <si>
    <t>23/05/2023, 2:33:08 pm</t>
  </si>
  <si>
    <t>23/05/2023, 2:33:09 pm</t>
  </si>
  <si>
    <t>23/05/2023, 2:33:10 pm</t>
  </si>
  <si>
    <t>23/05/2023, 2:33:11 pm</t>
  </si>
  <si>
    <t>23/05/2023, 2:33:12 pm</t>
  </si>
  <si>
    <t>23/05/2023, 2:33:13 pm</t>
  </si>
  <si>
    <t>23/05/2023, 2:33:14 pm</t>
  </si>
  <si>
    <t>23/05/2023, 2:33:15 pm</t>
  </si>
  <si>
    <t>23/05/2023, 2:33:16 pm</t>
  </si>
  <si>
    <t>23/05/2023, 2:33:17 pm</t>
  </si>
  <si>
    <t>23/05/2023, 2:33:18 pm</t>
  </si>
  <si>
    <t>23/05/2023, 2:33:19 pm</t>
  </si>
  <si>
    <t>23/05/2023, 2:33:20 pm</t>
  </si>
  <si>
    <t>23/05/2023, 2:33:21 pm</t>
  </si>
  <si>
    <t>23/05/2023, 2:33:22 pm</t>
  </si>
  <si>
    <t>23/05/2023, 2:33:23 pm</t>
  </si>
  <si>
    <t>23/05/2023, 2:33:24 pm</t>
  </si>
  <si>
    <t>23/05/2023, 2:33:25 pm</t>
  </si>
  <si>
    <t>23/05/2023, 2:33:26 pm</t>
  </si>
  <si>
    <t>23/05/2023, 2:33:27 pm</t>
  </si>
  <si>
    <t>23/05/2023, 2:33:28 pm</t>
  </si>
  <si>
    <t>23/05/2023, 2:33:29 pm</t>
  </si>
  <si>
    <t>23/05/2023, 2:33:30 pm</t>
  </si>
  <si>
    <t>23/05/2023, 2:33:31 pm</t>
  </si>
  <si>
    <t>23/05/2023, 2:33:32 pm</t>
  </si>
  <si>
    <t>23/05/2023, 2:33:33 pm</t>
  </si>
  <si>
    <t>23/05/2023, 2:33:34 pm</t>
  </si>
  <si>
    <t>23/05/2023, 2:33:35 pm</t>
  </si>
  <si>
    <t>23/05/2023, 2:33:36 pm</t>
  </si>
  <si>
    <t>23/05/2023, 2:33:37 pm</t>
  </si>
  <si>
    <t>23/05/2023, 2:33:38 pm</t>
  </si>
  <si>
    <t>23/05/2023, 2:33:39 pm</t>
  </si>
  <si>
    <t>23/05/2023, 2:33:40 pm</t>
  </si>
  <si>
    <t>23/05/2023, 2:33:41 pm</t>
  </si>
  <si>
    <t>23/05/2023, 2:33:42 pm</t>
  </si>
  <si>
    <t>23/05/2023, 2:33:43 pm</t>
  </si>
  <si>
    <t>23/05/2023, 2:33:44 pm</t>
  </si>
  <si>
    <t>23/05/2023, 2:33:45 pm</t>
  </si>
  <si>
    <t>23/05/2023, 2:33:46 pm</t>
  </si>
  <si>
    <t>23/05/2023, 2:33:47 pm</t>
  </si>
  <si>
    <t>23/05/2023, 2:33:48 pm</t>
  </si>
  <si>
    <t>23/05/2023, 2:33:49 pm</t>
  </si>
  <si>
    <t>23/05/2023, 2:33:50 pm</t>
  </si>
  <si>
    <t>23/05/2023, 2:33:51 pm</t>
  </si>
  <si>
    <t>23/05/2023, 2:33:52 pm</t>
  </si>
  <si>
    <t>23/05/2023, 2:33:53 pm</t>
  </si>
  <si>
    <t>23/05/2023, 2:33:54 pm</t>
  </si>
  <si>
    <t>23/05/2023, 2:33:55 pm</t>
  </si>
  <si>
    <t>23/05/2023, 2:33:56 pm</t>
  </si>
  <si>
    <t>23/05/2023, 2:33:57 pm</t>
  </si>
  <si>
    <t>23/05/2023, 2:33:58 pm</t>
  </si>
  <si>
    <t>23/05/2023, 2:33:59 pm</t>
  </si>
  <si>
    <t>23/05/2023, 2:34:00 pm</t>
  </si>
  <si>
    <t>23/05/2023, 2:34:01 pm</t>
  </si>
  <si>
    <t>23/05/2023, 2:34:02 pm</t>
  </si>
  <si>
    <t>23/05/2023, 2:34:03 pm</t>
  </si>
  <si>
    <t>23/05/2023, 2:34:04 pm</t>
  </si>
  <si>
    <t>23/05/2023, 2:34:05 pm</t>
  </si>
  <si>
    <t>23/05/2023, 2:34:06 pm</t>
  </si>
  <si>
    <t>23/05/2023, 2:34:07 pm</t>
  </si>
  <si>
    <t>23/05/2023, 2:34:08 pm</t>
  </si>
  <si>
    <t>23/05/2023, 2:34:09 pm</t>
  </si>
  <si>
    <t>23/05/2023, 2:34:10 pm</t>
  </si>
  <si>
    <t>23/05/2023, 2:34:11 pm</t>
  </si>
  <si>
    <t>23/05/2023, 2:34:12 pm</t>
  </si>
  <si>
    <t>23/05/2023, 2:34:13 pm</t>
  </si>
  <si>
    <t>23/05/2023, 2:34:14 pm</t>
  </si>
  <si>
    <t>23/05/2023, 2:34:15 pm</t>
  </si>
  <si>
    <t>23/05/2023, 2:34:16 pm</t>
  </si>
  <si>
    <t>23/05/2023, 2:34:17 pm</t>
  </si>
  <si>
    <t>23/05/2023, 2:34:18 pm</t>
  </si>
  <si>
    <t>23/05/2023, 2:34:19 pm</t>
  </si>
  <si>
    <t>23/05/2023, 2:34:20 pm</t>
  </si>
  <si>
    <t>23/05/2023, 2:34:21 pm</t>
  </si>
  <si>
    <t>23/05/2023, 2:34:22 pm</t>
  </si>
  <si>
    <t>23/05/2023, 2:34:23 pm</t>
  </si>
  <si>
    <t>23/05/2023, 2:34:24 pm</t>
  </si>
  <si>
    <t>23/05/2023, 2:34:25 pm</t>
  </si>
  <si>
    <t>23/05/2023, 2:34:26 pm</t>
  </si>
  <si>
    <t>23/05/2023, 2:34:27 pm</t>
  </si>
  <si>
    <t>23/05/2023, 2:34:28 pm</t>
  </si>
  <si>
    <t>23/05/2023, 2:34:29 pm</t>
  </si>
  <si>
    <t>23/05/2023, 2:34:30 pm</t>
  </si>
  <si>
    <t>23/05/2023, 2:34:31 pm</t>
  </si>
  <si>
    <t>23/05/2023, 2:34:32 pm</t>
  </si>
  <si>
    <t>23/05/2023, 2:34:33 pm</t>
  </si>
  <si>
    <t>23/05/2023, 2:34:34 pm</t>
  </si>
  <si>
    <t>23/05/2023, 2:34:35 pm</t>
  </si>
  <si>
    <t>23/05/2023, 2:34:36 pm</t>
  </si>
  <si>
    <t>23/05/2023, 2:34:37 pm</t>
  </si>
  <si>
    <t>23/05/2023, 2:34:38 pm</t>
  </si>
  <si>
    <t>23/05/2023, 2:34:39 pm</t>
  </si>
  <si>
    <t>23/05/2023, 2:34:40 pm</t>
  </si>
  <si>
    <t>23/05/2023, 2:34:41 pm</t>
  </si>
  <si>
    <t>23/05/2023, 2:34:42 pm</t>
  </si>
  <si>
    <t>23/05/2023, 2:34:43 pm</t>
  </si>
  <si>
    <t>23/05/2023, 2:34:44 pm</t>
  </si>
  <si>
    <t>23/05/2023, 2:34:45 pm</t>
  </si>
  <si>
    <t>23/05/2023, 2:34:46 pm</t>
  </si>
  <si>
    <t>23/05/2023, 2:34:47 pm</t>
  </si>
  <si>
    <t>23/05/2023, 2:34:48 pm</t>
  </si>
  <si>
    <t>23/05/2023, 2:34:49 pm</t>
  </si>
  <si>
    <t>23/05/2023, 2:34:53 pm</t>
  </si>
  <si>
    <t>23/05/2023, 2:34:54 pm</t>
  </si>
  <si>
    <t>23/05/2023, 2:34:55 pm</t>
  </si>
  <si>
    <t>23/05/2023, 2:34:56 pm</t>
  </si>
  <si>
    <t>23/05/2023, 2:34:57 pm</t>
  </si>
  <si>
    <t>23/05/2023, 2:34:58 pm</t>
  </si>
  <si>
    <t>23/05/2023, 2:34:59 pm</t>
  </si>
  <si>
    <t>23/05/2023, 2:35:00 pm</t>
  </si>
  <si>
    <t>23/05/2023, 2:35:01 pm</t>
  </si>
  <si>
    <t>23/05/2023, 2:35:02 pm</t>
  </si>
  <si>
    <t>23/05/2023, 2:35:03 pm</t>
  </si>
  <si>
    <t>23/05/2023, 2:35:04 pm</t>
  </si>
  <si>
    <t>23/05/2023, 2:35:05 pm</t>
  </si>
  <si>
    <t>23/05/2023, 2:35:06 pm</t>
  </si>
  <si>
    <t>23/05/2023, 2:35:07 pm</t>
  </si>
  <si>
    <t>23/05/2023, 2:35:08 pm</t>
  </si>
  <si>
    <t>23/05/2023, 2:35:09 pm</t>
  </si>
  <si>
    <t>23/05/2023, 2:35:10 pm</t>
  </si>
  <si>
    <t>23/05/2023, 2:35:11 pm</t>
  </si>
  <si>
    <t>23/05/2023, 2:35:12 pm</t>
  </si>
  <si>
    <t>23/05/2023, 2:35:13 pm</t>
  </si>
  <si>
    <t>23/05/2023, 2:35:14 pm</t>
  </si>
  <si>
    <t>23/05/2023, 2:35:15 pm</t>
  </si>
  <si>
    <t>23/05/2023, 2:35:16 pm</t>
  </si>
  <si>
    <t>23/05/2023, 2:35:17 pm</t>
  </si>
  <si>
    <t>23/05/2023, 2:35:18 pm</t>
  </si>
  <si>
    <t>23/05/2023, 2:35:19 pm</t>
  </si>
  <si>
    <t>23/05/2023, 2:35:20 pm</t>
  </si>
  <si>
    <t>23/05/2023, 2:35:21 pm</t>
  </si>
  <si>
    <t>23/05/2023, 2:35:22 pm</t>
  </si>
  <si>
    <t>23/05/2023, 2:35:23 pm</t>
  </si>
  <si>
    <t>23/05/2023, 2:35:24 pm</t>
  </si>
  <si>
    <t>23/05/2023, 2:35:25 pm</t>
  </si>
  <si>
    <t>23/05/2023, 2:35:26 pm</t>
  </si>
  <si>
    <t>23/05/2023, 2:35:27 pm</t>
  </si>
  <si>
    <t>23/05/2023, 2:35:28 pm</t>
  </si>
  <si>
    <t>23/05/2023, 2:35:29 pm</t>
  </si>
  <si>
    <t>23/05/2023, 2:35:30 pm</t>
  </si>
  <si>
    <t>23/05/2023, 2:35:31 pm</t>
  </si>
  <si>
    <t>23/05/2023, 2:35:32 pm</t>
  </si>
  <si>
    <t>23/05/2023, 2:35:33 pm</t>
  </si>
  <si>
    <t>23/05/2023, 2:35:34 pm</t>
  </si>
  <si>
    <t>23/05/2023, 2:35:35 pm</t>
  </si>
  <si>
    <t>23/05/2023, 2:35:36 pm</t>
  </si>
  <si>
    <t>23/05/2023, 2:35:37 pm</t>
  </si>
  <si>
    <t>23/05/2023, 2:35:38 pm</t>
  </si>
  <si>
    <t>23/05/2023, 2:35:39 pm</t>
  </si>
  <si>
    <t>23/05/2023, 2:35:40 pm</t>
  </si>
  <si>
    <t>23/05/2023, 2:35:41 pm</t>
  </si>
  <si>
    <t>23/05/2023, 2:35:42 pm</t>
  </si>
  <si>
    <t>23/05/2023, 2:35:43 pm</t>
  </si>
  <si>
    <t>23/05/2023, 2:35:44 pm</t>
  </si>
  <si>
    <t>23/05/2023, 2:35:45 pm</t>
  </si>
  <si>
    <t>23/05/2023, 2:35:46 pm</t>
  </si>
  <si>
    <t>23/05/2023, 2:35:47 pm</t>
  </si>
  <si>
    <t>23/05/2023, 2:35:48 pm</t>
  </si>
  <si>
    <t>23/05/2023, 2:35:49 pm</t>
  </si>
  <si>
    <t>23/05/2023, 2:35:50 pm</t>
  </si>
  <si>
    <t>23/05/2023, 2:35:51 pm</t>
  </si>
  <si>
    <t>23/05/2023, 2:35:52 pm</t>
  </si>
  <si>
    <t>23/05/2023, 2:35:53 pm</t>
  </si>
  <si>
    <t>23/05/2023, 2:35:54 pm</t>
  </si>
  <si>
    <t>23/05/2023, 2:35:55 pm</t>
  </si>
  <si>
    <t>23/05/2023, 2:35:56 pm</t>
  </si>
  <si>
    <t>23/05/2023, 2:35:57 pm</t>
  </si>
  <si>
    <t>23/05/2023, 2:35:58 pm</t>
  </si>
  <si>
    <t>23/05/2023, 2:35:59 pm</t>
  </si>
  <si>
    <t>23/05/2023, 2:36:00 pm</t>
  </si>
  <si>
    <t>23/05/2023, 2:36:01 pm</t>
  </si>
  <si>
    <t>23/05/2023, 2:36:02 pm</t>
  </si>
  <si>
    <t>23/05/2023, 2:36:03 pm</t>
  </si>
  <si>
    <t>23/05/2023, 2:36:04 pm</t>
  </si>
  <si>
    <t>23/05/2023, 2:36:05 pm</t>
  </si>
  <si>
    <t>23/05/2023, 2:36:06 pm</t>
  </si>
  <si>
    <t>23/05/2023, 2:36:07 pm</t>
  </si>
  <si>
    <t>23/05/2023, 2:36:08 pm</t>
  </si>
  <si>
    <t>23/05/2023, 2:36:09 pm</t>
  </si>
  <si>
    <t>23/05/2023, 2:36:10 pm</t>
  </si>
  <si>
    <t>23/05/2023, 2:36:11 pm</t>
  </si>
  <si>
    <t>23/05/2023, 2:36:12 pm</t>
  </si>
  <si>
    <t>23/05/2023, 2:36:13 pm</t>
  </si>
  <si>
    <t>23/05/2023, 2:36:14 pm</t>
  </si>
  <si>
    <t>23/05/2023, 2:36:15 pm</t>
  </si>
  <si>
    <t>23/05/2023, 2:36:16 pm</t>
  </si>
  <si>
    <t>23/05/2023, 2:36:17 pm</t>
  </si>
  <si>
    <t>23/05/2023, 2:36:18 pm</t>
  </si>
  <si>
    <t>23/05/2023, 2:36:19 pm</t>
  </si>
  <si>
    <t>23/05/2023, 2:36:20 pm</t>
  </si>
  <si>
    <t>23/05/2023, 2:36:21 pm</t>
  </si>
  <si>
    <t>23/05/2023, 2:36:22 pm</t>
  </si>
  <si>
    <t>23/05/2023, 2:36:23 pm</t>
  </si>
  <si>
    <t>23/05/2023, 2:36:24 pm</t>
  </si>
  <si>
    <t>23/05/2023, 2:36:25 pm</t>
  </si>
  <si>
    <t>23/05/2023, 2:36:26 pm</t>
  </si>
  <si>
    <t>23/05/2023, 2:36:27 pm</t>
  </si>
  <si>
    <t>23/05/2023, 2:36:28 pm</t>
  </si>
  <si>
    <t>23/05/2023, 2:36:29 pm</t>
  </si>
  <si>
    <t>23/05/2023, 2:36:30 pm</t>
  </si>
  <si>
    <t>23/05/2023, 2:36:31 pm</t>
  </si>
  <si>
    <t>23/05/2023, 2:36:32 pm</t>
  </si>
  <si>
    <t>23/05/2023, 2:36:33 pm</t>
  </si>
  <si>
    <t>23/05/2023, 2:36:34 pm</t>
  </si>
  <si>
    <t>23/05/2023, 2:36:35 pm</t>
  </si>
  <si>
    <t>23/05/2023, 2:36:36 pm</t>
  </si>
  <si>
    <t>23/05/2023, 2:36:37 pm</t>
  </si>
  <si>
    <t>23/05/2023, 2:36:38 pm</t>
  </si>
  <si>
    <t>23/05/2023, 2:36:39 pm</t>
  </si>
  <si>
    <t>23/05/2023, 2:36:40 pm</t>
  </si>
  <si>
    <t>23/05/2023, 2:36:41 pm</t>
  </si>
  <si>
    <t>23/05/2023, 2:36:42 pm</t>
  </si>
  <si>
    <t>23/05/2023, 2:36:43 pm</t>
  </si>
  <si>
    <t>23/05/2023, 2:36:44 pm</t>
  </si>
  <si>
    <t>23/05/2023, 2:36:45 pm</t>
  </si>
  <si>
    <t>23/05/2023, 2:36:47 pm</t>
  </si>
  <si>
    <t>23/05/2023, 2:36:48 pm</t>
  </si>
  <si>
    <t>23/05/2023, 2:36:49 pm</t>
  </si>
  <si>
    <t>23/05/2023, 2:36:50 pm</t>
  </si>
  <si>
    <t>23/05/2023, 2:36:51 pm</t>
  </si>
  <si>
    <t>23/05/2023, 2:36:52 pm</t>
  </si>
  <si>
    <t>23/05/2023, 2:36:53 pm</t>
  </si>
  <si>
    <t>23/05/2023, 2:36:54 pm</t>
  </si>
  <si>
    <t>23/05/2023, 2:36:55 pm</t>
  </si>
  <si>
    <t>23/05/2023, 2:36:56 pm</t>
  </si>
  <si>
    <t>23/05/2023, 2:36:57 pm</t>
  </si>
  <si>
    <t>23/05/2023, 2:36:58 pm</t>
  </si>
  <si>
    <t>23/05/2023, 2:36:59 pm</t>
  </si>
  <si>
    <t>23/05/2023, 2:37:00 pm</t>
  </si>
  <si>
    <t>23/05/2023, 2:37:01 pm</t>
  </si>
  <si>
    <t>23/05/2023, 2:37:02 pm</t>
  </si>
  <si>
    <t>23/05/2023, 2:37:03 pm</t>
  </si>
  <si>
    <t>23/05/2023, 2:37:04 pm</t>
  </si>
  <si>
    <t>23/05/2023, 2:37:05 pm</t>
  </si>
  <si>
    <t>23/05/2023, 2:37:06 pm</t>
  </si>
  <si>
    <t>23/05/2023, 2:37:07 pm</t>
  </si>
  <si>
    <t>23/05/2023, 2:37:08 pm</t>
  </si>
  <si>
    <t>23/05/2023, 2:37:09 pm</t>
  </si>
  <si>
    <t>23/05/2023, 2:37:10 pm</t>
  </si>
  <si>
    <t>23/05/2023, 2:37:11 pm</t>
  </si>
  <si>
    <t>23/05/2023, 2:37:12 pm</t>
  </si>
  <si>
    <t>23/05/2023, 2:37:13 pm</t>
  </si>
  <si>
    <t>23/05/2023, 2:37:14 pm</t>
  </si>
  <si>
    <t>23/05/2023, 2:37:15 pm</t>
  </si>
  <si>
    <t>23/05/2023, 2:37:16 pm</t>
  </si>
  <si>
    <t>23/05/2023, 2:37:17 pm</t>
  </si>
  <si>
    <t>23/05/2023, 2:37:18 pm</t>
  </si>
  <si>
    <t>23/05/2023, 2:37:19 pm</t>
  </si>
  <si>
    <t>23/05/2023, 2:37:20 pm</t>
  </si>
  <si>
    <t>23/05/2023, 2:37:21 pm</t>
  </si>
  <si>
    <t>23/05/2023, 2:37:22 pm</t>
  </si>
  <si>
    <t>23/05/2023, 2:37:23 pm</t>
  </si>
  <si>
    <t>23/05/2023, 2:37:24 pm</t>
  </si>
  <si>
    <t>23/05/2023, 2:37:25 pm</t>
  </si>
  <si>
    <t>23/05/2023, 2:37:26 pm</t>
  </si>
  <si>
    <t>23/05/2023, 2:37:27 pm</t>
  </si>
  <si>
    <t>23/05/2023, 2:37:28 pm</t>
  </si>
  <si>
    <t>23/05/2023, 2:37:29 pm</t>
  </si>
  <si>
    <t>23/05/2023, 2:37:30 pm</t>
  </si>
  <si>
    <t>23/05/2023, 2:37:31 pm</t>
  </si>
  <si>
    <t>23/05/2023, 2:37:32 pm</t>
  </si>
  <si>
    <t>23/05/2023, 2:37:33 pm</t>
  </si>
  <si>
    <t>23/05/2023, 2:37:34 pm</t>
  </si>
  <si>
    <t>23/05/2023, 2:37:35 pm</t>
  </si>
  <si>
    <t>23/05/2023, 2:37:36 pm</t>
  </si>
  <si>
    <t>23/05/2023, 2:37:37 pm</t>
  </si>
  <si>
    <t>23/05/2023, 2:37:38 pm</t>
  </si>
  <si>
    <t>23/05/2023, 2:37:39 pm</t>
  </si>
  <si>
    <t>23/05/2023, 2:37:40 pm</t>
  </si>
  <si>
    <t>23/05/2023, 2:37:41 pm</t>
  </si>
  <si>
    <t>23/05/2023, 2:37:42 pm</t>
  </si>
  <si>
    <t>23/05/2023, 2:37:43 pm</t>
  </si>
  <si>
    <t>23/05/2023, 2:37:44 pm</t>
  </si>
  <si>
    <t>23/05/2023, 2:37:45 pm</t>
  </si>
  <si>
    <t>23/05/2023, 2:37:46 pm</t>
  </si>
  <si>
    <t>23/05/2023, 2:37:47 pm</t>
  </si>
  <si>
    <t>23/05/2023, 2:37:48 pm</t>
  </si>
  <si>
    <t>23/05/2023, 2:37:49 pm</t>
  </si>
  <si>
    <t>23/05/2023, 2:37:50 pm</t>
  </si>
  <si>
    <t>23/05/2023, 2:37:51 pm</t>
  </si>
  <si>
    <t>23/05/2023, 2:37:52 pm</t>
  </si>
  <si>
    <t>23/05/2023, 2:37:53 pm</t>
  </si>
  <si>
    <t>23/05/2023, 2:37:54 pm</t>
  </si>
  <si>
    <t>23/05/2023, 2:37:55 pm</t>
  </si>
  <si>
    <t>23/05/2023, 2:37:56 pm</t>
  </si>
  <si>
    <t>23/05/2023, 2:37:57 pm</t>
  </si>
  <si>
    <t>23/05/2023, 2:37:58 pm</t>
  </si>
  <si>
    <t>23/05/2023, 2:37:59 pm</t>
  </si>
  <si>
    <t>23/05/2023, 2:38:00 pm</t>
  </si>
  <si>
    <t>23/05/2023, 2:38:01 pm</t>
  </si>
  <si>
    <t>23/05/2023, 2:38:02 pm</t>
  </si>
  <si>
    <t>23/05/2023, 2:38:03 pm</t>
  </si>
  <si>
    <t>23/05/2023, 2:38:04 pm</t>
  </si>
  <si>
    <t>23/05/2023, 2:38:05 pm</t>
  </si>
  <si>
    <t>23/05/2023, 2:38:06 pm</t>
  </si>
  <si>
    <t>23/05/2023, 2:38:07 pm</t>
  </si>
  <si>
    <t>23/05/2023, 2:38:08 pm</t>
  </si>
  <si>
    <t>23/05/2023, 2:38:09 pm</t>
  </si>
  <si>
    <t>23/05/2023, 2:38:10 pm</t>
  </si>
  <si>
    <t>23/05/2023, 2:38:11 pm</t>
  </si>
  <si>
    <t>23/05/2023, 2:38:12 pm</t>
  </si>
  <si>
    <t>23/05/2023, 2:38:13 pm</t>
  </si>
  <si>
    <t>23/05/2023, 2:38:14 pm</t>
  </si>
  <si>
    <t>23/05/2023, 2:38:15 pm</t>
  </si>
  <si>
    <t>23/05/2023, 2:38:16 pm</t>
  </si>
  <si>
    <t>23/05/2023, 2:38:17 pm</t>
  </si>
  <si>
    <t>23/05/2023, 2:38:18 pm</t>
  </si>
  <si>
    <t>23/05/2023, 2:38:19 pm</t>
  </si>
  <si>
    <t>23/05/2023, 2:38:20 pm</t>
  </si>
  <si>
    <t>23/05/2023, 2:38:21 pm</t>
  </si>
  <si>
    <t>23/05/2023, 2:38:22 pm</t>
  </si>
  <si>
    <t>23/05/2023, 2:38:23 pm</t>
  </si>
  <si>
    <t>23/05/2023, 2:38:24 pm</t>
  </si>
  <si>
    <t>23/05/2023, 2:38:25 pm</t>
  </si>
  <si>
    <t>23/05/2023, 2:38:26 pm</t>
  </si>
  <si>
    <t>23/05/2023, 2:38:27 pm</t>
  </si>
  <si>
    <t>23/05/2023, 2:38:28 pm</t>
  </si>
  <si>
    <t>23/05/2023, 2:38:29 pm</t>
  </si>
  <si>
    <t>23/05/2023, 2:38:30 pm</t>
  </si>
  <si>
    <t>23/05/2023, 2:38:31 pm</t>
  </si>
  <si>
    <t>23/05/2023, 2:38:32 pm</t>
  </si>
  <si>
    <t>23/05/2023, 2:38:33 pm</t>
  </si>
  <si>
    <t>23/05/2023, 2:38:34 pm</t>
  </si>
  <si>
    <t>23/05/2023, 2:38:35 pm</t>
  </si>
  <si>
    <t>23/05/2023, 2:38:36 pm</t>
  </si>
  <si>
    <t>23/05/2023, 2:38:37 pm</t>
  </si>
  <si>
    <t>23/05/2023, 2:38:38 pm</t>
  </si>
  <si>
    <t>23/05/2023, 2:38:39 pm</t>
  </si>
  <si>
    <t>23/05/2023, 2:38:40 pm</t>
  </si>
  <si>
    <t>23/05/2023, 2:38:41 pm</t>
  </si>
  <si>
    <t>23/05/2023, 2:38:42 pm</t>
  </si>
  <si>
    <t>23/05/2023, 2:38:43 pm</t>
  </si>
  <si>
    <t>23/05/2023, 2:38:44 pm</t>
  </si>
  <si>
    <t>23/05/2023, 2:38:45 pm</t>
  </si>
  <si>
    <t>23/05/2023, 2:38:46 pm</t>
  </si>
  <si>
    <t>23/05/2023, 2:38:47 pm</t>
  </si>
  <si>
    <t>23/05/2023, 2:38:48 pm</t>
  </si>
  <si>
    <t>23/05/2023, 2:38:49 pm</t>
  </si>
  <si>
    <t>23/05/2023, 2:38:50 pm</t>
  </si>
  <si>
    <t>23/05/2023, 2:38:51 pm</t>
  </si>
  <si>
    <t>23/05/2023, 2:38:52 pm</t>
  </si>
  <si>
    <t>23/05/2023, 2:38:53 pm</t>
  </si>
  <si>
    <t>23/05/2023, 2:38:55 pm</t>
  </si>
  <si>
    <t>23/05/2023, 2:38:56 pm</t>
  </si>
  <si>
    <t>23/05/2023, 2:38:57 pm</t>
  </si>
  <si>
    <t>23/05/2023, 2:38:58 pm</t>
  </si>
  <si>
    <t>23/05/2023, 2:38:59 pm</t>
  </si>
  <si>
    <t>23/05/2023, 2:39:00 pm</t>
  </si>
  <si>
    <t>23/05/2023, 2:39:01 pm</t>
  </si>
  <si>
    <t>23/05/2023, 2:39:02 pm</t>
  </si>
  <si>
    <t>23/05/2023, 2:39:03 pm</t>
  </si>
  <si>
    <t>23/05/2023, 2:39:04 pm</t>
  </si>
  <si>
    <t>23/05/2023, 2:39:05 pm</t>
  </si>
  <si>
    <t>23/05/2023, 2:39:06 pm</t>
  </si>
  <si>
    <t>23/05/2023, 2:39:07 pm</t>
  </si>
  <si>
    <t>23/05/2023, 2:39:08 pm</t>
  </si>
  <si>
    <t>23/05/2023, 2:39:09 pm</t>
  </si>
  <si>
    <t>23/05/2023, 2:39:10 pm</t>
  </si>
  <si>
    <t>23/05/2023, 2:39:11 pm</t>
  </si>
  <si>
    <t>23/05/2023, 2:39:12 pm</t>
  </si>
  <si>
    <t>23/05/2023, 2:39:13 pm</t>
  </si>
  <si>
    <t>23/05/2023, 2:39:14 pm</t>
  </si>
  <si>
    <t>23/05/2023, 2:39:15 pm</t>
  </si>
  <si>
    <t>23/05/2023, 2:39:16 pm</t>
  </si>
  <si>
    <t>23/05/2023, 2:39:17 pm</t>
  </si>
  <si>
    <t>23/05/2023, 2:39:18 pm</t>
  </si>
  <si>
    <t>23/05/2023, 2:39:19 pm</t>
  </si>
  <si>
    <t>23/05/2023, 2:39:20 pm</t>
  </si>
  <si>
    <t>23/05/2023, 2:39:21 pm</t>
  </si>
  <si>
    <t>23/05/2023, 2:39:22 pm</t>
  </si>
  <si>
    <t>23/05/2023, 2:39:23 pm</t>
  </si>
  <si>
    <t>23/05/2023, 2:39:24 pm</t>
  </si>
  <si>
    <t>23/05/2023, 2:39:25 pm</t>
  </si>
  <si>
    <t>23/05/2023, 2:39:26 pm</t>
  </si>
  <si>
    <t>23/05/2023, 2:39:27 pm</t>
  </si>
  <si>
    <t>23/05/2023, 2:39:28 pm</t>
  </si>
  <si>
    <t>23/05/2023, 2:39:29 pm</t>
  </si>
  <si>
    <t>23/05/2023, 2:39:30 pm</t>
  </si>
  <si>
    <t>23/05/2023, 2:39:31 pm</t>
  </si>
  <si>
    <t>23/05/2023, 2:39:32 pm</t>
  </si>
  <si>
    <t>23/05/2023, 2:39:33 pm</t>
  </si>
  <si>
    <t>23/05/2023, 2:39:34 pm</t>
  </si>
  <si>
    <t>23/05/2023, 2:39:35 pm</t>
  </si>
  <si>
    <t>23/05/2023, 2:39:36 pm</t>
  </si>
  <si>
    <t>23/05/2023, 2:39:37 pm</t>
  </si>
  <si>
    <t>23/05/2023, 2:39:38 pm</t>
  </si>
  <si>
    <t>23/05/2023, 2:39:39 pm</t>
  </si>
  <si>
    <t>23/05/2023, 2:39:40 pm</t>
  </si>
  <si>
    <t>23/05/2023, 2:39:41 pm</t>
  </si>
  <si>
    <t>23/05/2023, 2:39:42 pm</t>
  </si>
  <si>
    <t>23/05/2023, 2:39:43 pm</t>
  </si>
  <si>
    <t>23/05/2023, 2:39:44 pm</t>
  </si>
  <si>
    <t>23/05/2023, 2:39:45 pm</t>
  </si>
  <si>
    <t>23/05/2023, 2:39:46 pm</t>
  </si>
  <si>
    <t>23/05/2023, 2:39:47 pm</t>
  </si>
  <si>
    <t>23/05/2023, 2:39:48 pm</t>
  </si>
  <si>
    <t>23/05/2023, 2:39:49 pm</t>
  </si>
  <si>
    <t>23/05/2023, 2:39:50 pm</t>
  </si>
  <si>
    <t>23/05/2023, 2:39:51 pm</t>
  </si>
  <si>
    <t>23/05/2023, 2:39:52 pm</t>
  </si>
  <si>
    <t>23/05/2023, 2:39:53 pm</t>
  </si>
  <si>
    <t>23/05/2023, 2:39:54 pm</t>
  </si>
  <si>
    <t>23/05/2023, 2:39:55 pm</t>
  </si>
  <si>
    <t>23/05/2023, 2:39:56 pm</t>
  </si>
  <si>
    <t>23/05/2023, 2:39:57 pm</t>
  </si>
  <si>
    <t>23/05/2023, 2:39:58 pm</t>
  </si>
  <si>
    <t>23/05/2023, 2:39:59 pm</t>
  </si>
  <si>
    <t>23/05/2023, 2:40:00 pm</t>
  </si>
  <si>
    <t>23/05/2023, 2:40:01 pm</t>
  </si>
  <si>
    <t>23/05/2023, 2:40:02 pm</t>
  </si>
  <si>
    <t>23/05/2023, 2:40:03 pm</t>
  </si>
  <si>
    <t>23/05/2023, 2:40:04 pm</t>
  </si>
  <si>
    <t>23/05/2023, 2:40:05 pm</t>
  </si>
  <si>
    <t>23/05/2023, 2:40:06 pm</t>
  </si>
  <si>
    <t>23/05/2023, 2:40:07 pm</t>
  </si>
  <si>
    <t>23/05/2023, 2:40:08 pm</t>
  </si>
  <si>
    <t>23/05/2023, 2:40:09 pm</t>
  </si>
  <si>
    <t>23/05/2023, 2:40:10 pm</t>
  </si>
  <si>
    <t>23/05/2023, 2:40:11 pm</t>
  </si>
  <si>
    <t>23/05/2023, 2:40:12 pm</t>
  </si>
  <si>
    <t>23/05/2023, 2:40:13 pm</t>
  </si>
  <si>
    <t>23/05/2023, 2:40:14 pm</t>
  </si>
  <si>
    <t>23/05/2023, 2:40:15 pm</t>
  </si>
  <si>
    <t>23/05/2023, 2:40:16 pm</t>
  </si>
  <si>
    <t>23/05/2023, 2:40:17 pm</t>
  </si>
  <si>
    <t>23/05/2023, 2:40:18 pm</t>
  </si>
  <si>
    <t>23/05/2023, 2:40:19 pm</t>
  </si>
  <si>
    <t>23/05/2023, 2:40:20 pm</t>
  </si>
  <si>
    <t>23/05/2023, 2:40:21 pm</t>
  </si>
  <si>
    <t>23/05/2023, 2:40:22 pm</t>
  </si>
  <si>
    <t>23/05/2023, 2:40:23 pm</t>
  </si>
  <si>
    <t>23/05/2023, 2:40:24 pm</t>
  </si>
  <si>
    <t>23/05/2023, 2:40:25 pm</t>
  </si>
  <si>
    <t>23/05/2023, 2:40:26 pm</t>
  </si>
  <si>
    <t>23/05/2023, 2:40:27 pm</t>
  </si>
  <si>
    <t>23/05/2023, 2:40:28 pm</t>
  </si>
  <si>
    <t>23/05/2023, 2:40:29 pm</t>
  </si>
  <si>
    <t>23/05/2023, 2:40:30 pm</t>
  </si>
  <si>
    <t>23/05/2023, 2:40:31 pm</t>
  </si>
  <si>
    <t>23/05/2023, 2:40:32 pm</t>
  </si>
  <si>
    <t>23/05/2023, 2:40:33 pm</t>
  </si>
  <si>
    <t>23/05/2023, 2:40:34 pm</t>
  </si>
  <si>
    <t>23/05/2023, 2:40:35 pm</t>
  </si>
  <si>
    <t>23/05/2023, 2:40:36 pm</t>
  </si>
  <si>
    <t>23/05/2023, 2:40:37 pm</t>
  </si>
  <si>
    <t>23/05/2023, 2:40:38 pm</t>
  </si>
  <si>
    <t>23/05/2023, 2:40:39 pm</t>
  </si>
  <si>
    <t>23/05/2023, 2:40:40 pm</t>
  </si>
  <si>
    <t>23/05/2023, 2:40:41 pm</t>
  </si>
  <si>
    <t>23/05/2023, 2:40:42 pm</t>
  </si>
  <si>
    <t>23/05/2023, 2:40:43 pm</t>
  </si>
  <si>
    <t>23/05/2023, 2:40:44 pm</t>
  </si>
  <si>
    <t>23/05/2023, 2:40:45 pm</t>
  </si>
  <si>
    <t>23/05/2023, 2:40:46 pm</t>
  </si>
  <si>
    <t>23/05/2023, 2:40:47 pm</t>
  </si>
  <si>
    <t>23/05/2023, 2:40:48 pm</t>
  </si>
  <si>
    <t>23/05/2023, 2:40:49 pm</t>
  </si>
  <si>
    <t>23/05/2023, 2:40:50 pm</t>
  </si>
  <si>
    <t>23/05/2023, 2:40:51 pm</t>
  </si>
  <si>
    <t>23/05/2023, 2:40:55 pm</t>
  </si>
  <si>
    <t>23/05/2023, 2:40:56 pm</t>
  </si>
  <si>
    <t>23/05/2023, 2:40:57 pm</t>
  </si>
  <si>
    <t>23/05/2023, 2:40:58 pm</t>
  </si>
  <si>
    <t>23/05/2023, 2:40:59 pm</t>
  </si>
  <si>
    <t>23/05/2023, 2:41:00 pm</t>
  </si>
  <si>
    <t>23/05/2023, 2:41:01 pm</t>
  </si>
  <si>
    <t>23/05/2023, 2:41:02 pm</t>
  </si>
  <si>
    <t>23/05/2023, 2:41:03 pm</t>
  </si>
  <si>
    <t>23/05/2023, 2:41:04 pm</t>
  </si>
  <si>
    <t>23/05/2023, 2:41:05 pm</t>
  </si>
  <si>
    <t>23/05/2023, 2:41:06 pm</t>
  </si>
  <si>
    <t>23/05/2023, 2:41:07 pm</t>
  </si>
  <si>
    <t>23/05/2023, 2:41:08 pm</t>
  </si>
  <si>
    <t>23/05/2023, 2:41:09 pm</t>
  </si>
  <si>
    <t>23/05/2023, 2:41:10 pm</t>
  </si>
  <si>
    <t>23/05/2023, 2:41:11 pm</t>
  </si>
  <si>
    <t>23/05/2023, 2:41:12 pm</t>
  </si>
  <si>
    <t>23/05/2023, 2:41:13 pm</t>
  </si>
  <si>
    <t>23/05/2023, 2:41:14 pm</t>
  </si>
  <si>
    <t>23/05/2023, 2:41:15 pm</t>
  </si>
  <si>
    <t>23/05/2023, 2:41:16 pm</t>
  </si>
  <si>
    <t>23/05/2023, 2:41:17 pm</t>
  </si>
  <si>
    <t>23/05/2023, 2:41:18 pm</t>
  </si>
  <si>
    <t>23/05/2023, 2:41:19 pm</t>
  </si>
  <si>
    <t>23/05/2023, 2:41:20 pm</t>
  </si>
  <si>
    <t>23/05/2023, 2:41:21 pm</t>
  </si>
  <si>
    <t>23/05/2023, 2:41:22 pm</t>
  </si>
  <si>
    <t>23/05/2023, 2:41:23 pm</t>
  </si>
  <si>
    <t>23/05/2023, 2:41:24 pm</t>
  </si>
  <si>
    <t>23/05/2023, 2:41:25 pm</t>
  </si>
  <si>
    <t>23/05/2023, 2:41:26 pm</t>
  </si>
  <si>
    <t>23/05/2023, 2:41:27 pm</t>
  </si>
  <si>
    <t>23/05/2023, 2:41:28 pm</t>
  </si>
  <si>
    <t>23/05/2023, 2:41:29 pm</t>
  </si>
  <si>
    <t>23/05/2023, 2:41:30 pm</t>
  </si>
  <si>
    <t>23/05/2023, 2:41:31 pm</t>
  </si>
  <si>
    <t>23/05/2023, 2:41:32 pm</t>
  </si>
  <si>
    <t>23/05/2023, 2:41:34 pm</t>
  </si>
  <si>
    <t>23/05/2023, 2:41:35 pm</t>
  </si>
  <si>
    <t>23/05/2023, 2:41:36 pm</t>
  </si>
  <si>
    <t>23/05/2023, 2:41:37 pm</t>
  </si>
  <si>
    <t>23/05/2023, 2:41:38 pm</t>
  </si>
  <si>
    <t>23/05/2023, 2:41:39 pm</t>
  </si>
  <si>
    <t>23/05/2023, 2:41:40 pm</t>
  </si>
  <si>
    <t>23/05/2023, 2:41:41 pm</t>
  </si>
  <si>
    <t>23/05/2023, 2:41:43 pm</t>
  </si>
  <si>
    <t>23/05/2023, 2:41:44 pm</t>
  </si>
  <si>
    <t>23/05/2023, 2:41:45 pm</t>
  </si>
  <si>
    <t>23/05/2023, 2:41:46 pm</t>
  </si>
  <si>
    <t>23/05/2023, 2:41:47 pm</t>
  </si>
  <si>
    <t>23/05/2023, 2:41:48 pm</t>
  </si>
  <si>
    <t>23/05/2023, 2:41:49 pm</t>
  </si>
  <si>
    <t>23/05/2023, 2:41:50 pm</t>
  </si>
  <si>
    <t>23/05/2023, 2:41:51 pm</t>
  </si>
  <si>
    <t>23/05/2023, 2:41:52 pm</t>
  </si>
  <si>
    <t>23/05/2023, 2:41:53 pm</t>
  </si>
  <si>
    <t>23/05/2023, 2:41:54 pm</t>
  </si>
  <si>
    <t>23/05/2023, 2:41:55 pm</t>
  </si>
  <si>
    <t>23/05/2023, 2:41:56 pm</t>
  </si>
  <si>
    <t>23/05/2023, 2:41:57 pm</t>
  </si>
  <si>
    <t>23/05/2023, 2:41:58 pm</t>
  </si>
  <si>
    <t>23/05/2023, 2:41:59 pm</t>
  </si>
  <si>
    <t>23/05/2023, 2:42:00 pm</t>
  </si>
  <si>
    <t>23/05/2023, 2:42:01 pm</t>
  </si>
  <si>
    <t>23/05/2023, 2:42:02 pm</t>
  </si>
  <si>
    <t>23/05/2023, 2:42:03 pm</t>
  </si>
  <si>
    <t>23/05/2023, 2:42:04 pm</t>
  </si>
  <si>
    <t>23/05/2023, 2:42:05 pm</t>
  </si>
  <si>
    <t>23/05/2023, 2:42:06 pm</t>
  </si>
  <si>
    <t>23/05/2023, 2:42:07 pm</t>
  </si>
  <si>
    <t>23/05/2023, 2:42:08 pm</t>
  </si>
  <si>
    <t>23/05/2023, 2:42:09 pm</t>
  </si>
  <si>
    <t>23/05/2023, 2:42:10 pm</t>
  </si>
  <si>
    <t>23/05/2023, 2:42:11 pm</t>
  </si>
  <si>
    <t>23/05/2023, 2:42:12 pm</t>
  </si>
  <si>
    <t>23/05/2023, 2:42:13 pm</t>
  </si>
  <si>
    <t>23/05/2023, 2:42:14 pm</t>
  </si>
  <si>
    <t>23/05/2023, 2:42:15 pm</t>
  </si>
  <si>
    <t>23/05/2023, 2:42:16 pm</t>
  </si>
  <si>
    <t>23/05/2023, 2:42:17 pm</t>
  </si>
  <si>
    <t>23/05/2023, 2:42:18 pm</t>
  </si>
  <si>
    <t>23/05/2023, 2:42:19 pm</t>
  </si>
  <si>
    <t>23/05/2023, 2:42:20 pm</t>
  </si>
  <si>
    <t>23/05/2023, 2:42:21 pm</t>
  </si>
  <si>
    <t>23/05/2023, 2:42:22 pm</t>
  </si>
  <si>
    <t>23/05/2023, 2:42:23 pm</t>
  </si>
  <si>
    <t>23/05/2023, 2:42:24 pm</t>
  </si>
  <si>
    <t>23/05/2023, 2:42:25 pm</t>
  </si>
  <si>
    <t>23/05/2023, 2:42:26 pm</t>
  </si>
  <si>
    <t>23/05/2023, 2:42:27 pm</t>
  </si>
  <si>
    <t>23/05/2023, 2:42:28 pm</t>
  </si>
  <si>
    <t>23/05/2023, 2:42:29 pm</t>
  </si>
  <si>
    <t>23/05/2023, 2:42:30 pm</t>
  </si>
  <si>
    <t>23/05/2023, 2:42:31 pm</t>
  </si>
  <si>
    <t>23/05/2023, 2:42:32 pm</t>
  </si>
  <si>
    <t>23/05/2023, 2:42:33 pm</t>
  </si>
  <si>
    <t>23/05/2023, 2:42:34 pm</t>
  </si>
  <si>
    <t>23/05/2023, 2:42:35 pm</t>
  </si>
  <si>
    <t>23/05/2023, 2:42:36 pm</t>
  </si>
  <si>
    <t>23/05/2023, 2:42:37 pm</t>
  </si>
  <si>
    <t>23/05/2023, 2:42:38 pm</t>
  </si>
  <si>
    <t>23/05/2023, 2:42:39 pm</t>
  </si>
  <si>
    <t>23/05/2023, 2:42:40 pm</t>
  </si>
  <si>
    <t>23/05/2023, 2:42:41 pm</t>
  </si>
  <si>
    <t>23/05/2023, 2:42:42 pm</t>
  </si>
  <si>
    <t>23/05/2023, 2:42:43 pm</t>
  </si>
  <si>
    <t>23/05/2023, 2:42:44 pm</t>
  </si>
  <si>
    <t>23/05/2023, 2:42:45 pm</t>
  </si>
  <si>
    <t>23/05/2023, 2:42:46 pm</t>
  </si>
  <si>
    <t>23/05/2023, 2:42:47 pm</t>
  </si>
  <si>
    <t>23/05/2023, 2:42:48 pm</t>
  </si>
  <si>
    <t>23/05/2023, 2:42:49 pm</t>
  </si>
  <si>
    <t>23/05/2023, 2:42:50 pm</t>
  </si>
  <si>
    <t>23/05/2023, 2:42:51 pm</t>
  </si>
  <si>
    <t>23/05/2023, 2:42:52 pm</t>
  </si>
  <si>
    <t>23/05/2023, 2:42:53 pm</t>
  </si>
  <si>
    <t>23/05/2023, 2:42:54 pm</t>
  </si>
  <si>
    <t>23/05/2023, 2:42:55 pm</t>
  </si>
  <si>
    <t>23/05/2023, 2:42:56 pm</t>
  </si>
  <si>
    <t>23/05/2023, 2:42:57 pm</t>
  </si>
  <si>
    <t>23/05/2023, 2:42:58 pm</t>
  </si>
  <si>
    <t>23/05/2023, 2:42:59 pm</t>
  </si>
  <si>
    <t>23/05/2023, 2:43:00 pm</t>
  </si>
  <si>
    <t>23/05/2023, 2:43:01 pm</t>
  </si>
  <si>
    <t>23/05/2023, 2:43:02 pm</t>
  </si>
  <si>
    <t>23/05/2023, 2:43:03 pm</t>
  </si>
  <si>
    <t>23/05/2023, 2:43:04 pm</t>
  </si>
  <si>
    <t>23/05/2023, 2:43:05 pm</t>
  </si>
  <si>
    <t>23/05/2023, 2:43:06 pm</t>
  </si>
  <si>
    <t>23/05/2023, 2:43:07 pm</t>
  </si>
  <si>
    <t>23/05/2023, 2:43:08 pm</t>
  </si>
  <si>
    <t>23/05/2023, 2:43:09 pm</t>
  </si>
  <si>
    <t>23/05/2023, 2:43:10 pm</t>
  </si>
  <si>
    <t>23/05/2023, 2:43:11 pm</t>
  </si>
  <si>
    <t>23/05/2023, 2:43:12 pm</t>
  </si>
  <si>
    <t>23/05/2023, 2:43:13 pm</t>
  </si>
  <si>
    <t>23/05/2023, 2:43:14 pm</t>
  </si>
  <si>
    <t>23/05/2023, 2:43:15 pm</t>
  </si>
  <si>
    <t>23/05/2023, 2:43:16 pm</t>
  </si>
  <si>
    <t>23/05/2023, 2:43:17 pm</t>
  </si>
  <si>
    <t>23/05/2023, 2:43:18 pm</t>
  </si>
  <si>
    <t>23/05/2023, 2:43:19 pm</t>
  </si>
  <si>
    <t>23/05/2023, 2:43:20 pm</t>
  </si>
  <si>
    <t>23/05/2023, 2:43:21 pm</t>
  </si>
  <si>
    <t>23/05/2023, 2:43:22 pm</t>
  </si>
  <si>
    <t>23/05/2023, 2:43:23 pm</t>
  </si>
  <si>
    <t>23/05/2023, 2:43:24 pm</t>
  </si>
  <si>
    <t>23/05/2023, 2:43:26 pm</t>
  </si>
  <si>
    <t>23/05/2023, 2:43:27 pm</t>
  </si>
  <si>
    <t>23/05/2023, 2:43:28 pm</t>
  </si>
  <si>
    <t>23/05/2023, 2:43:29 pm</t>
  </si>
  <si>
    <t>23/05/2023, 2:43:30 pm</t>
  </si>
  <si>
    <t>23/05/2023, 2:43:31 pm</t>
  </si>
  <si>
    <t>23/05/2023, 2:43:32 pm</t>
  </si>
  <si>
    <t>23/05/2023, 2:43:33 pm</t>
  </si>
  <si>
    <t>23/05/2023, 2:43:34 pm</t>
  </si>
  <si>
    <t>23/05/2023, 2:43:35 pm</t>
  </si>
  <si>
    <t>23/05/2023, 2:43:36 pm</t>
  </si>
  <si>
    <t>23/05/2023, 2:43:37 pm</t>
  </si>
  <si>
    <t>23/05/2023, 2:43:38 pm</t>
  </si>
  <si>
    <t>23/05/2023, 2:43:39 pm</t>
  </si>
  <si>
    <t>23/05/2023, 2:43:40 pm</t>
  </si>
  <si>
    <t>23/05/2023, 2:43:41 pm</t>
  </si>
  <si>
    <t>23/05/2023, 2:43:42 pm</t>
  </si>
  <si>
    <t>23/05/2023, 2:43:43 pm</t>
  </si>
  <si>
    <t>23/05/2023, 2:43:44 pm</t>
  </si>
  <si>
    <t>23/05/2023, 2:43:45 pm</t>
  </si>
  <si>
    <t>23/05/2023, 2:43:46 pm</t>
  </si>
  <si>
    <t>23/05/2023, 2:43:47 pm</t>
  </si>
  <si>
    <t>23/05/2023, 2:43:48 pm</t>
  </si>
  <si>
    <t>23/05/2023, 2:43:49 pm</t>
  </si>
  <si>
    <t>23/05/2023, 2:43:50 pm</t>
  </si>
  <si>
    <t>23/05/2023, 2:43:51 pm</t>
  </si>
  <si>
    <t>23/05/2023, 2:43:52 pm</t>
  </si>
  <si>
    <t>23/05/2023, 2:43:53 pm</t>
  </si>
  <si>
    <t>23/05/2023, 2:43:54 pm</t>
  </si>
  <si>
    <t>23/05/2023, 2:43:55 pm</t>
  </si>
  <si>
    <t>23/05/2023, 2:43:56 pm</t>
  </si>
  <si>
    <t>23/05/2023, 2:43:57 pm</t>
  </si>
  <si>
    <t>23/05/2023, 2:43:58 pm</t>
  </si>
  <si>
    <t>23/05/2023, 2:43:59 pm</t>
  </si>
  <si>
    <t>23/05/2023, 2:44:00 pm</t>
  </si>
  <si>
    <t>23/05/2023, 2:44:01 pm</t>
  </si>
  <si>
    <t>23/05/2023, 2:44:02 pm</t>
  </si>
  <si>
    <t>23/05/2023, 2:44:03 pm</t>
  </si>
  <si>
    <t>23/05/2023, 2:44:04 pm</t>
  </si>
  <si>
    <t>23/05/2023, 2:44:05 pm</t>
  </si>
  <si>
    <t>23/05/2023, 2:44:06 pm</t>
  </si>
  <si>
    <t>23/05/2023, 2:44:07 pm</t>
  </si>
  <si>
    <t>23/05/2023, 2:44:08 pm</t>
  </si>
  <si>
    <t>23/05/2023, 2:44:09 pm</t>
  </si>
  <si>
    <t>23/05/2023, 2:44:10 pm</t>
  </si>
  <si>
    <t>23/05/2023, 2:44:11 pm</t>
  </si>
  <si>
    <t>23/05/2023, 2:44:12 pm</t>
  </si>
  <si>
    <t>23/05/2023, 2:44:13 pm</t>
  </si>
  <si>
    <t>23/05/2023, 2:44:14 pm</t>
  </si>
  <si>
    <t>23/05/2023, 2:44:15 pm</t>
  </si>
  <si>
    <t>23/05/2023, 2:44:16 pm</t>
  </si>
  <si>
    <t>23/05/2023, 2:44:17 pm</t>
  </si>
  <si>
    <t>23/05/2023, 2:44:18 pm</t>
  </si>
  <si>
    <t>23/05/2023, 2:44:19 pm</t>
  </si>
  <si>
    <t>23/05/2023, 2:44:20 pm</t>
  </si>
  <si>
    <t>23/05/2023, 2:44:21 pm</t>
  </si>
  <si>
    <t>23/05/2023, 2:44:22 pm</t>
  </si>
  <si>
    <t>23/05/2023, 2:44:23 pm</t>
  </si>
  <si>
    <t>23/05/2023, 2:44:24 pm</t>
  </si>
  <si>
    <t>23/05/2023, 2:44:25 pm</t>
  </si>
  <si>
    <t>23/05/2023, 2:44:26 pm</t>
  </si>
  <si>
    <t>23/05/2023, 2:44:27 pm</t>
  </si>
  <si>
    <t>23/05/2023, 2:44:28 pm</t>
  </si>
  <si>
    <t>23/05/2023, 2:44:29 pm</t>
  </si>
  <si>
    <t>23/05/2023, 2:44:30 pm</t>
  </si>
  <si>
    <t>23/05/2023, 2:44:31 pm</t>
  </si>
  <si>
    <t>23/05/2023, 2:44:32 pm</t>
  </si>
  <si>
    <t>23/05/2023, 2:44:33 pm</t>
  </si>
  <si>
    <t>23/05/2023, 2:44:34 pm</t>
  </si>
  <si>
    <t>23/05/2023, 2:44:35 pm</t>
  </si>
  <si>
    <t>23/05/2023, 2:44:36 pm</t>
  </si>
  <si>
    <t>23/05/2023, 2:44:37 pm</t>
  </si>
  <si>
    <t>23/05/2023, 2:44:38 pm</t>
  </si>
  <si>
    <t>23/05/2023, 2:44:39 pm</t>
  </si>
  <si>
    <t>23/05/2023, 2:44:40 pm</t>
  </si>
  <si>
    <t>23/05/2023, 2:44:41 pm</t>
  </si>
  <si>
    <t>23/05/2023, 2:44:42 pm</t>
  </si>
  <si>
    <t>23/05/2023, 2:44:43 pm</t>
  </si>
  <si>
    <t>23/05/2023, 2:44:44 pm</t>
  </si>
  <si>
    <t>23/05/2023, 2:44:45 pm</t>
  </si>
  <si>
    <t>23/05/2023, 2:44:46 pm</t>
  </si>
  <si>
    <t>23/05/2023, 2:44:47 pm</t>
  </si>
  <si>
    <t>23/05/2023, 2:44:48 pm</t>
  </si>
  <si>
    <t>23/05/2023, 2:44:49 pm</t>
  </si>
  <si>
    <t>23/05/2023, 2:44:50 pm</t>
  </si>
  <si>
    <t>23/05/2023, 2:44:51 pm</t>
  </si>
  <si>
    <t>23/05/2023, 2:44:52 pm</t>
  </si>
  <si>
    <t>23/05/2023, 2:44:53 pm</t>
  </si>
  <si>
    <t>23/05/2023, 2:44:54 pm</t>
  </si>
  <si>
    <t>23/05/2023, 2:44:55 pm</t>
  </si>
  <si>
    <t>23/05/2023, 2:44:56 pm</t>
  </si>
  <si>
    <t>23/05/2023, 2:44:57 pm</t>
  </si>
  <si>
    <t>23/05/2023, 2:44:58 pm</t>
  </si>
  <si>
    <t>23/05/2023, 2:44:59 pm</t>
  </si>
  <si>
    <t>23/05/2023, 2:45:00 pm</t>
  </si>
  <si>
    <t>23/05/2023, 2:45:01 pm</t>
  </si>
  <si>
    <t>23/05/2023, 2:45:02 pm</t>
  </si>
  <si>
    <t>23/05/2023, 2:45:03 pm</t>
  </si>
  <si>
    <t>23/05/2023, 2:45:04 pm</t>
  </si>
  <si>
    <t>23/05/2023, 2:45:05 pm</t>
  </si>
  <si>
    <t>23/05/2023, 2:45:06 pm</t>
  </si>
  <si>
    <t>23/05/2023, 2:45:07 pm</t>
  </si>
  <si>
    <t>23/05/2023, 2:45:08 pm</t>
  </si>
  <si>
    <t>23/05/2023, 2:45:09 pm</t>
  </si>
  <si>
    <t>23/05/2023, 2:45:10 pm</t>
  </si>
  <si>
    <t>23/05/2023, 2:45:11 pm</t>
  </si>
  <si>
    <t>23/05/2023, 2:45:12 pm</t>
  </si>
  <si>
    <t>23/05/2023, 2:45:13 pm</t>
  </si>
  <si>
    <t>23/05/2023, 2:45:14 pm</t>
  </si>
  <si>
    <t>23/05/2023, 2:45:15 pm</t>
  </si>
  <si>
    <t>23/05/2023, 2:45:16 pm</t>
  </si>
  <si>
    <t>23/05/2023, 2:45:17 pm</t>
  </si>
  <si>
    <t>23/05/2023, 2:45:18 pm</t>
  </si>
  <si>
    <t>23/05/2023, 2:45:19 pm</t>
  </si>
  <si>
    <t>23/05/2023, 2:45:20 pm</t>
  </si>
  <si>
    <t>23/05/2023, 2:45:21 pm</t>
  </si>
  <si>
    <t>23/05/2023, 2:45:22 pm</t>
  </si>
  <si>
    <t>23/05/2023, 2:45:23 pm</t>
  </si>
  <si>
    <t>23/05/2023, 2:45:24 pm</t>
  </si>
  <si>
    <t>23/05/2023, 2:45:25 pm</t>
  </si>
  <si>
    <t>23/05/2023, 2:45:26 pm</t>
  </si>
  <si>
    <t>23/05/2023, 2:45:27 pm</t>
  </si>
  <si>
    <t>23/05/2023, 2:45:28 pm</t>
  </si>
  <si>
    <t>23/05/2023, 2:45:29 pm</t>
  </si>
  <si>
    <t>23/05/2023, 2:45:30 pm</t>
  </si>
  <si>
    <t>23/05/2023, 2:45:31 pm</t>
  </si>
  <si>
    <t>23/05/2023, 2:45:32 pm</t>
  </si>
  <si>
    <t>23/05/2023, 2:45:33 pm</t>
  </si>
  <si>
    <t>23/05/2023, 2:45:34 pm</t>
  </si>
  <si>
    <t>23/05/2023, 2:45:35 pm</t>
  </si>
  <si>
    <t>23/05/2023, 2:45:36 pm</t>
  </si>
  <si>
    <t>23/05/2023, 2:45:37 pm</t>
  </si>
  <si>
    <t>23/05/2023, 2:45:38 pm</t>
  </si>
  <si>
    <t>23/05/2023, 2:45:39 pm</t>
  </si>
  <si>
    <t>23/05/2023, 2:45:40 pm</t>
  </si>
  <si>
    <t>23/05/2023, 2:45:41 pm</t>
  </si>
  <si>
    <t>23/05/2023, 2:45:42 pm</t>
  </si>
  <si>
    <t>23/05/2023, 2:45:43 pm</t>
  </si>
  <si>
    <t>23/05/2023, 2:45:44 pm</t>
  </si>
  <si>
    <t>23/05/2023, 2:45:45 pm</t>
  </si>
  <si>
    <t>23/05/2023, 2:45:46 pm</t>
  </si>
  <si>
    <t>23/05/2023, 2:45:47 pm</t>
  </si>
  <si>
    <t>23/05/2023, 2:45:48 pm</t>
  </si>
  <si>
    <t>23/05/2023, 2:45:49 pm</t>
  </si>
  <si>
    <t>23/05/2023, 2:45:50 pm</t>
  </si>
  <si>
    <t>23/05/2023, 2:45:51 pm</t>
  </si>
  <si>
    <t>23/05/2023, 2:45:53 pm</t>
  </si>
  <si>
    <t>23/05/2023, 2:45:54 pm</t>
  </si>
  <si>
    <t>23/05/2023, 2:45:55 pm</t>
  </si>
  <si>
    <t>23/05/2023, 2:45:56 pm</t>
  </si>
  <si>
    <t>23/05/2023, 2:45:57 pm</t>
  </si>
  <si>
    <t>23/05/2023, 2:45:58 pm</t>
  </si>
  <si>
    <t>23/05/2023, 2:45:59 pm</t>
  </si>
  <si>
    <t>23/05/2023, 2:46:00 pm</t>
  </si>
  <si>
    <t>23/05/2023, 2:46:01 pm</t>
  </si>
  <si>
    <t>23/05/2023, 2:46:02 pm</t>
  </si>
  <si>
    <t>23/05/2023, 2:46:03 pm</t>
  </si>
  <si>
    <t>23/05/2023, 2:46:04 pm</t>
  </si>
  <si>
    <t>23/05/2023, 2:46:05 pm</t>
  </si>
  <si>
    <t>23/05/2023, 2:46:06 pm</t>
  </si>
  <si>
    <t>23/05/2023, 2:46:07 pm</t>
  </si>
  <si>
    <t>23/05/2023, 2:46:08 pm</t>
  </si>
  <si>
    <t>23/05/2023, 2:46:09 pm</t>
  </si>
  <si>
    <t>23/05/2023, 2:46:10 pm</t>
  </si>
  <si>
    <t>23/05/2023, 2:46:11 pm</t>
  </si>
  <si>
    <t>23/05/2023, 2:46:12 pm</t>
  </si>
  <si>
    <t>23/05/2023, 2:46:13 pm</t>
  </si>
  <si>
    <t>23/05/2023, 2:46:14 pm</t>
  </si>
  <si>
    <t>23/05/2023, 2:46:15 pm</t>
  </si>
  <si>
    <t>23/05/2023, 2:46:16 pm</t>
  </si>
  <si>
    <t>23/05/2023, 2:46:17 pm</t>
  </si>
  <si>
    <t>23/05/2023, 2:46:18 pm</t>
  </si>
  <si>
    <t>23/05/2023, 2:46:19 pm</t>
  </si>
  <si>
    <t>23/05/2023, 2:46:20 pm</t>
  </si>
  <si>
    <t>23/05/2023, 2:46:21 pm</t>
  </si>
  <si>
    <t>23/05/2023, 2:46:22 pm</t>
  </si>
  <si>
    <t>23/05/2023, 2:46:23 pm</t>
  </si>
  <si>
    <t>23/05/2023, 2:46:24 pm</t>
  </si>
  <si>
    <t>23/05/2023, 2:46:25 pm</t>
  </si>
  <si>
    <t>23/05/2023, 2:46:26 pm</t>
  </si>
  <si>
    <t>23/05/2023, 2:46:27 pm</t>
  </si>
  <si>
    <t>23/05/2023, 2:46:28 pm</t>
  </si>
  <si>
    <t>23/05/2023, 2:46:29 pm</t>
  </si>
  <si>
    <t>23/05/2023, 2:46:30 pm</t>
  </si>
  <si>
    <t>23/05/2023, 2:46:31 pm</t>
  </si>
  <si>
    <t>23/05/2023, 2:46:32 pm</t>
  </si>
  <si>
    <t>23/05/2023, 2:46:33 pm</t>
  </si>
  <si>
    <t>23/05/2023, 2:46:34 pm</t>
  </si>
  <si>
    <t>23/05/2023, 2:46:35 pm</t>
  </si>
  <si>
    <t>23/05/2023, 2:46:36 pm</t>
  </si>
  <si>
    <t>23/05/2023, 2:46:37 pm</t>
  </si>
  <si>
    <t>23/05/2023, 2:46:38 pm</t>
  </si>
  <si>
    <t>23/05/2023, 2:46:39 pm</t>
  </si>
  <si>
    <t>23/05/2023, 2:46:40 pm</t>
  </si>
  <si>
    <t>23/05/2023, 2:46:41 pm</t>
  </si>
  <si>
    <t>23/05/2023, 2:46:42 pm</t>
  </si>
  <si>
    <t>23/05/2023, 2:46:43 pm</t>
  </si>
  <si>
    <t>23/05/2023, 2:46:44 pm</t>
  </si>
  <si>
    <t>23/05/2023, 2:46:45 pm</t>
  </si>
  <si>
    <t>23/05/2023, 2:46:46 pm</t>
  </si>
  <si>
    <t>23/05/2023, 2:46:47 pm</t>
  </si>
  <si>
    <t>23/05/2023, 2:46:48 pm</t>
  </si>
  <si>
    <t>23/05/2023, 2:46:49 pm</t>
  </si>
  <si>
    <t>23/05/2023, 2:46:50 pm</t>
  </si>
  <si>
    <t>23/05/2023, 2:46:51 pm</t>
  </si>
  <si>
    <t>23/05/2023, 2:46:52 pm</t>
  </si>
  <si>
    <t>23/05/2023, 2:46:53 pm</t>
  </si>
  <si>
    <t>23/05/2023, 2:46:54 pm</t>
  </si>
  <si>
    <t>23/05/2023, 2:46:55 pm</t>
  </si>
  <si>
    <t>23/05/2023, 2:46:56 pm</t>
  </si>
  <si>
    <t>23/05/2023, 2:46:57 pm</t>
  </si>
  <si>
    <t>23/05/2023, 2:46:58 pm</t>
  </si>
  <si>
    <t>23/05/2023, 2:46:59 pm</t>
  </si>
  <si>
    <t>23/05/2023, 2:47:00 pm</t>
  </si>
  <si>
    <t>23/05/2023, 2:47:01 pm</t>
  </si>
  <si>
    <t>23/05/2023, 2:47:02 pm</t>
  </si>
  <si>
    <t>23/05/2023, 2:47:03 pm</t>
  </si>
  <si>
    <t>23/05/2023, 2:47:04 pm</t>
  </si>
  <si>
    <t>23/05/2023, 2:47:05 pm</t>
  </si>
  <si>
    <t>23/05/2023, 2:47:06 pm</t>
  </si>
  <si>
    <t>23/05/2023, 2:47:07 pm</t>
  </si>
  <si>
    <t>23/05/2023, 2:47:08 pm</t>
  </si>
  <si>
    <t>23/05/2023, 2:47:09 pm</t>
  </si>
  <si>
    <t>23/05/2023, 2:47:10 pm</t>
  </si>
  <si>
    <t>23/05/2023, 2:47:11 pm</t>
  </si>
  <si>
    <t>23/05/2023, 2:47:12 pm</t>
  </si>
  <si>
    <t>23/05/2023, 2:47:13 pm</t>
  </si>
  <si>
    <t>23/05/2023, 2:47:14 pm</t>
  </si>
  <si>
    <t>23/05/2023, 2:47:15 pm</t>
  </si>
  <si>
    <t>23/05/2023, 2:47:16 pm</t>
  </si>
  <si>
    <t>23/05/2023, 2:47:17 pm</t>
  </si>
  <si>
    <t>23/05/2023, 2:47:18 pm</t>
  </si>
  <si>
    <t>23/05/2023, 2:47:19 pm</t>
  </si>
  <si>
    <t>23/05/2023, 2:47:20 pm</t>
  </si>
  <si>
    <t>23/05/2023, 2:47:21 pm</t>
  </si>
  <si>
    <t>23/05/2023, 2:47:22 pm</t>
  </si>
  <si>
    <t>23/05/2023, 2:47:23 pm</t>
  </si>
  <si>
    <t>23/05/2023, 2:47:24 pm</t>
  </si>
  <si>
    <t>23/05/2023, 2:47:25 pm</t>
  </si>
  <si>
    <t>23/05/2023, 2:47:26 pm</t>
  </si>
  <si>
    <t>23/05/2023, 2:47:27 pm</t>
  </si>
  <si>
    <t>23/05/2023, 2:47:28 pm</t>
  </si>
  <si>
    <t>23/05/2023, 2:47:29 pm</t>
  </si>
  <si>
    <t>23/05/2023, 2:47:30 pm</t>
  </si>
  <si>
    <t>23/05/2023, 2:47:31 pm</t>
  </si>
  <si>
    <t>23/05/2023, 2:47:32 pm</t>
  </si>
  <si>
    <t>23/05/2023, 2:47:33 pm</t>
  </si>
  <si>
    <t>23/05/2023, 2:47:34 pm</t>
  </si>
  <si>
    <t>23/05/2023, 2:47:35 pm</t>
  </si>
  <si>
    <t>23/05/2023, 2:47:36 pm</t>
  </si>
  <si>
    <t>23/05/2023, 2:47:37 pm</t>
  </si>
  <si>
    <t>23/05/2023, 2:47:38 pm</t>
  </si>
  <si>
    <t>23/05/2023, 2:47:39 pm</t>
  </si>
  <si>
    <t>23/05/2023, 2:47:40 pm</t>
  </si>
  <si>
    <t>23/05/2023, 2:47:41 pm</t>
  </si>
  <si>
    <t>23/05/2023, 2:47:42 pm</t>
  </si>
  <si>
    <t>23/05/2023, 2:47:43 pm</t>
  </si>
  <si>
    <t>23/05/2023, 2:47:44 pm</t>
  </si>
  <si>
    <t>23/05/2023, 2:47:45 pm</t>
  </si>
  <si>
    <t>23/05/2023, 2:47:46 pm</t>
  </si>
  <si>
    <t>23/05/2023, 2:47:47 pm</t>
  </si>
  <si>
    <t>23/05/2023, 2:47:48 pm</t>
  </si>
  <si>
    <t>23/05/2023, 2:47:49 pm</t>
  </si>
  <si>
    <t>23/05/2023, 2:47:50 pm</t>
  </si>
  <si>
    <t>23/05/2023, 2:47:51 pm</t>
  </si>
  <si>
    <t>23/05/2023, 2:47:52 pm</t>
  </si>
  <si>
    <t>23/05/2023, 2:47:53 pm</t>
  </si>
  <si>
    <t>23/05/2023, 2:47:54 pm</t>
  </si>
  <si>
    <t>23/05/2023, 2:47:55 pm</t>
  </si>
  <si>
    <t>23/05/2023, 2:47:56 pm</t>
  </si>
  <si>
    <t>23/05/2023, 2:47:57 pm</t>
  </si>
  <si>
    <t>23/05/2023, 2:47:58 pm</t>
  </si>
  <si>
    <t>23/05/2023, 2:47:59 pm</t>
  </si>
  <si>
    <t>23/05/2023, 2:48:00 pm</t>
  </si>
  <si>
    <t>23/05/2023, 2:48:01 pm</t>
  </si>
  <si>
    <t>23/05/2023, 2:48:02 pm</t>
  </si>
  <si>
    <t>23/05/2023, 2:48:03 pm</t>
  </si>
  <si>
    <t>23/05/2023, 2:48:04 pm</t>
  </si>
  <si>
    <t>23/05/2023, 2:48:05 pm</t>
  </si>
  <si>
    <t>23/05/2023, 2:48:06 pm</t>
  </si>
  <si>
    <t>23/05/2023, 2:48:07 pm</t>
  </si>
  <si>
    <t>23/05/2023, 2:48:08 pm</t>
  </si>
  <si>
    <t>23/05/2023, 2:48:09 pm</t>
  </si>
  <si>
    <t>23/05/2023, 2:48:10 pm</t>
  </si>
  <si>
    <t>23/05/2023, 2:48:11 pm</t>
  </si>
  <si>
    <t>23/05/2023, 2:48:13 pm</t>
  </si>
  <si>
    <t>23/05/2023, 2:48:14 pm</t>
  </si>
  <si>
    <t>23/05/2023, 2:48:15 pm</t>
  </si>
  <si>
    <t>23/05/2023, 2:48:16 pm</t>
  </si>
  <si>
    <t>23/05/2023, 2:48:17 pm</t>
  </si>
  <si>
    <t>23/05/2023, 2:48:18 pm</t>
  </si>
  <si>
    <t>23/05/2023, 2:48:19 pm</t>
  </si>
  <si>
    <t>23/05/2023, 2:48:20 pm</t>
  </si>
  <si>
    <t>23/05/2023, 2:48:21 pm</t>
  </si>
  <si>
    <t>23/05/2023, 2:48:22 pm</t>
  </si>
  <si>
    <t>23/05/2023, 2:48:23 pm</t>
  </si>
  <si>
    <t>23/05/2023, 2:48:24 pm</t>
  </si>
  <si>
    <t>23/05/2023, 2:48:25 pm</t>
  </si>
  <si>
    <t>23/05/2023, 2:48:26 pm</t>
  </si>
  <si>
    <t>23/05/2023, 2:48:27 pm</t>
  </si>
  <si>
    <t>23/05/2023, 2:48:28 pm</t>
  </si>
  <si>
    <t>23/05/2023, 2:48:29 pm</t>
  </si>
  <si>
    <t>23/05/2023, 2:48:30 pm</t>
  </si>
  <si>
    <t>23/05/2023, 2:48:31 pm</t>
  </si>
  <si>
    <t>23/05/2023, 2:48:32 pm</t>
  </si>
  <si>
    <t>23/05/2023, 2:48:33 pm</t>
  </si>
  <si>
    <t>23/05/2023, 2:48:34 pm</t>
  </si>
  <si>
    <t>23/05/2023, 2:48:35 pm</t>
  </si>
  <si>
    <t>23/05/2023, 2:48:36 pm</t>
  </si>
  <si>
    <t>23/05/2023, 2:48:37 pm</t>
  </si>
  <si>
    <t>23/05/2023, 2:48:38 pm</t>
  </si>
  <si>
    <t>23/05/2023, 2:48:39 pm</t>
  </si>
  <si>
    <t>23/05/2023, 2:48:40 pm</t>
  </si>
  <si>
    <t>23/05/2023, 2:48:41 pm</t>
  </si>
  <si>
    <t>23/05/2023, 2:48:42 pm</t>
  </si>
  <si>
    <t>23/05/2023, 2:48:43 pm</t>
  </si>
  <si>
    <t>23/05/2023, 2:48:44 pm</t>
  </si>
  <si>
    <t>23/05/2023, 2:48:45 pm</t>
  </si>
  <si>
    <t>23/05/2023, 2:48:46 pm</t>
  </si>
  <si>
    <t>23/05/2023, 2:48:47 pm</t>
  </si>
  <si>
    <t>23/05/2023, 2:48:48 pm</t>
  </si>
  <si>
    <t>23/05/2023, 2:48:49 pm</t>
  </si>
  <si>
    <t>23/05/2023, 2:48:50 pm</t>
  </si>
  <si>
    <t>23/05/2023, 2:48:51 pm</t>
  </si>
  <si>
    <t>23/05/2023, 2:48:52 pm</t>
  </si>
  <si>
    <t>23/05/2023, 2:48:53 pm</t>
  </si>
  <si>
    <t>23/05/2023, 2:48:54 pm</t>
  </si>
  <si>
    <t>23/05/2023, 2:48:55 pm</t>
  </si>
  <si>
    <t>23/05/2023, 2:48:56 pm</t>
  </si>
  <si>
    <t>23/05/2023, 2:48:57 pm</t>
  </si>
  <si>
    <t>23/05/2023, 2:48:58 pm</t>
  </si>
  <si>
    <t>23/05/2023, 2:48:59 pm</t>
  </si>
  <si>
    <t>23/05/2023, 2:49:00 pm</t>
  </si>
  <si>
    <t>23/05/2023, 2:49:01 pm</t>
  </si>
  <si>
    <t>23/05/2023, 2:49:02 pm</t>
  </si>
  <si>
    <t>23/05/2023, 2:49:03 pm</t>
  </si>
  <si>
    <t>23/05/2023, 2:49:04 pm</t>
  </si>
  <si>
    <t>23/05/2023, 2:49:05 pm</t>
  </si>
  <si>
    <t>23/05/2023, 2:49:06 pm</t>
  </si>
  <si>
    <t>23/05/2023, 2:49:07 pm</t>
  </si>
  <si>
    <t>23/05/2023, 2:49:08 pm</t>
  </si>
  <si>
    <t>23/05/2023, 2:49:09 pm</t>
  </si>
  <si>
    <t>23/05/2023, 2:49:10 pm</t>
  </si>
  <si>
    <t>23/05/2023, 2:49:11 pm</t>
  </si>
  <si>
    <t>23/05/2023, 2:49:12 pm</t>
  </si>
  <si>
    <t>23/05/2023, 2:49:13 pm</t>
  </si>
  <si>
    <t>23/05/2023, 2:49:14 pm</t>
  </si>
  <si>
    <t>23/05/2023, 2:49:15 pm</t>
  </si>
  <si>
    <t>23/05/2023, 2:49:16 pm</t>
  </si>
  <si>
    <t>23/05/2023, 2:49:17 pm</t>
  </si>
  <si>
    <t>23/05/2023, 2:49:18 pm</t>
  </si>
  <si>
    <t>23/05/2023, 2:49:19 pm</t>
  </si>
  <si>
    <t>23/05/2023, 2:49:20 pm</t>
  </si>
  <si>
    <t>23/05/2023, 2:49:21 pm</t>
  </si>
  <si>
    <t>23/05/2023, 2:49:22 pm</t>
  </si>
  <si>
    <t>23/05/2023, 2:49:23 pm</t>
  </si>
  <si>
    <t>23/05/2023, 2:49:24 pm</t>
  </si>
  <si>
    <t>23/05/2023, 2:49:25 pm</t>
  </si>
  <si>
    <t>23/05/2023, 2:49:26 pm</t>
  </si>
  <si>
    <t>23/05/2023, 2:49:27 pm</t>
  </si>
  <si>
    <t>23/05/2023, 2:49:28 pm</t>
  </si>
  <si>
    <t>23/05/2023, 2:49:29 pm</t>
  </si>
  <si>
    <t>23/05/2023, 2:49:30 pm</t>
  </si>
  <si>
    <t>23/05/2023, 2:49:31 pm</t>
  </si>
  <si>
    <t>23/05/2023, 2:49:32 pm</t>
  </si>
  <si>
    <t>23/05/2023, 2:49:33 pm</t>
  </si>
  <si>
    <t>23/05/2023, 2:49:34 pm</t>
  </si>
  <si>
    <t>23/05/2023, 2:49:35 pm</t>
  </si>
  <si>
    <t>23/05/2023, 2:49:36 pm</t>
  </si>
  <si>
    <t>23/05/2023, 2:49:37 pm</t>
  </si>
  <si>
    <t>23/05/2023, 2:49:38 pm</t>
  </si>
  <si>
    <t>23/05/2023, 2:49:39 pm</t>
  </si>
  <si>
    <t>23/05/2023, 2:49:40 pm</t>
  </si>
  <si>
    <t>23/05/2023, 2:49:41 pm</t>
  </si>
  <si>
    <t>23/05/2023, 2:49:42 pm</t>
  </si>
  <si>
    <t>23/05/2023, 2:49:43 pm</t>
  </si>
  <si>
    <t>23/05/2023, 2:49:44 pm</t>
  </si>
  <si>
    <t>23/05/2023, 2:49:45 pm</t>
  </si>
  <si>
    <t>23/05/2023, 2:49:46 pm</t>
  </si>
  <si>
    <t>23/05/2023, 2:49:47 pm</t>
  </si>
  <si>
    <t>23/05/2023, 2:49:48 pm</t>
  </si>
  <si>
    <t>23/05/2023, 2:49:49 pm</t>
  </si>
  <si>
    <t>23/05/2023, 2:49:50 pm</t>
  </si>
  <si>
    <t>23/05/2023, 2:49:51 pm</t>
  </si>
  <si>
    <t>23/05/2023, 2:49:52 pm</t>
  </si>
  <si>
    <t>23/05/2023, 2:49:53 pm</t>
  </si>
  <si>
    <t>23/05/2023, 2:49:54 pm</t>
  </si>
  <si>
    <t>23/05/2023, 2:49:55 pm</t>
  </si>
  <si>
    <t>23/05/2023, 2:49:56 pm</t>
  </si>
  <si>
    <t>23/05/2023, 2:49:57 pm</t>
  </si>
  <si>
    <t>23/05/2023, 2:49:58 pm</t>
  </si>
  <si>
    <t>23/05/2023, 2:49:59 pm</t>
  </si>
  <si>
    <t>23/05/2023, 2:50:00 pm</t>
  </si>
  <si>
    <t>23/05/2023, 2:50:01 pm</t>
  </si>
  <si>
    <t>23/05/2023, 2:50:02 pm</t>
  </si>
  <si>
    <t>23/05/2023, 2:50:03 pm</t>
  </si>
  <si>
    <t>23/05/2023, 2:50:04 pm</t>
  </si>
  <si>
    <t>23/05/2023, 2:50:05 pm</t>
  </si>
  <si>
    <t>23/05/2023, 2:50:06 pm</t>
  </si>
  <si>
    <t>23/05/2023, 2:50:07 pm</t>
  </si>
  <si>
    <t>23/05/2023, 2:50:08 pm</t>
  </si>
  <si>
    <t>23/05/2023, 2:50:09 pm</t>
  </si>
  <si>
    <t>23/05/2023, 2:50:10 pm</t>
  </si>
  <si>
    <t>23/05/2023, 2:50:11 pm</t>
  </si>
  <si>
    <t>23/05/2023, 2:50:12 pm</t>
  </si>
  <si>
    <t>23/05/2023, 2:50:13 pm</t>
  </si>
  <si>
    <t>23/05/2023, 2:50:14 pm</t>
  </si>
  <si>
    <t>23/05/2023, 2:50:15 pm</t>
  </si>
  <si>
    <t>23/05/2023, 2:50:16 pm</t>
  </si>
  <si>
    <t>23/05/2023, 2:50:17 pm</t>
  </si>
  <si>
    <t>23/05/2023, 2:50:18 pm</t>
  </si>
  <si>
    <t>23/05/2023, 2:50:19 pm</t>
  </si>
  <si>
    <t>23/05/2023, 2:50:20 pm</t>
  </si>
  <si>
    <t>23/05/2023, 2:50:21 pm</t>
  </si>
  <si>
    <t>23/05/2023, 2:50:22 pm</t>
  </si>
  <si>
    <t>23/05/2023, 2:50:24 pm</t>
  </si>
  <si>
    <t>23/05/2023, 2:50:25 pm</t>
  </si>
  <si>
    <t>23/05/2023, 2:50:26 pm</t>
  </si>
  <si>
    <t>23/05/2023, 2:50:27 pm</t>
  </si>
  <si>
    <t>23/05/2023, 2:50:28 pm</t>
  </si>
  <si>
    <t>23/05/2023, 2:50:29 pm</t>
  </si>
  <si>
    <t>23/05/2023, 2:50:30 pm</t>
  </si>
  <si>
    <t>23/05/2023, 2:50:31 pm</t>
  </si>
  <si>
    <t>23/05/2023, 2:50:32 pm</t>
  </si>
  <si>
    <t>23/05/2023, 2:50:33 pm</t>
  </si>
  <si>
    <t>23/05/2023, 2:50:34 pm</t>
  </si>
  <si>
    <t>23/05/2023, 2:50:35 pm</t>
  </si>
  <si>
    <t>23/05/2023, 2:50:36 pm</t>
  </si>
  <si>
    <t>23/05/2023, 2:50:37 pm</t>
  </si>
  <si>
    <t>23/05/2023, 2:50:38 pm</t>
  </si>
  <si>
    <t>23/05/2023, 2:50:39 pm</t>
  </si>
  <si>
    <t>23/05/2023, 2:50:40 pm</t>
  </si>
  <si>
    <t>23/05/2023, 2:50:41 pm</t>
  </si>
  <si>
    <t>23/05/2023, 2:50:42 pm</t>
  </si>
  <si>
    <t>23/05/2023, 2:50:43 pm</t>
  </si>
  <si>
    <t>23/05/2023, 2:50:44 pm</t>
  </si>
  <si>
    <t>23/05/2023, 2:50:45 pm</t>
  </si>
  <si>
    <t>23/05/2023, 2:50:46 pm</t>
  </si>
  <si>
    <t>23/05/2023, 2:50:47 pm</t>
  </si>
  <si>
    <t>23/05/2023, 2:50:48 pm</t>
  </si>
  <si>
    <t>23/05/2023, 2:50:49 pm</t>
  </si>
  <si>
    <t>23/05/2023, 2:50:50 pm</t>
  </si>
  <si>
    <t>23/05/2023, 2:50:51 pm</t>
  </si>
  <si>
    <t>23/05/2023, 2:50:52 pm</t>
  </si>
  <si>
    <t>23/05/2023, 2:50:53 pm</t>
  </si>
  <si>
    <t>23/05/2023, 2:50:54 pm</t>
  </si>
  <si>
    <t>23/05/2023, 2:50:55 pm</t>
  </si>
  <si>
    <t>23/05/2023, 2:50:56 pm</t>
  </si>
  <si>
    <t>23/05/2023, 2:50:57 pm</t>
  </si>
  <si>
    <t>23/05/2023, 2:50:58 pm</t>
  </si>
  <si>
    <t>23/05/2023, 2:50:59 pm</t>
  </si>
  <si>
    <t>23/05/2023, 2:51:00 pm</t>
  </si>
  <si>
    <t>23/05/2023, 2:51:01 pm</t>
  </si>
  <si>
    <t>23/05/2023, 2:51:02 pm</t>
  </si>
  <si>
    <t>23/05/2023, 2:51:03 pm</t>
  </si>
  <si>
    <t>23/05/2023, 2:51:04 pm</t>
  </si>
  <si>
    <t>23/05/2023, 2:51:05 pm</t>
  </si>
  <si>
    <t>23/05/2023, 2:51:06 pm</t>
  </si>
  <si>
    <t>23/05/2023, 2:51:07 pm</t>
  </si>
  <si>
    <t>23/05/2023, 2:51:08 pm</t>
  </si>
  <si>
    <t>23/05/2023, 2:51:09 pm</t>
  </si>
  <si>
    <t>23/05/2023, 2:51:10 pm</t>
  </si>
  <si>
    <t>23/05/2023, 2:51:11 pm</t>
  </si>
  <si>
    <t>23/05/2023, 2:51:12 pm</t>
  </si>
  <si>
    <t>23/05/2023, 2:51:13 pm</t>
  </si>
  <si>
    <t>23/05/2023, 2:51:14 pm</t>
  </si>
  <si>
    <t>23/05/2023, 2:51:15 pm</t>
  </si>
  <si>
    <t>23/05/2023, 2:51:16 pm</t>
  </si>
  <si>
    <t>23/05/2023, 2:51:17 pm</t>
  </si>
  <si>
    <t>23/05/2023, 2:51:18 pm</t>
  </si>
  <si>
    <t>23/05/2023, 2:51:19 pm</t>
  </si>
  <si>
    <t>23/05/2023, 2:51:20 pm</t>
  </si>
  <si>
    <t>23/05/2023, 2:51:21 pm</t>
  </si>
  <si>
    <t>23/05/2023, 2:51:22 pm</t>
  </si>
  <si>
    <t>23/05/2023, 2:51:23 pm</t>
  </si>
  <si>
    <t>23/05/2023, 2:51:24 pm</t>
  </si>
  <si>
    <t>23/05/2023, 2:51:25 pm</t>
  </si>
  <si>
    <t>23/05/2023, 2:51:26 pm</t>
  </si>
  <si>
    <t>23/05/2023, 2:51:27 pm</t>
  </si>
  <si>
    <t>23/05/2023, 2:51:28 pm</t>
  </si>
  <si>
    <t>23/05/2023, 2:51:29 pm</t>
  </si>
  <si>
    <t>23/05/2023, 2:51:30 pm</t>
  </si>
  <si>
    <t>23/05/2023, 2:51:31 pm</t>
  </si>
  <si>
    <t>23/05/2023, 2:51:32 pm</t>
  </si>
  <si>
    <t>23/05/2023, 2:51:33 pm</t>
  </si>
  <si>
    <t>23/05/2023, 2:51:34 pm</t>
  </si>
  <si>
    <t>23/05/2023, 2:51:35 pm</t>
  </si>
  <si>
    <t>23/05/2023, 2:51:36 pm</t>
  </si>
  <si>
    <t>23/05/2023, 2:51:37 pm</t>
  </si>
  <si>
    <t>23/05/2023, 2:51:38 pm</t>
  </si>
  <si>
    <t>23/05/2023, 2:51:39 pm</t>
  </si>
  <si>
    <t>23/05/2023, 2:51:40 pm</t>
  </si>
  <si>
    <t>23/05/2023, 2:51:41 pm</t>
  </si>
  <si>
    <t>23/05/2023, 2:51:42 pm</t>
  </si>
  <si>
    <t>23/05/2023, 2:51:43 pm</t>
  </si>
  <si>
    <t>23/05/2023, 2:51:44 pm</t>
  </si>
  <si>
    <t>23/05/2023, 2:51:45 pm</t>
  </si>
  <si>
    <t>23/05/2023, 2:51:46 pm</t>
  </si>
  <si>
    <t>23/05/2023, 2:51:47 pm</t>
  </si>
  <si>
    <t>23/05/2023, 2:51:48 pm</t>
  </si>
  <si>
    <t>23/05/2023, 2:51:49 pm</t>
  </si>
  <si>
    <t>23/05/2023, 2:51:50 pm</t>
  </si>
  <si>
    <t>23/05/2023, 2:51:51 pm</t>
  </si>
  <si>
    <t>23/05/2023, 2:51:52 pm</t>
  </si>
  <si>
    <t>23/05/2023, 2:51:53 pm</t>
  </si>
  <si>
    <t>23/05/2023, 2:51:54 pm</t>
  </si>
  <si>
    <t>23/05/2023, 2:51:55 pm</t>
  </si>
  <si>
    <t>23/05/2023, 2:51:56 pm</t>
  </si>
  <si>
    <t>23/05/2023, 2:51:57 pm</t>
  </si>
  <si>
    <t>23/05/2023, 2:51:58 pm</t>
  </si>
  <si>
    <t>23/05/2023, 2:51:59 pm</t>
  </si>
  <si>
    <t>23/05/2023, 2:52:00 pm</t>
  </si>
  <si>
    <t>23/05/2023, 2:52:01 pm</t>
  </si>
  <si>
    <t>23/05/2023, 2:52:02 pm</t>
  </si>
  <si>
    <t>23/05/2023, 2:52:03 pm</t>
  </si>
  <si>
    <t>23/05/2023, 2:52:04 pm</t>
  </si>
  <si>
    <t>23/05/2023, 2:52:05 pm</t>
  </si>
  <si>
    <t>23/05/2023, 2:52:06 pm</t>
  </si>
  <si>
    <t>23/05/2023, 2:52:07 pm</t>
  </si>
  <si>
    <t>23/05/2023, 2:52:08 pm</t>
  </si>
  <si>
    <t>23/05/2023, 2:52:09 pm</t>
  </si>
  <si>
    <t>23/05/2023, 2:52:10 pm</t>
  </si>
  <si>
    <t>23/05/2023, 2:52:11 pm</t>
  </si>
  <si>
    <t>23/05/2023, 2:52:12 pm</t>
  </si>
  <si>
    <t>23/05/2023, 2:52:13 pm</t>
  </si>
  <si>
    <t>23/05/2023, 2:52:14 pm</t>
  </si>
  <si>
    <t>23/05/2023, 2:52:15 pm</t>
  </si>
  <si>
    <t>23/05/2023, 2:52:16 pm</t>
  </si>
  <si>
    <t>23/05/2023, 2:52:17 pm</t>
  </si>
  <si>
    <t>23/05/2023, 2:52:18 pm</t>
  </si>
  <si>
    <t>23/05/2023, 2:52:19 pm</t>
  </si>
  <si>
    <t>23/05/2023, 2:52:20 pm</t>
  </si>
  <si>
    <t>23/05/2023, 2:52:21 pm</t>
  </si>
  <si>
    <t>23/05/2023, 2:52:22 pm</t>
  </si>
  <si>
    <t>23/05/2023, 2:52:23 pm</t>
  </si>
  <si>
    <t>23/05/2023, 2:52:24 pm</t>
  </si>
  <si>
    <t>23/05/2023, 2:52:25 pm</t>
  </si>
  <si>
    <t>23/05/2023, 2:52:26 pm</t>
  </si>
  <si>
    <t>23/05/2023, 2:52:27 pm</t>
  </si>
  <si>
    <t>23/05/2023, 2:52:28 pm</t>
  </si>
  <si>
    <t>23/05/2023, 2:52:29 pm</t>
  </si>
  <si>
    <t>23/05/2023, 2:52:30 pm</t>
  </si>
  <si>
    <t>23/05/2023, 2:52:31 pm</t>
  </si>
  <si>
    <t>23/05/2023, 2:52:32 pm</t>
  </si>
  <si>
    <t>23/05/2023, 2:52:33 pm</t>
  </si>
  <si>
    <t>23/05/2023, 2:52:34 pm</t>
  </si>
  <si>
    <t>23/05/2023, 2:52:35 pm</t>
  </si>
  <si>
    <t>23/05/2023, 2:52:36 pm</t>
  </si>
  <si>
    <t>23/05/2023, 2:52:38 pm</t>
  </si>
  <si>
    <t>23/05/2023, 2:52:39 pm</t>
  </si>
  <si>
    <t>23/05/2023, 2:52:40 pm</t>
  </si>
  <si>
    <t>23/05/2023, 2:52:41 pm</t>
  </si>
  <si>
    <t>23/05/2023, 2:52:42 pm</t>
  </si>
  <si>
    <t>23/05/2023, 2:52:43 pm</t>
  </si>
  <si>
    <t>23/05/2023, 2:52:44 pm</t>
  </si>
  <si>
    <t>23/05/2023, 2:52:45 pm</t>
  </si>
  <si>
    <t>23/05/2023, 2:52:46 pm</t>
  </si>
  <si>
    <t>23/05/2023, 2:52:47 pm</t>
  </si>
  <si>
    <t>23/05/2023, 2:52:48 pm</t>
  </si>
  <si>
    <t>23/05/2023, 2:52:49 pm</t>
  </si>
  <si>
    <t>23/05/2023, 2:52:50 pm</t>
  </si>
  <si>
    <t>23/05/2023, 2:52:51 pm</t>
  </si>
  <si>
    <t>23/05/2023, 2:52:52 pm</t>
  </si>
  <si>
    <t>23/05/2023, 2:52:53 pm</t>
  </si>
  <si>
    <t>23/05/2023, 2:52:54 pm</t>
  </si>
  <si>
    <t>23/05/2023, 2:52:55 pm</t>
  </si>
  <si>
    <t>23/05/2023, 2:52:56 pm</t>
  </si>
  <si>
    <t>23/05/2023, 2:52:57 pm</t>
  </si>
  <si>
    <t>23/05/2023, 2:52:58 pm</t>
  </si>
  <si>
    <t>23/05/2023, 2:52:59 pm</t>
  </si>
  <si>
    <t>23/05/2023, 2:53:00 pm</t>
  </si>
  <si>
    <t>23/05/2023, 2:53:01 pm</t>
  </si>
  <si>
    <t>23/05/2023, 2:53:02 pm</t>
  </si>
  <si>
    <t>23/05/2023, 2:53:03 pm</t>
  </si>
  <si>
    <t>23/05/2023, 2:53:04 pm</t>
  </si>
  <si>
    <t>23/05/2023, 2:53:05 pm</t>
  </si>
  <si>
    <t>23/05/2023, 2:53:06 pm</t>
  </si>
  <si>
    <t>23/05/2023, 2:53:07 pm</t>
  </si>
  <si>
    <t>23/05/2023, 2:53:08 pm</t>
  </si>
  <si>
    <t>23/05/2023, 2:53:09 pm</t>
  </si>
  <si>
    <t>23/05/2023, 2:53:10 pm</t>
  </si>
  <si>
    <t>23/05/2023, 2:53:11 pm</t>
  </si>
  <si>
    <t>23/05/2023, 2:53:12 pm</t>
  </si>
  <si>
    <t>23/05/2023, 2:53:13 pm</t>
  </si>
  <si>
    <t>23/05/2023, 2:53:14 pm</t>
  </si>
  <si>
    <t>23/05/2023, 2:53:15 pm</t>
  </si>
  <si>
    <t>23/05/2023, 2:53:16 pm</t>
  </si>
  <si>
    <t>23/05/2023, 2:53:17 pm</t>
  </si>
  <si>
    <t>23/05/2023, 2:53:18 pm</t>
  </si>
  <si>
    <t>23/05/2023, 2:53:19 pm</t>
  </si>
  <si>
    <t>23/05/2023, 2:53:20 pm</t>
  </si>
  <si>
    <t>23/05/2023, 2:53:21 pm</t>
  </si>
  <si>
    <t>23/05/2023, 2:53:22 pm</t>
  </si>
  <si>
    <t>23/05/2023, 2:53:23 pm</t>
  </si>
  <si>
    <t>23/05/2023, 2:53:24 pm</t>
  </si>
  <si>
    <t>23/05/2023, 2:53:25 pm</t>
  </si>
  <si>
    <t>23/05/2023, 2:53:26 pm</t>
  </si>
  <si>
    <t>23/05/2023, 2:53:27 pm</t>
  </si>
  <si>
    <t>23/05/2023, 2:53:28 pm</t>
  </si>
  <si>
    <t>23/05/2023, 2:53:29 pm</t>
  </si>
  <si>
    <t>23/05/2023, 2:53:30 pm</t>
  </si>
  <si>
    <t>23/05/2023, 2:53:31 pm</t>
  </si>
  <si>
    <t>23/05/2023, 2:53:32 pm</t>
  </si>
  <si>
    <t>23/05/2023, 2:53:33 pm</t>
  </si>
  <si>
    <t>23/05/2023, 2:53:34 pm</t>
  </si>
  <si>
    <t>23/05/2023, 2:53:35 pm</t>
  </si>
  <si>
    <t>23/05/2023, 2:53:36 pm</t>
  </si>
  <si>
    <t>23/05/2023, 2:53:37 pm</t>
  </si>
  <si>
    <t>23/05/2023, 2:53:38 pm</t>
  </si>
  <si>
    <t>23/05/2023, 2:53:39 pm</t>
  </si>
  <si>
    <t>23/05/2023, 2:53:40 pm</t>
  </si>
  <si>
    <t>23/05/2023, 2:53:41 pm</t>
  </si>
  <si>
    <t>23/05/2023, 2:53:42 pm</t>
  </si>
  <si>
    <t>23/05/2023, 2:53:43 pm</t>
  </si>
  <si>
    <t>23/05/2023, 2:53:44 pm</t>
  </si>
  <si>
    <t>23/05/2023, 2:53:45 pm</t>
  </si>
  <si>
    <t>23/05/2023, 2:53:46 pm</t>
  </si>
  <si>
    <t>23/05/2023, 2:53:47 pm</t>
  </si>
  <si>
    <t>23/05/2023, 2:53:48 pm</t>
  </si>
  <si>
    <t>23/05/2023, 2:53:49 pm</t>
  </si>
  <si>
    <t>23/05/2023, 2:53:50 pm</t>
  </si>
  <si>
    <t>23/05/2023, 2:53:51 pm</t>
  </si>
  <si>
    <t>23/05/2023, 2:53:52 pm</t>
  </si>
  <si>
    <t>23/05/2023, 2:53:53 pm</t>
  </si>
  <si>
    <t>23/05/2023, 2:53:54 pm</t>
  </si>
  <si>
    <t>23/05/2023, 2:53:55 pm</t>
  </si>
  <si>
    <t>23/05/2023, 2:53:56 pm</t>
  </si>
  <si>
    <t>23/05/2023, 2:53:57 pm</t>
  </si>
  <si>
    <t>23/05/2023, 2:53:58 pm</t>
  </si>
  <si>
    <t>23/05/2023, 2:53:59 pm</t>
  </si>
  <si>
    <t>23/05/2023, 2:54:00 pm</t>
  </si>
  <si>
    <t>23/05/2023, 2:54:01 pm</t>
  </si>
  <si>
    <t>23/05/2023, 2:54:02 pm</t>
  </si>
  <si>
    <t>23/05/2023, 2:54:03 pm</t>
  </si>
  <si>
    <t>23/05/2023, 2:54:04 pm</t>
  </si>
  <si>
    <t>23/05/2023, 2:54:05 pm</t>
  </si>
  <si>
    <t>23/05/2023, 2:54:06 pm</t>
  </si>
  <si>
    <t>23/05/2023, 2:54:07 pm</t>
  </si>
  <si>
    <t>23/05/2023, 2:54:08 pm</t>
  </si>
  <si>
    <t>23/05/2023, 2:54:09 pm</t>
  </si>
  <si>
    <t>23/05/2023, 2:54:10 pm</t>
  </si>
  <si>
    <t>23/05/2023, 2:54:11 pm</t>
  </si>
  <si>
    <t>23/05/2023, 2:54:12 pm</t>
  </si>
  <si>
    <t>23/05/2023, 2:54:13 pm</t>
  </si>
  <si>
    <t>23/05/2023, 2:54:14 pm</t>
  </si>
  <si>
    <t>23/05/2023, 2:54:15 pm</t>
  </si>
  <si>
    <t>23/05/2023, 2:54:16 pm</t>
  </si>
  <si>
    <t>23/05/2023, 2:54:17 pm</t>
  </si>
  <si>
    <t>23/05/2023, 2:54:18 pm</t>
  </si>
  <si>
    <t>23/05/2023, 2:54:19 pm</t>
  </si>
  <si>
    <t>23/05/2023, 2:54:20 pm</t>
  </si>
  <si>
    <t>23/05/2023, 2:54:21 pm</t>
  </si>
  <si>
    <t>23/05/2023, 2:54:22 pm</t>
  </si>
  <si>
    <t>23/05/2023, 2:54:23 pm</t>
  </si>
  <si>
    <t>23/05/2023, 2:54:24 pm</t>
  </si>
  <si>
    <t>23/05/2023, 2:54:25 pm</t>
  </si>
  <si>
    <t>23/05/2023, 2:54:26 pm</t>
  </si>
  <si>
    <t>23/05/2023, 2:54:27 pm</t>
  </si>
  <si>
    <t>23/05/2023, 2:54:28 pm</t>
  </si>
  <si>
    <t>23/05/2023, 2:54:29 pm</t>
  </si>
  <si>
    <t>23/05/2023, 2:54:30 pm</t>
  </si>
  <si>
    <t>23/05/2023, 2:54:31 pm</t>
  </si>
  <si>
    <t>23/05/2023, 2:54:32 pm</t>
  </si>
  <si>
    <t>23/05/2023, 2:54:33 pm</t>
  </si>
  <si>
    <t>23/05/2023, 2:54:34 pm</t>
  </si>
  <si>
    <t>23/05/2023, 2:54:35 pm</t>
  </si>
  <si>
    <t>23/05/2023, 2:54:36 pm</t>
  </si>
  <si>
    <t>23/05/2023, 2:54:37 pm</t>
  </si>
  <si>
    <t>23/05/2023, 2:54:38 pm</t>
  </si>
  <si>
    <t>23/05/2023, 2:54:39 pm</t>
  </si>
  <si>
    <t>23/05/2023, 2:54:40 pm</t>
  </si>
  <si>
    <t>23/05/2023, 2:54:41 pm</t>
  </si>
  <si>
    <t>23/05/2023, 2:54:42 pm</t>
  </si>
  <si>
    <t>23/05/2023, 2:54:43 pm</t>
  </si>
  <si>
    <t>23/05/2023, 2:54:44 pm</t>
  </si>
  <si>
    <t>23/05/2023, 2:54:45 pm</t>
  </si>
  <si>
    <t>23/05/2023, 2:54:46 pm</t>
  </si>
  <si>
    <t>23/05/2023, 2:54:47 pm</t>
  </si>
  <si>
    <t>23/05/2023, 2:54:48 pm</t>
  </si>
  <si>
    <t>23/05/2023, 2:54:49 pm</t>
  </si>
  <si>
    <t>23/05/2023, 2:54:50 pm</t>
  </si>
  <si>
    <t>23/05/2023, 2:54:51 pm</t>
  </si>
  <si>
    <t>23/05/2023, 2:54:52 pm</t>
  </si>
  <si>
    <t>23/05/2023, 2:54:53 pm</t>
  </si>
  <si>
    <t>23/05/2023, 2:54:54 pm</t>
  </si>
  <si>
    <t>23/05/2023, 2:54:55 pm</t>
  </si>
  <si>
    <t>23/05/2023, 2:54:56 pm</t>
  </si>
  <si>
    <t>23/05/2023, 2:54:57 pm</t>
  </si>
  <si>
    <t>23/05/2023, 2:54:58 pm</t>
  </si>
  <si>
    <t>23/05/2023, 2:54:59 pm</t>
  </si>
  <si>
    <t>23/05/2023, 2:55:00 pm</t>
  </si>
  <si>
    <t>23/05/2023, 2:55:01 pm</t>
  </si>
  <si>
    <t>23/05/2023, 2:55:03 pm</t>
  </si>
  <si>
    <t>23/05/2023, 2:55:04 pm</t>
  </si>
  <si>
    <t>23/05/2023, 2:55:05 pm</t>
  </si>
  <si>
    <t>23/05/2023, 2:55:06 pm</t>
  </si>
  <si>
    <t>23/05/2023, 2:55:07 pm</t>
  </si>
  <si>
    <t>23/05/2023, 2:55:08 pm</t>
  </si>
  <si>
    <t>23/05/2023, 2:55:09 pm</t>
  </si>
  <si>
    <t>23/05/2023, 2:55:10 pm</t>
  </si>
  <si>
    <t>23/05/2023, 2:55:11 pm</t>
  </si>
  <si>
    <t>23/05/2023, 2:55:12 pm</t>
  </si>
  <si>
    <t>23/05/2023, 2:55:13 pm</t>
  </si>
  <si>
    <t>23/05/2023, 2:55:14 pm</t>
  </si>
  <si>
    <t>23/05/2023, 2:55:15 pm</t>
  </si>
  <si>
    <t>23/05/2023, 2:55:16 pm</t>
  </si>
  <si>
    <t>23/05/2023, 2:55:17 pm</t>
  </si>
  <si>
    <t>23/05/2023, 2:55:18 pm</t>
  </si>
  <si>
    <t>23/05/2023, 2:55:19 pm</t>
  </si>
  <si>
    <t>23/05/2023, 2:55:20 pm</t>
  </si>
  <si>
    <t>23/05/2023, 2:55:21 pm</t>
  </si>
  <si>
    <t>23/05/2023, 2:55:22 pm</t>
  </si>
  <si>
    <t>23/05/2023, 2:55:23 pm</t>
  </si>
  <si>
    <t>23/05/2023, 2:55:24 pm</t>
  </si>
  <si>
    <t>23/05/2023, 2:55:25 pm</t>
  </si>
  <si>
    <t>23/05/2023, 2:55:26 pm</t>
  </si>
  <si>
    <t>23/05/2023, 2:55:27 pm</t>
  </si>
  <si>
    <t>23/05/2023, 2:55:28 pm</t>
  </si>
  <si>
    <t>23/05/2023, 2:55:29 pm</t>
  </si>
  <si>
    <t>23/05/2023, 2:55:30 pm</t>
  </si>
  <si>
    <t>23/05/2023, 2:55:31 pm</t>
  </si>
  <si>
    <t>23/05/2023, 2:55:32 pm</t>
  </si>
  <si>
    <t>23/05/2023, 2:55:33 pm</t>
  </si>
  <si>
    <t>23/05/2023, 2:55:34 pm</t>
  </si>
  <si>
    <t>23/05/2023, 2:55:35 pm</t>
  </si>
  <si>
    <t>23/05/2023, 2:55:36 pm</t>
  </si>
  <si>
    <t>23/05/2023, 2:55:37 pm</t>
  </si>
  <si>
    <t>23/05/2023, 2:55:38 pm</t>
  </si>
  <si>
    <t>23/05/2023, 2:55:39 pm</t>
  </si>
  <si>
    <t>23/05/2023, 2:55:40 pm</t>
  </si>
  <si>
    <t>23/05/2023, 2:55:41 pm</t>
  </si>
  <si>
    <t>23/05/2023, 2:55:42 pm</t>
  </si>
  <si>
    <t>23/05/2023, 2:55:43 pm</t>
  </si>
  <si>
    <t>23/05/2023, 2:55:44 pm</t>
  </si>
  <si>
    <t>23/05/2023, 2:55:45 pm</t>
  </si>
  <si>
    <t>23/05/2023, 2:55:46 pm</t>
  </si>
  <si>
    <t>23/05/2023, 2:55:47 pm</t>
  </si>
  <si>
    <t>23/05/2023, 2:55:48 pm</t>
  </si>
  <si>
    <t>23/05/2023, 2:55:49 pm</t>
  </si>
  <si>
    <t>23/05/2023, 2:55:50 pm</t>
  </si>
  <si>
    <t>23/05/2023, 2:55:51 pm</t>
  </si>
  <si>
    <t>23/05/2023, 2:55:52 pm</t>
  </si>
  <si>
    <t>23/05/2023, 2:55:53 pm</t>
  </si>
  <si>
    <t>23/05/2023, 2:55:54 pm</t>
  </si>
  <si>
    <t>23/05/2023, 2:55:55 pm</t>
  </si>
  <si>
    <t>23/05/2023, 2:55:56 pm</t>
  </si>
  <si>
    <t>23/05/2023, 2:55:57 pm</t>
  </si>
  <si>
    <t>23/05/2023, 2:55:58 pm</t>
  </si>
  <si>
    <t>23/05/2023, 2:55:59 pm</t>
  </si>
  <si>
    <t>23/05/2023, 2:56:00 pm</t>
  </si>
  <si>
    <t>23/05/2023, 2:56:01 pm</t>
  </si>
  <si>
    <t>23/05/2023, 2:56:02 pm</t>
  </si>
  <si>
    <t>23/05/2023, 2:56:03 pm</t>
  </si>
  <si>
    <t>23/05/2023, 2:56:04 pm</t>
  </si>
  <si>
    <t>23/05/2023, 2:56:05 pm</t>
  </si>
  <si>
    <t>23/05/2023, 2:56:06 pm</t>
  </si>
  <si>
    <t>23/05/2023, 2:56:07 pm</t>
  </si>
  <si>
    <t>23/05/2023, 2:56:08 pm</t>
  </si>
  <si>
    <t>23/05/2023, 2:56:09 pm</t>
  </si>
  <si>
    <t>23/05/2023, 2:56:10 pm</t>
  </si>
  <si>
    <t>23/05/2023, 2:56:11 pm</t>
  </si>
  <si>
    <t>23/05/2023, 2:56:12 pm</t>
  </si>
  <si>
    <t>23/05/2023, 2:56:13 pm</t>
  </si>
  <si>
    <t>23/05/2023, 2:56:14 pm</t>
  </si>
  <si>
    <t>23/05/2023, 2:56:15 pm</t>
  </si>
  <si>
    <t>23/05/2023, 2:56:16 pm</t>
  </si>
  <si>
    <t>23/05/2023, 2:56:17 pm</t>
  </si>
  <si>
    <t>23/05/2023, 2:56:18 pm</t>
  </si>
  <si>
    <t>23/05/2023, 2:56:19 pm</t>
  </si>
  <si>
    <t>23/05/2023, 2:56:20 pm</t>
  </si>
  <si>
    <t>23/05/2023, 2:56:21 pm</t>
  </si>
  <si>
    <t>23/05/2023, 2:56:22 pm</t>
  </si>
  <si>
    <t>23/05/2023, 2:56:23 pm</t>
  </si>
  <si>
    <t>23/05/2023, 2:56:24 pm</t>
  </si>
  <si>
    <t>23/05/2023, 2:56:25 pm</t>
  </si>
  <si>
    <t>23/05/2023, 2:56:26 pm</t>
  </si>
  <si>
    <t>23/05/2023, 2:56:27 pm</t>
  </si>
  <si>
    <t>23/05/2023, 2:56:28 pm</t>
  </si>
  <si>
    <t>23/05/2023, 2:56:29 pm</t>
  </si>
  <si>
    <t>23/05/2023, 2:56:30 pm</t>
  </si>
  <si>
    <t>23/05/2023, 2:56:31 pm</t>
  </si>
  <si>
    <t>23/05/2023, 2:56:32 pm</t>
  </si>
  <si>
    <t>23/05/2023, 2:56:33 pm</t>
  </si>
  <si>
    <t>23/05/2023, 2:56:34 pm</t>
  </si>
  <si>
    <t>23/05/2023, 2:56:35 pm</t>
  </si>
  <si>
    <t>23/05/2023, 2:56:36 pm</t>
  </si>
  <si>
    <t>23/05/2023, 2:56:37 pm</t>
  </si>
  <si>
    <t>23/05/2023, 2:56:38 pm</t>
  </si>
  <si>
    <t>23/05/2023, 2:56:39 pm</t>
  </si>
  <si>
    <t>23/05/2023, 2:56:40 pm</t>
  </si>
  <si>
    <t>23/05/2023, 2:56:41 pm</t>
  </si>
  <si>
    <t>23/05/2023, 2:56:42 pm</t>
  </si>
  <si>
    <t>23/05/2023, 2:56:43 pm</t>
  </si>
  <si>
    <t>23/05/2023, 2:56:44 pm</t>
  </si>
  <si>
    <t>23/05/2023, 2:56:45 pm</t>
  </si>
  <si>
    <t>23/05/2023, 2:56:46 pm</t>
  </si>
  <si>
    <t>23/05/2023, 2:56:47 pm</t>
  </si>
  <si>
    <t>23/05/2023, 2:56:48 pm</t>
  </si>
  <si>
    <t>23/05/2023, 2:56:49 pm</t>
  </si>
  <si>
    <t>23/05/2023, 2:56:50 pm</t>
  </si>
  <si>
    <t>23/05/2023, 2:56:51 pm</t>
  </si>
  <si>
    <t>23/05/2023, 2:56:52 pm</t>
  </si>
  <si>
    <t>23/05/2023, 2:56:53 pm</t>
  </si>
  <si>
    <t>23/05/2023, 2:56:54 pm</t>
  </si>
  <si>
    <t>23/05/2023, 2:56:55 pm</t>
  </si>
  <si>
    <t>23/05/2023, 2:56:56 pm</t>
  </si>
  <si>
    <t>23/05/2023, 2:56:57 pm</t>
  </si>
  <si>
    <t>23/05/2023, 2:56:58 pm</t>
  </si>
  <si>
    <t>23/05/2023, 2:56:59 pm</t>
  </si>
  <si>
    <t>23/05/2023, 2:57:00 pm</t>
  </si>
  <si>
    <t>23/05/2023, 2:57:01 pm</t>
  </si>
  <si>
    <t>23/05/2023, 2:57:02 pm</t>
  </si>
  <si>
    <t>23/05/2023, 2:57:03 pm</t>
  </si>
  <si>
    <t>23/05/2023, 2:57:04 pm</t>
  </si>
  <si>
    <t>23/05/2023, 2:57:05 pm</t>
  </si>
  <si>
    <t>23/05/2023, 2:57:06 pm</t>
  </si>
  <si>
    <t>23/05/2023, 2:57:07 pm</t>
  </si>
  <si>
    <t>23/05/2023, 2:57:08 pm</t>
  </si>
  <si>
    <t>23/05/2023, 2:57:09 pm</t>
  </si>
  <si>
    <t>23/05/2023, 2:57:10 pm</t>
  </si>
  <si>
    <t>23/05/2023, 2:57:11 pm</t>
  </si>
  <si>
    <t>23/05/2023, 2:57:12 pm</t>
  </si>
  <si>
    <t>23/05/2023, 2:57:13 pm</t>
  </si>
  <si>
    <t>23/05/2023, 2:57:14 pm</t>
  </si>
  <si>
    <t>23/05/2023, 2:57:15 pm</t>
  </si>
  <si>
    <t>23/05/2023, 2:57:16 pm</t>
  </si>
  <si>
    <t>23/05/2023, 2:57:17 pm</t>
  </si>
  <si>
    <t>23/05/2023, 2:57:18 pm</t>
  </si>
  <si>
    <t>23/05/2023, 2:57:19 pm</t>
  </si>
  <si>
    <t>23/05/2023, 2:57:20 pm</t>
  </si>
  <si>
    <t>23/05/2023, 2:57:22 pm</t>
  </si>
  <si>
    <t>23/05/2023, 2:57:23 pm</t>
  </si>
  <si>
    <t>23/05/2023, 2:57:24 pm</t>
  </si>
  <si>
    <t>23/05/2023, 2:57:25 pm</t>
  </si>
  <si>
    <t>23/05/2023, 2:57:26 pm</t>
  </si>
  <si>
    <t>23/05/2023, 2:57:27 pm</t>
  </si>
  <si>
    <t>23/05/2023, 2:57:28 pm</t>
  </si>
  <si>
    <t>23/05/2023, 2:57:29 pm</t>
  </si>
  <si>
    <t>23/05/2023, 2:57:30 pm</t>
  </si>
  <si>
    <t>23/05/2023, 2:57:31 pm</t>
  </si>
  <si>
    <t>23/05/2023, 2:57:32 pm</t>
  </si>
  <si>
    <t>23/05/2023, 2:57:33 pm</t>
  </si>
  <si>
    <t>23/05/2023, 2:57:34 pm</t>
  </si>
  <si>
    <t>23/05/2023, 2:57:35 pm</t>
  </si>
  <si>
    <t>23/05/2023, 2:57:36 pm</t>
  </si>
  <si>
    <t>23/05/2023, 2:57:37 pm</t>
  </si>
  <si>
    <t>23/05/2023, 2:57:38 pm</t>
  </si>
  <si>
    <t>23/05/2023, 2:57:39 pm</t>
  </si>
  <si>
    <t>23/05/2023, 2:57:40 pm</t>
  </si>
  <si>
    <t>23/05/2023, 2:57:41 pm</t>
  </si>
  <si>
    <t>23/05/2023, 2:57:42 pm</t>
  </si>
  <si>
    <t>23/05/2023, 2:57:43 pm</t>
  </si>
  <si>
    <t>23/05/2023, 2:57:44 pm</t>
  </si>
  <si>
    <t>23/05/2023, 2:57:45 pm</t>
  </si>
  <si>
    <t>23/05/2023, 2:57:46 pm</t>
  </si>
  <si>
    <t>23/05/2023, 2:57:47 pm</t>
  </si>
  <si>
    <t>23/05/2023, 2:57:48 pm</t>
  </si>
  <si>
    <t>23/05/2023, 2:57:49 pm</t>
  </si>
  <si>
    <t>23/05/2023, 2:57:50 pm</t>
  </si>
  <si>
    <t>23/05/2023, 2:57:51 pm</t>
  </si>
  <si>
    <t>23/05/2023, 2:57:52 pm</t>
  </si>
  <si>
    <t>23/05/2023, 2:57:53 pm</t>
  </si>
  <si>
    <t>23/05/2023, 2:57:54 pm</t>
  </si>
  <si>
    <t>23/05/2023, 2:57:55 pm</t>
  </si>
  <si>
    <t>23/05/2023, 2:57:56 pm</t>
  </si>
  <si>
    <t>23/05/2023, 2:57:57 pm</t>
  </si>
  <si>
    <t>23/05/2023, 2:57:58 pm</t>
  </si>
  <si>
    <t>23/05/2023, 2:57:59 pm</t>
  </si>
  <si>
    <t>23/05/2023, 2:58:00 pm</t>
  </si>
  <si>
    <t>23/05/2023, 2:58:01 pm</t>
  </si>
  <si>
    <t>23/05/2023, 2:58:02 pm</t>
  </si>
  <si>
    <t>23/05/2023, 2:58:03 pm</t>
  </si>
  <si>
    <t>23/05/2023, 2:58:04 pm</t>
  </si>
  <si>
    <t>23/05/2023, 2:58:05 pm</t>
  </si>
  <si>
    <t>23/05/2023, 2:58:06 pm</t>
  </si>
  <si>
    <t>23/05/2023, 2:58:07 pm</t>
  </si>
  <si>
    <t>23/05/2023, 2:58:08 pm</t>
  </si>
  <si>
    <t>23/05/2023, 2:58:09 pm</t>
  </si>
  <si>
    <t>23/05/2023, 2:58:10 pm</t>
  </si>
  <si>
    <t>23/05/2023, 2:58:11 pm</t>
  </si>
  <si>
    <t>23/05/2023, 2:58:12 pm</t>
  </si>
  <si>
    <t>23/05/2023, 2:58:13 pm</t>
  </si>
  <si>
    <t>23/05/2023, 2:58:14 pm</t>
  </si>
  <si>
    <t>23/05/2023, 2:58:15 pm</t>
  </si>
  <si>
    <t>23/05/2023, 2:58:16 pm</t>
  </si>
  <si>
    <t>23/05/2023, 2:58:17 pm</t>
  </si>
  <si>
    <t>23/05/2023, 2:58:18 pm</t>
  </si>
  <si>
    <t>23/05/2023, 2:58:19 pm</t>
  </si>
  <si>
    <t>23/05/2023, 2:58:20 pm</t>
  </si>
  <si>
    <t>23/05/2023, 2:58:21 pm</t>
  </si>
  <si>
    <t>23/05/2023, 2:58:22 pm</t>
  </si>
  <si>
    <t>23/05/2023, 2:58:23 pm</t>
  </si>
  <si>
    <t>23/05/2023, 2:58:24 pm</t>
  </si>
  <si>
    <t>23/05/2023, 2:58:25 pm</t>
  </si>
  <si>
    <t>23/05/2023, 2:58:26 pm</t>
  </si>
  <si>
    <t>23/05/2023, 2:58:27 pm</t>
  </si>
  <si>
    <t>23/05/2023, 2:58:28 pm</t>
  </si>
  <si>
    <t>23/05/2023, 2:58:29 pm</t>
  </si>
  <si>
    <t>23/05/2023, 2:58:30 pm</t>
  </si>
  <si>
    <t>23/05/2023, 2:58:31 pm</t>
  </si>
  <si>
    <t>23/05/2023, 2:58:32 pm</t>
  </si>
  <si>
    <t>23/05/2023, 2:58:33 pm</t>
  </si>
  <si>
    <t>23/05/2023, 2:58:34 pm</t>
  </si>
  <si>
    <t>23/05/2023, 2:58:35 pm</t>
  </si>
  <si>
    <t>23/05/2023, 2:58:36 pm</t>
  </si>
  <si>
    <t>23/05/2023, 2:58:37 pm</t>
  </si>
  <si>
    <t>23/05/2023, 2:58:38 pm</t>
  </si>
  <si>
    <t>23/05/2023, 2:58:39 pm</t>
  </si>
  <si>
    <t>23/05/2023, 2:58:40 pm</t>
  </si>
  <si>
    <t>23/05/2023, 2:58:41 pm</t>
  </si>
  <si>
    <t>23/05/2023, 2:58:42 pm</t>
  </si>
  <si>
    <t>23/05/2023, 2:58:43 pm</t>
  </si>
  <si>
    <t>23/05/2023, 2:58:44 pm</t>
  </si>
  <si>
    <t>23/05/2023, 2:58:45 pm</t>
  </si>
  <si>
    <t>23/05/2023, 2:58:46 pm</t>
  </si>
  <si>
    <t>23/05/2023, 2:58:47 pm</t>
  </si>
  <si>
    <t>23/05/2023, 2:58:48 pm</t>
  </si>
  <si>
    <t>23/05/2023, 2:58:49 pm</t>
  </si>
  <si>
    <t>23/05/2023, 2:58:50 pm</t>
  </si>
  <si>
    <t>23/05/2023, 2:58:51 pm</t>
  </si>
  <si>
    <t>23/05/2023, 2:58:52 pm</t>
  </si>
  <si>
    <t>23/05/2023, 2:58:53 pm</t>
  </si>
  <si>
    <t>23/05/2023, 2:58:54 pm</t>
  </si>
  <si>
    <t>23/05/2023, 2:58:55 pm</t>
  </si>
  <si>
    <t>23/05/2023, 2:58:56 pm</t>
  </si>
  <si>
    <t>23/05/2023, 2:58:57 pm</t>
  </si>
  <si>
    <t>23/05/2023, 2:58:58 pm</t>
  </si>
  <si>
    <t>23/05/2023, 2:58:59 pm</t>
  </si>
  <si>
    <t>23/05/2023, 2:59:00 pm</t>
  </si>
  <si>
    <t>23/05/2023, 2:59:01 pm</t>
  </si>
  <si>
    <t>23/05/2023, 2:59:02 pm</t>
  </si>
  <si>
    <t>23/05/2023, 2:59:03 pm</t>
  </si>
  <si>
    <t>23/05/2023, 2:59:04 pm</t>
  </si>
  <si>
    <t>23/05/2023, 2:59:05 pm</t>
  </si>
  <si>
    <t>23/05/2023, 2:59:06 pm</t>
  </si>
  <si>
    <t>23/05/2023, 2:59:07 pm</t>
  </si>
  <si>
    <t>23/05/2023, 2:59:08 pm</t>
  </si>
  <si>
    <t>23/05/2023, 2:59:09 pm</t>
  </si>
  <si>
    <t>23/05/2023, 2:59:10 pm</t>
  </si>
  <si>
    <t>23/05/2023, 2:59:11 pm</t>
  </si>
  <si>
    <t>23/05/2023, 2:59:12 pm</t>
  </si>
  <si>
    <t>23/05/2023, 2:59:13 pm</t>
  </si>
  <si>
    <t>23/05/2023, 2:59:14 pm</t>
  </si>
  <si>
    <t>23/05/2023, 2:59:15 pm</t>
  </si>
  <si>
    <t>23/05/2023, 2:59:16 pm</t>
  </si>
  <si>
    <t>23/05/2023, 2:59:17 pm</t>
  </si>
  <si>
    <t>23/05/2023, 2:59:18 pm</t>
  </si>
  <si>
    <t>23/05/2023, 2:59:19 pm</t>
  </si>
  <si>
    <t>23/05/2023, 2:59:20 pm</t>
  </si>
  <si>
    <t>23/05/2023, 2:59:21 pm</t>
  </si>
  <si>
    <t>23/05/2023, 2:59:22 pm</t>
  </si>
  <si>
    <t>23/05/2023, 2:59:23 pm</t>
  </si>
  <si>
    <t>23/05/2023, 2:59:24 pm</t>
  </si>
  <si>
    <t>23/05/2023, 2:59:25 pm</t>
  </si>
  <si>
    <t>23/05/2023, 2:59:26 pm</t>
  </si>
  <si>
    <t>23/05/2023, 2:59:28 pm</t>
  </si>
  <si>
    <t>23/05/2023, 2:59:29 pm</t>
  </si>
  <si>
    <t>23/05/2023, 2:59:30 pm</t>
  </si>
  <si>
    <t>23/05/2023, 2:59:31 pm</t>
  </si>
  <si>
    <t>23/05/2023, 2:59:32 pm</t>
  </si>
  <si>
    <t>23/05/2023, 2:59:33 pm</t>
  </si>
  <si>
    <t>23/05/2023, 2:59:34 pm</t>
  </si>
  <si>
    <t>23/05/2023, 2:59:35 pm</t>
  </si>
  <si>
    <t>23/05/2023, 2:59:36 pm</t>
  </si>
  <si>
    <t>23/05/2023, 2:59:37 pm</t>
  </si>
  <si>
    <t>23/05/2023, 2:59:38 pm</t>
  </si>
  <si>
    <t>23/05/2023, 2:59:39 pm</t>
  </si>
  <si>
    <t>23/05/2023, 2:59:40 pm</t>
  </si>
  <si>
    <t>23/05/2023, 2:59:41 pm</t>
  </si>
  <si>
    <t>23/05/2023, 2:59:42 pm</t>
  </si>
  <si>
    <t>23/05/2023, 2:59:43 pm</t>
  </si>
  <si>
    <t>23/05/2023, 2:59:44 pm</t>
  </si>
  <si>
    <t>23/05/2023, 2:59:45 pm</t>
  </si>
  <si>
    <t>23/05/2023, 2:59:46 pm</t>
  </si>
  <si>
    <t>23/05/2023, 2:59:47 pm</t>
  </si>
  <si>
    <t>23/05/2023, 2:59:48 pm</t>
  </si>
  <si>
    <t>23/05/2023, 2:59:49 pm</t>
  </si>
  <si>
    <t>23/05/2023, 2:59:50 pm</t>
  </si>
  <si>
    <t>23/05/2023, 2:59:51 pm</t>
  </si>
  <si>
    <t>23/05/2023, 2:59:52 pm</t>
  </si>
  <si>
    <t>23/05/2023, 2:59:53 pm</t>
  </si>
  <si>
    <t>23/05/2023, 2:59:54 pm</t>
  </si>
  <si>
    <t>23/05/2023, 2:59:55 pm</t>
  </si>
  <si>
    <t>23/05/2023, 2:59:56 pm</t>
  </si>
  <si>
    <t>23/05/2023, 2:59:57 pm</t>
  </si>
  <si>
    <t>23/05/2023, 2:59:58 pm</t>
  </si>
  <si>
    <t>23/05/2023, 2:59:59 pm</t>
  </si>
  <si>
    <t>23/05/2023, 3:00:00 pm</t>
  </si>
  <si>
    <t>23/05/2023, 3:00:01 pm</t>
  </si>
  <si>
    <t>23/05/2023, 3:00:02 pm</t>
  </si>
  <si>
    <t>23/05/2023, 3:00:03 pm</t>
  </si>
  <si>
    <t>23/05/2023, 3:00:04 pm</t>
  </si>
  <si>
    <t>23/05/2023, 3:00:05 pm</t>
  </si>
  <si>
    <t>23/05/2023, 3:00:06 pm</t>
  </si>
  <si>
    <t>23/05/2023, 3:00:07 pm</t>
  </si>
  <si>
    <t>23/05/2023, 3:00:08 pm</t>
  </si>
  <si>
    <t>23/05/2023, 3:00:09 pm</t>
  </si>
  <si>
    <t>23/05/2023, 3:00:10 pm</t>
  </si>
  <si>
    <t>23/05/2023, 3:00:11 pm</t>
  </si>
  <si>
    <t>23/05/2023, 3:00:12 pm</t>
  </si>
  <si>
    <t>23/05/2023, 3:00:13 pm</t>
  </si>
  <si>
    <t>23/05/2023, 3:00:14 pm</t>
  </si>
  <si>
    <t>23/05/2023, 3:00:15 pm</t>
  </si>
  <si>
    <t>23/05/2023, 3:00:16 pm</t>
  </si>
  <si>
    <t>23/05/2023, 3:00:17 pm</t>
  </si>
  <si>
    <t>23/05/2023, 3:00:18 pm</t>
  </si>
  <si>
    <t>23/05/2023, 3:00:19 pm</t>
  </si>
  <si>
    <t>23/05/2023, 3:00:20 pm</t>
  </si>
  <si>
    <t>23/05/2023, 3:00:21 pm</t>
  </si>
  <si>
    <t>23/05/2023, 3:00:22 pm</t>
  </si>
  <si>
    <t>23/05/2023, 3:00:23 pm</t>
  </si>
  <si>
    <t>23/05/2023, 3:00:24 pm</t>
  </si>
  <si>
    <t>23/05/2023, 3:00:25 pm</t>
  </si>
  <si>
    <t>23/05/2023, 3:00:26 pm</t>
  </si>
  <si>
    <t>23/05/2023, 3:00:27 pm</t>
  </si>
  <si>
    <t>23/05/2023, 3:00:28 pm</t>
  </si>
  <si>
    <t>23/05/2023, 3:00:29 pm</t>
  </si>
  <si>
    <t>23/05/2023, 3:00:30 pm</t>
  </si>
  <si>
    <t>23/05/2023, 3:00:31 pm</t>
  </si>
  <si>
    <t>23/05/2023, 3:00:32 pm</t>
  </si>
  <si>
    <t>23/05/2023, 3:00:33 pm</t>
  </si>
  <si>
    <t>23/05/2023, 3:00:34 pm</t>
  </si>
  <si>
    <t>23/05/2023, 3:00:35 pm</t>
  </si>
  <si>
    <t>23/05/2023, 3:00:36 pm</t>
  </si>
  <si>
    <t>23/05/2023, 3:00:37 pm</t>
  </si>
  <si>
    <t>23/05/2023, 3:00:38 pm</t>
  </si>
  <si>
    <t>23/05/2023, 3:00:39 pm</t>
  </si>
  <si>
    <t>23/05/2023, 3:00:40 pm</t>
  </si>
  <si>
    <t>23/05/2023, 3:00:41 pm</t>
  </si>
  <si>
    <t>23/05/2023, 3:00:42 pm</t>
  </si>
  <si>
    <t>23/05/2023, 3:00:43 pm</t>
  </si>
  <si>
    <t>23/05/2023, 3:00:44 pm</t>
  </si>
  <si>
    <t>23/05/2023, 3:00:45 pm</t>
  </si>
  <si>
    <t>23/05/2023, 3:00:46 pm</t>
  </si>
  <si>
    <t>23/05/2023, 3:00:47 pm</t>
  </si>
  <si>
    <t>23/05/2023, 3:00:48 pm</t>
  </si>
  <si>
    <t>23/05/2023, 3:00:49 pm</t>
  </si>
  <si>
    <t>23/05/2023, 3:00:50 pm</t>
  </si>
  <si>
    <t>23/05/2023, 3:00:51 pm</t>
  </si>
  <si>
    <t>23/05/2023, 3:00:52 pm</t>
  </si>
  <si>
    <t>23/05/2023, 3:00:53 pm</t>
  </si>
  <si>
    <t>23/05/2023, 3:00:54 pm</t>
  </si>
  <si>
    <t>23/05/2023, 3:00:55 pm</t>
  </si>
  <si>
    <t>23/05/2023, 3:00:56 pm</t>
  </si>
  <si>
    <t>23/05/2023, 3:00:57 pm</t>
  </si>
  <si>
    <t>23/05/2023, 3:00:58 pm</t>
  </si>
  <si>
    <t>23/05/2023, 3:00:59 pm</t>
  </si>
  <si>
    <t>23/05/2023, 3:01:00 pm</t>
  </si>
  <si>
    <t>23/05/2023, 3:01:01 pm</t>
  </si>
  <si>
    <t>23/05/2023, 3:01:02 pm</t>
  </si>
  <si>
    <t>23/05/2023, 3:01:03 pm</t>
  </si>
  <si>
    <t>23/05/2023, 3:01:04 pm</t>
  </si>
  <si>
    <t>23/05/2023, 3:01:05 pm</t>
  </si>
  <si>
    <t>23/05/2023, 3:01:06 pm</t>
  </si>
  <si>
    <t>23/05/2023, 3:01:07 pm</t>
  </si>
  <si>
    <t>23/05/2023, 3:01:08 pm</t>
  </si>
  <si>
    <t>23/05/2023, 3:01:09 pm</t>
  </si>
  <si>
    <t>23/05/2023, 3:01:10 pm</t>
  </si>
  <si>
    <t>23/05/2023, 3:01:11 pm</t>
  </si>
  <si>
    <t>23/05/2023, 3:01:12 pm</t>
  </si>
  <si>
    <t>23/05/2023, 3:01:13 pm</t>
  </si>
  <si>
    <t>23/05/2023, 3:01:14 pm</t>
  </si>
  <si>
    <t>23/05/2023, 3:01:15 pm</t>
  </si>
  <si>
    <t>23/05/2023, 3:01:16 pm</t>
  </si>
  <si>
    <t>23/05/2023, 3:01:17 pm</t>
  </si>
  <si>
    <t>23/05/2023, 3:01:18 pm</t>
  </si>
  <si>
    <t>23/05/2023, 3:01:19 pm</t>
  </si>
  <si>
    <t>23/05/2023, 3:01:20 pm</t>
  </si>
  <si>
    <t>23/05/2023, 3:01:21 pm</t>
  </si>
  <si>
    <t>23/05/2023, 3:01:22 pm</t>
  </si>
  <si>
    <t>23/05/2023, 3:01:23 pm</t>
  </si>
  <si>
    <t>23/05/2023, 3:01:24 pm</t>
  </si>
  <si>
    <t>23/05/2023, 3:01:25 pm</t>
  </si>
  <si>
    <t>23/05/2023, 3:01:26 pm</t>
  </si>
  <si>
    <t>23/05/2023, 3:01:27 pm</t>
  </si>
  <si>
    <t>23/05/2023, 3:01:28 pm</t>
  </si>
  <si>
    <t>23/05/2023, 3:01:29 pm</t>
  </si>
  <si>
    <t>23/05/2023, 3:01:30 pm</t>
  </si>
  <si>
    <t>23/05/2023, 3:01:31 pm</t>
  </si>
  <si>
    <t>23/05/2023, 3:01:32 pm</t>
  </si>
  <si>
    <t>23/05/2023, 3:01:33 pm</t>
  </si>
  <si>
    <t>23/05/2023, 3:01:34 pm</t>
  </si>
  <si>
    <t>23/05/2023, 3:01:35 pm</t>
  </si>
  <si>
    <t>23/05/2023, 3:01:36 pm</t>
  </si>
  <si>
    <t>23/05/2023, 3:01:37 pm</t>
  </si>
  <si>
    <t>23/05/2023, 3:01:38 pm</t>
  </si>
  <si>
    <t>23/05/2023, 3:01:39 pm</t>
  </si>
  <si>
    <t>23/05/2023, 3:01:40 pm</t>
  </si>
  <si>
    <t>23/05/2023, 3:01:41 pm</t>
  </si>
  <si>
    <t>23/05/2023, 3:01:42 pm</t>
  </si>
  <si>
    <t>23/05/2023, 3:01:43 pm</t>
  </si>
  <si>
    <t>23/05/2023, 3:01:44 pm</t>
  </si>
  <si>
    <t>23/05/2023, 3:01:45 pm</t>
  </si>
  <si>
    <t>23/05/2023, 3:01:46 pm</t>
  </si>
  <si>
    <t>23/05/2023, 3:01:47 pm</t>
  </si>
  <si>
    <t>23/05/2023, 3:01:49 pm</t>
  </si>
  <si>
    <t>23/05/2023, 3:01:50 pm</t>
  </si>
  <si>
    <t>23/05/2023, 3:01:51 pm</t>
  </si>
  <si>
    <t>23/05/2023, 3:01:52 pm</t>
  </si>
  <si>
    <t>23/05/2023, 3:01:53 pm</t>
  </si>
  <si>
    <t>23/05/2023, 3:01:54 pm</t>
  </si>
  <si>
    <t>23/05/2023, 3:01:55 pm</t>
  </si>
  <si>
    <t>23/05/2023, 3:01:56 pm</t>
  </si>
  <si>
    <t>23/05/2023, 3:01:57 pm</t>
  </si>
  <si>
    <t>23/05/2023, 3:01:58 pm</t>
  </si>
  <si>
    <t>23/05/2023, 3:01:59 pm</t>
  </si>
  <si>
    <t>23/05/2023, 3:02:00 pm</t>
  </si>
  <si>
    <t>23/05/2023, 3:02:01 pm</t>
  </si>
  <si>
    <t>23/05/2023, 3:02:02 pm</t>
  </si>
  <si>
    <t>23/05/2023, 3:02:03 pm</t>
  </si>
  <si>
    <t>23/05/2023, 3:02:04 pm</t>
  </si>
  <si>
    <t>23/05/2023, 3:02:05 pm</t>
  </si>
  <si>
    <t>23/05/2023, 3:02:06 pm</t>
  </si>
  <si>
    <t>23/05/2023, 3:02:07 pm</t>
  </si>
  <si>
    <t>23/05/2023, 3:02:08 pm</t>
  </si>
  <si>
    <t>23/05/2023, 3:02:09 pm</t>
  </si>
  <si>
    <t>23/05/2023, 3:02:10 pm</t>
  </si>
  <si>
    <t>23/05/2023, 3:02:11 pm</t>
  </si>
  <si>
    <t>23/05/2023, 3:02:12 pm</t>
  </si>
  <si>
    <t>23/05/2023, 3:02:13 pm</t>
  </si>
  <si>
    <t>23/05/2023, 3:02:14 pm</t>
  </si>
  <si>
    <t>23/05/2023, 3:02:15 pm</t>
  </si>
  <si>
    <t>23/05/2023, 3:02:16 pm</t>
  </si>
  <si>
    <t>23/05/2023, 3:02:17 pm</t>
  </si>
  <si>
    <t>23/05/2023, 3:02:18 pm</t>
  </si>
  <si>
    <t>23/05/2023, 3:02:19 pm</t>
  </si>
  <si>
    <t>23/05/2023, 3:02:20 pm</t>
  </si>
  <si>
    <t>23/05/2023, 3:02:21 pm</t>
  </si>
  <si>
    <t>23/05/2023, 3:02:22 pm</t>
  </si>
  <si>
    <t>23/05/2023, 3:02:23 pm</t>
  </si>
  <si>
    <t>23/05/2023, 3:02:24 pm</t>
  </si>
  <si>
    <t>23/05/2023, 3:02:25 pm</t>
  </si>
  <si>
    <t>23/05/2023, 3:02:26 pm</t>
  </si>
  <si>
    <t>23/05/2023, 3:02:27 pm</t>
  </si>
  <si>
    <t>23/05/2023, 3:02:28 pm</t>
  </si>
  <si>
    <t>23/05/2023, 3:02:29 pm</t>
  </si>
  <si>
    <t>23/05/2023, 3:02:30 pm</t>
  </si>
  <si>
    <t>23/05/2023, 3:02:31 pm</t>
  </si>
  <si>
    <t>23/05/2023, 3:02:32 pm</t>
  </si>
  <si>
    <t>23/05/2023, 3:02:33 pm</t>
  </si>
  <si>
    <t>23/05/2023, 3:02:34 pm</t>
  </si>
  <si>
    <t>23/05/2023, 3:02:35 pm</t>
  </si>
  <si>
    <t>23/05/2023, 3:02:36 pm</t>
  </si>
  <si>
    <t>23/05/2023, 3:02:37 pm</t>
  </si>
  <si>
    <t>23/05/2023, 3:02:38 pm</t>
  </si>
  <si>
    <t>23/05/2023, 3:02:39 pm</t>
  </si>
  <si>
    <t>23/05/2023, 3:02:40 pm</t>
  </si>
  <si>
    <t>23/05/2023, 3:02:41 pm</t>
  </si>
  <si>
    <t>23/05/2023, 3:02:42 pm</t>
  </si>
  <si>
    <t>23/05/2023, 3:02:43 pm</t>
  </si>
  <si>
    <t>23/05/2023, 3:02:44 pm</t>
  </si>
  <si>
    <t>23/05/2023, 3:02:45 pm</t>
  </si>
  <si>
    <t>23/05/2023, 3:02:46 pm</t>
  </si>
  <si>
    <t>23/05/2023, 3:02:47 pm</t>
  </si>
  <si>
    <t>23/05/2023, 3:02:48 pm</t>
  </si>
  <si>
    <t>23/05/2023, 3:02:49 pm</t>
  </si>
  <si>
    <t>23/05/2023, 3:02:50 pm</t>
  </si>
  <si>
    <t>23/05/2023, 3:02:51 pm</t>
  </si>
  <si>
    <t>23/05/2023, 3:02:52 pm</t>
  </si>
  <si>
    <t>23/05/2023, 3:02:53 pm</t>
  </si>
  <si>
    <t>23/05/2023, 3:02:54 pm</t>
  </si>
  <si>
    <t>23/05/2023, 3:02:55 pm</t>
  </si>
  <si>
    <t>23/05/2023, 3:02:56 pm</t>
  </si>
  <si>
    <t>23/05/2023, 3:02:57 pm</t>
  </si>
  <si>
    <t>23/05/2023, 3:02:58 pm</t>
  </si>
  <si>
    <t>23/05/2023, 3:02:59 pm</t>
  </si>
  <si>
    <t>23/05/2023, 3:03:00 pm</t>
  </si>
  <si>
    <t>23/05/2023, 3:03:01 pm</t>
  </si>
  <si>
    <t>23/05/2023, 3:03:02 pm</t>
  </si>
  <si>
    <t>23/05/2023, 3:03:03 pm</t>
  </si>
  <si>
    <t>23/05/2023, 3:03:04 pm</t>
  </si>
  <si>
    <t>23/05/2023, 3:03:05 pm</t>
  </si>
  <si>
    <t>23/05/2023, 3:03:06 pm</t>
  </si>
  <si>
    <t>23/05/2023, 3:03:07 pm</t>
  </si>
  <si>
    <t>23/05/2023, 3:03:08 pm</t>
  </si>
  <si>
    <t>23/05/2023, 3:03:09 pm</t>
  </si>
  <si>
    <t>23/05/2023, 3:03:10 pm</t>
  </si>
  <si>
    <t>23/05/2023, 3:03:11 pm</t>
  </si>
  <si>
    <t>23/05/2023, 3:03:12 pm</t>
  </si>
  <si>
    <t>23/05/2023, 3:03:13 pm</t>
  </si>
  <si>
    <t>23/05/2023, 3:03:14 pm</t>
  </si>
  <si>
    <t>23/05/2023, 3:03:15 pm</t>
  </si>
  <si>
    <t>23/05/2023, 3:03:16 pm</t>
  </si>
  <si>
    <t>23/05/2023, 3:03:17 pm</t>
  </si>
  <si>
    <t>23/05/2023, 3:03:18 pm</t>
  </si>
  <si>
    <t>23/05/2023, 3:03:19 pm</t>
  </si>
  <si>
    <t>23/05/2023, 3:03:20 pm</t>
  </si>
  <si>
    <t>23/05/2023, 3:03:21 pm</t>
  </si>
  <si>
    <t>23/05/2023, 3:03:22 pm</t>
  </si>
  <si>
    <t>23/05/2023, 3:03:23 pm</t>
  </si>
  <si>
    <t>23/05/2023, 3:03:24 pm</t>
  </si>
  <si>
    <t>23/05/2023, 3:03:25 pm</t>
  </si>
  <si>
    <t>23/05/2023, 3:03:26 pm</t>
  </si>
  <si>
    <t>23/05/2023, 3:03:27 pm</t>
  </si>
  <si>
    <t>23/05/2023, 3:03:28 pm</t>
  </si>
  <si>
    <t>23/05/2023, 3:03:29 pm</t>
  </si>
  <si>
    <t>23/05/2023, 3:03:30 pm</t>
  </si>
  <si>
    <t>23/05/2023, 3:03:31 pm</t>
  </si>
  <si>
    <t>23/05/2023, 3:03:32 pm</t>
  </si>
  <si>
    <t>23/05/2023, 3:03:33 pm</t>
  </si>
  <si>
    <t>23/05/2023, 3:03:34 pm</t>
  </si>
  <si>
    <t>23/05/2023, 3:03:35 pm</t>
  </si>
  <si>
    <t>23/05/2023, 3:03:36 pm</t>
  </si>
  <si>
    <t>23/05/2023, 3:03:37 pm</t>
  </si>
  <si>
    <t>23/05/2023, 3:03:38 pm</t>
  </si>
  <si>
    <t>23/05/2023, 3:03:39 pm</t>
  </si>
  <si>
    <t>23/05/2023, 3:03:40 pm</t>
  </si>
  <si>
    <t>23/05/2023, 3:03:41 pm</t>
  </si>
  <si>
    <t>23/05/2023, 3:03:42 pm</t>
  </si>
  <si>
    <t>23/05/2023, 3:03:43 pm</t>
  </si>
  <si>
    <t>23/05/2023, 3:03:44 pm</t>
  </si>
  <si>
    <t>23/05/2023, 3:03:45 pm</t>
  </si>
  <si>
    <t>23/05/2023, 3:03:46 pm</t>
  </si>
  <si>
    <t>23/05/2023, 3:03:47 pm</t>
  </si>
  <si>
    <t>23/05/2023, 3:03:48 pm</t>
  </si>
  <si>
    <t>23/05/2023, 3:03:49 pm</t>
  </si>
  <si>
    <t>23/05/2023, 3:03:50 pm</t>
  </si>
  <si>
    <t>23/05/2023, 3:03:51 pm</t>
  </si>
  <si>
    <t>23/05/2023, 3:03:52 pm</t>
  </si>
  <si>
    <t>23/05/2023, 3:03:53 pm</t>
  </si>
  <si>
    <t>23/05/2023, 3:03:54 pm</t>
  </si>
  <si>
    <t>23/05/2023, 3:03:55 pm</t>
  </si>
  <si>
    <t>23/05/2023, 3:03:56 pm</t>
  </si>
  <si>
    <t>23/05/2023, 3:03:58 pm</t>
  </si>
  <si>
    <t>23/05/2023, 3:03:59 pm</t>
  </si>
  <si>
    <t>23/05/2023, 3:04:00 pm</t>
  </si>
  <si>
    <t>23/05/2023, 3:04:01 pm</t>
  </si>
  <si>
    <t>23/05/2023, 3:04:02 pm</t>
  </si>
  <si>
    <t>23/05/2023, 3:04:03 pm</t>
  </si>
  <si>
    <t>23/05/2023, 3:04:04 pm</t>
  </si>
  <si>
    <t>23/05/2023, 3:04:05 pm</t>
  </si>
  <si>
    <t>23/05/2023, 3:04:06 pm</t>
  </si>
  <si>
    <t>23/05/2023, 3:04:07 pm</t>
  </si>
  <si>
    <t>23/05/2023, 3:04:08 pm</t>
  </si>
  <si>
    <t>23/05/2023, 3:04:09 pm</t>
  </si>
  <si>
    <t>23/05/2023, 3:04:10 pm</t>
  </si>
  <si>
    <t>23/05/2023, 3:04:11 pm</t>
  </si>
  <si>
    <t>23/05/2023, 3:04:12 pm</t>
  </si>
  <si>
    <t>23/05/2023, 3:04:13 pm</t>
  </si>
  <si>
    <t>23/05/2023, 3:04:14 pm</t>
  </si>
  <si>
    <t>23/05/2023, 3:04:15 pm</t>
  </si>
  <si>
    <t>23/05/2023, 3:04:16 pm</t>
  </si>
  <si>
    <t>23/05/2023, 3:04:17 pm</t>
  </si>
  <si>
    <t>23/05/2023, 3:04:18 pm</t>
  </si>
  <si>
    <t>23/05/2023, 3:04:19 pm</t>
  </si>
  <si>
    <t>23/05/2023, 3:04:20 pm</t>
  </si>
  <si>
    <t>23/05/2023, 3:04:21 pm</t>
  </si>
  <si>
    <t>23/05/2023, 3:04:22 pm</t>
  </si>
  <si>
    <t>23/05/2023, 3:04:23 pm</t>
  </si>
  <si>
    <t>23/05/2023, 3:04:24 pm</t>
  </si>
  <si>
    <t>23/05/2023, 3:04:25 pm</t>
  </si>
  <si>
    <t>23/05/2023, 3:04:26 pm</t>
  </si>
  <si>
    <t>23/05/2023, 3:04:27 pm</t>
  </si>
  <si>
    <t>23/05/2023, 3:04:28 pm</t>
  </si>
  <si>
    <t>23/05/2023, 3:04:29 pm</t>
  </si>
  <si>
    <t>23/05/2023, 3:04:30 pm</t>
  </si>
  <si>
    <t>23/05/2023, 3:04:55 pm</t>
  </si>
  <si>
    <t>23/05/2023, 3:04:56 pm</t>
  </si>
  <si>
    <t>23/05/2023, 3:04:57 pm</t>
  </si>
  <si>
    <t>23/05/2023, 3:04:58 pm</t>
  </si>
  <si>
    <t>23/05/2023, 3:04:59 pm</t>
  </si>
  <si>
    <t>23/05/2023, 3:05:00 pm</t>
  </si>
  <si>
    <t>23/05/2023, 3:05:01 pm</t>
  </si>
  <si>
    <t>23/05/2023, 3:05:02 pm</t>
  </si>
  <si>
    <t>23/05/2023, 3:05:03 pm</t>
  </si>
  <si>
    <t>23/05/2023, 3:05:04 pm</t>
  </si>
  <si>
    <t>23/05/2023, 3:05:05 pm</t>
  </si>
  <si>
    <t>23/05/2023, 3:05:06 pm</t>
  </si>
  <si>
    <t>23/05/2023, 3:05:07 pm</t>
  </si>
  <si>
    <t>23/05/2023, 3:05:08 pm</t>
  </si>
  <si>
    <t>23/05/2023, 3:05:09 pm</t>
  </si>
  <si>
    <t>23/05/2023, 3:05:10 pm</t>
  </si>
  <si>
    <t>23/05/2023, 3:05:11 pm</t>
  </si>
  <si>
    <t>23/05/2023, 3:05:12 pm</t>
  </si>
  <si>
    <t>23/05/2023, 3:05:13 pm</t>
  </si>
  <si>
    <t>23/05/2023, 3:05:14 pm</t>
  </si>
  <si>
    <t>23/05/2023, 3:05:15 pm</t>
  </si>
  <si>
    <t>23/05/2023, 3:05:16 pm</t>
  </si>
  <si>
    <t>23/05/2023, 3:05:17 pm</t>
  </si>
  <si>
    <t>23/05/2023, 3:05:18 pm</t>
  </si>
  <si>
    <t>23/05/2023, 3:05:19 pm</t>
  </si>
  <si>
    <t>23/05/2023, 3:05:20 pm</t>
  </si>
  <si>
    <t>23/05/2023, 3:05:21 pm</t>
  </si>
  <si>
    <t>23/05/2023, 3:05:22 pm</t>
  </si>
  <si>
    <t>23/05/2023, 3:05:23 pm</t>
  </si>
  <si>
    <t>23/05/2023, 3:05:24 pm</t>
  </si>
  <si>
    <t>23/05/2023, 3:05:27 pm</t>
  </si>
  <si>
    <t>23/05/2023, 3:06:46 pm</t>
  </si>
  <si>
    <t>23/05/2023, 3:06:47 pm</t>
  </si>
  <si>
    <t>23/05/2023, 3:06:48 pm</t>
  </si>
  <si>
    <t>23/05/2023, 3:06:49 pm</t>
  </si>
  <si>
    <t>23/05/2023, 3:06:50 pm</t>
  </si>
  <si>
    <t>23/05/2023, 3:06:51 pm</t>
  </si>
  <si>
    <t>23/05/2023, 3:06:52 pm</t>
  </si>
  <si>
    <t>23/05/2023, 3:06:53 pm</t>
  </si>
  <si>
    <t>23/05/2023, 3:06:54 pm</t>
  </si>
  <si>
    <t>23/05/2023, 3:06:55 pm</t>
  </si>
  <si>
    <t>23/05/2023, 3:06:56 pm</t>
  </si>
  <si>
    <t>23/05/2023, 3:06:57 pm</t>
  </si>
  <si>
    <t>23/05/2023, 3:06:58 pm</t>
  </si>
  <si>
    <t>23/05/2023, 3:06:59 pm</t>
  </si>
  <si>
    <t>23/05/2023, 3:07:00 pm</t>
  </si>
  <si>
    <t>23/05/2023, 3:07:01 pm</t>
  </si>
  <si>
    <t>23/05/2023, 3:07:02 pm</t>
  </si>
  <si>
    <t>23/05/2023, 3:07:03 pm</t>
  </si>
  <si>
    <t>23/05/2023, 3:07:04 pm</t>
  </si>
  <si>
    <t>23/05/2023, 3:07:05 pm</t>
  </si>
  <si>
    <t>23/05/2023, 3:07:06 pm</t>
  </si>
  <si>
    <t>23/05/2023, 3:07:07 pm</t>
  </si>
  <si>
    <t>23/05/2023, 3:07:08 pm</t>
  </si>
  <si>
    <t>23/05/2023, 3:07:09 pm</t>
  </si>
  <si>
    <t>23/05/2023, 3:07:10 pm</t>
  </si>
  <si>
    <t>23/05/2023, 3:07:11 pm</t>
  </si>
  <si>
    <t>23/05/2023, 3:07:12 pm</t>
  </si>
  <si>
    <t>23/05/2023, 3:07:13 pm</t>
  </si>
  <si>
    <t>23/05/2023, 3:07:14 pm</t>
  </si>
  <si>
    <t>23/05/2023, 3:07:15 pm</t>
  </si>
  <si>
    <t>23/05/2023, 3:07:16 pm</t>
  </si>
  <si>
    <t>23/05/2023, 3:07:17 pm</t>
  </si>
  <si>
    <t>23/05/2023, 3:07:19 pm</t>
  </si>
  <si>
    <t>23/05/2023, 3:07:20 pm</t>
  </si>
  <si>
    <t>23/05/2023, 3:07:21 pm</t>
  </si>
  <si>
    <t>23/05/2023, 3:07:22 pm</t>
  </si>
  <si>
    <t>23/05/2023, 3:07:23 pm</t>
  </si>
  <si>
    <t>23/05/2023, 3:07:24 pm</t>
  </si>
  <si>
    <t>23/05/2023, 3:07:25 pm</t>
  </si>
  <si>
    <t>23/05/2023, 3:07:26 pm</t>
  </si>
  <si>
    <t>23/05/2023, 3:07:27 pm</t>
  </si>
  <si>
    <t>23/05/2023, 3:07:28 pm</t>
  </si>
  <si>
    <t>23/05/2023, 3:07:29 pm</t>
  </si>
  <si>
    <t>23/05/2023, 3:07:30 pm</t>
  </si>
  <si>
    <t>23/05/2023, 3:07:31 pm</t>
  </si>
  <si>
    <t>23/05/2023, 3:07:32 pm</t>
  </si>
  <si>
    <t>23/05/2023, 3:07:33 pm</t>
  </si>
  <si>
    <t>23/05/2023, 3:07:34 pm</t>
  </si>
  <si>
    <t>23/05/2023, 3:07:35 pm</t>
  </si>
  <si>
    <t>23/05/2023, 3:07:36 pm</t>
  </si>
  <si>
    <t>23/05/2023, 3:07:37 pm</t>
  </si>
  <si>
    <t>23/05/2023, 3:07:38 pm</t>
  </si>
  <si>
    <t>23/05/2023, 3:07:39 pm</t>
  </si>
  <si>
    <t>23/05/2023, 3:07:40 pm</t>
  </si>
  <si>
    <t>23/05/2023, 3:07:41 pm</t>
  </si>
  <si>
    <t>23/05/2023, 3:07:42 pm</t>
  </si>
  <si>
    <t>23/05/2023, 3:07:43 pm</t>
  </si>
  <si>
    <t>23/05/2023, 3:07:44 pm</t>
  </si>
  <si>
    <t>23/05/2023, 3:07:45 pm</t>
  </si>
  <si>
    <t>23/05/2023, 3:07:46 pm</t>
  </si>
  <si>
    <t>23/05/2023, 3:07:47 pm</t>
  </si>
  <si>
    <t>23/05/2023, 3:07:48 pm</t>
  </si>
  <si>
    <t>23/05/2023, 3:07:49 pm</t>
  </si>
  <si>
    <t>23/05/2023, 3:07:50 pm</t>
  </si>
  <si>
    <t>23/05/2023, 3:07:51 pm</t>
  </si>
  <si>
    <t>23/05/2023, 3:07:52 pm</t>
  </si>
  <si>
    <t>23/05/2023, 3:07:53 pm</t>
  </si>
  <si>
    <t>23/05/2023, 3:07:54 pm</t>
  </si>
  <si>
    <t>23/05/2023, 3:07:55 pm</t>
  </si>
  <si>
    <t>23/05/2023, 3:07:56 pm</t>
  </si>
  <si>
    <t>23/05/2023, 3:07:57 pm</t>
  </si>
  <si>
    <t>23/05/2023, 3:07:58 pm</t>
  </si>
  <si>
    <t>23/05/2023, 3:07:59 pm</t>
  </si>
  <si>
    <t>23/05/2023, 3:08:00 pm</t>
  </si>
  <si>
    <t>23/05/2023, 3:08:01 pm</t>
  </si>
  <si>
    <t>23/05/2023, 3:08:02 pm</t>
  </si>
  <si>
    <t>23/05/2023, 3:08:03 pm</t>
  </si>
  <si>
    <t>23/05/2023, 3:08:04 pm</t>
  </si>
  <si>
    <t>23/05/2023, 3:08:05 pm</t>
  </si>
  <si>
    <t>23/05/2023, 3:08:06 pm</t>
  </si>
  <si>
    <t>23/05/2023, 3:08:07 pm</t>
  </si>
  <si>
    <t>23/05/2023, 3:08:08 pm</t>
  </si>
  <si>
    <t>23/05/2023, 3:08:09 pm</t>
  </si>
  <si>
    <t>23/05/2023, 3:08:10 pm</t>
  </si>
  <si>
    <t>23/05/2023, 3:08:11 pm</t>
  </si>
  <si>
    <t>23/05/2023, 3:08:12 pm</t>
  </si>
  <si>
    <t>23/05/2023, 3:08:13 pm</t>
  </si>
  <si>
    <t>23/05/2023, 3:08:14 pm</t>
  </si>
  <si>
    <t>23/05/2023, 3:08:15 pm</t>
  </si>
  <si>
    <t>23/05/2023, 3:08:16 pm</t>
  </si>
  <si>
    <t>23/05/2023, 3:08:17 pm</t>
  </si>
  <si>
    <t>23/05/2023, 3:08:18 pm</t>
  </si>
  <si>
    <t>23/05/2023, 3:08:19 pm</t>
  </si>
  <si>
    <t>23/05/2023, 3:08:20 pm</t>
  </si>
  <si>
    <t>23/05/2023, 3:08:21 pm</t>
  </si>
  <si>
    <t>23/05/2023, 3:08:22 pm</t>
  </si>
  <si>
    <t>23/05/2023, 3:08:23 pm</t>
  </si>
  <si>
    <t>23/05/2023, 3:08:24 pm</t>
  </si>
  <si>
    <t>23/05/2023, 3:08:25 pm</t>
  </si>
  <si>
    <t>23/05/2023, 3:08:26 pm</t>
  </si>
  <si>
    <t>23/05/2023, 3:08:27 pm</t>
  </si>
  <si>
    <t>23/05/2023, 3:08:28 pm</t>
  </si>
  <si>
    <t>23/05/2023, 3:08:29 pm</t>
  </si>
  <si>
    <t>23/05/2023, 3:08:30 pm</t>
  </si>
  <si>
    <t>23/05/2023, 3:08:31 pm</t>
  </si>
  <si>
    <t>23/05/2023, 3:08:32 pm</t>
  </si>
  <si>
    <t>23/05/2023, 3:08:33 pm</t>
  </si>
  <si>
    <t>23/05/2023, 3:08:34 pm</t>
  </si>
  <si>
    <t>23/05/2023, 3:08:35 pm</t>
  </si>
  <si>
    <t>23/05/2023, 3:08:36 pm</t>
  </si>
  <si>
    <t>23/05/2023, 3:08:37 pm</t>
  </si>
  <si>
    <t>23/05/2023, 3:08:38 pm</t>
  </si>
  <si>
    <t>23/05/2023, 3:08:39 pm</t>
  </si>
  <si>
    <t>23/05/2023, 3:08:40 pm</t>
  </si>
  <si>
    <t>23/05/2023, 3:08:41 pm</t>
  </si>
  <si>
    <t>23/05/2023, 3:08:42 pm</t>
  </si>
  <si>
    <t>23/05/2023, 3:08:43 pm</t>
  </si>
  <si>
    <t>23/05/2023, 3:08:44 pm</t>
  </si>
  <si>
    <t>23/05/2023, 3:08:45 pm</t>
  </si>
  <si>
    <t>23/05/2023, 3:08:46 pm</t>
  </si>
  <si>
    <t>23/05/2023, 3:08:47 pm</t>
  </si>
  <si>
    <t>23/05/2023, 3:08:48 pm</t>
  </si>
  <si>
    <t>23/05/2023, 3:08:49 pm</t>
  </si>
  <si>
    <t>23/05/2023, 3:08:50 pm</t>
  </si>
  <si>
    <t>23/05/2023, 3:08:51 pm</t>
  </si>
  <si>
    <t>23/05/2023, 3:08:52 pm</t>
  </si>
  <si>
    <t>23/05/2023, 3:08:53 pm</t>
  </si>
  <si>
    <t>23/05/2023, 3:08:54 pm</t>
  </si>
  <si>
    <t>23/05/2023, 3:08:55 pm</t>
  </si>
  <si>
    <t>23/05/2023, 3:08:56 pm</t>
  </si>
  <si>
    <t>23/05/2023, 3:08:57 pm</t>
  </si>
  <si>
    <t>23/05/2023, 3:08:58 pm</t>
  </si>
  <si>
    <t>23/05/2023, 3:08:59 pm</t>
  </si>
  <si>
    <t>23/05/2023, 3:09:00 pm</t>
  </si>
  <si>
    <t>23/05/2023, 3:09:01 pm</t>
  </si>
  <si>
    <t>23/05/2023, 3:09:02 pm</t>
  </si>
  <si>
    <t>23/05/2023, 3:09:03 pm</t>
  </si>
  <si>
    <t>23/05/2023, 3:09:04 pm</t>
  </si>
  <si>
    <t>23/05/2023, 3:09:05 pm</t>
  </si>
  <si>
    <t>23/05/2023, 3:09:06 pm</t>
  </si>
  <si>
    <t>23/05/2023, 3:09:07 pm</t>
  </si>
  <si>
    <t>23/05/2023, 3:09:08 pm</t>
  </si>
  <si>
    <t>23/05/2023, 3:09:09 pm</t>
  </si>
  <si>
    <t>23/05/2023, 3:09:10 pm</t>
  </si>
  <si>
    <t>23/05/2023, 3:09:11 pm</t>
  </si>
  <si>
    <t>23/05/2023, 3:09:12 pm</t>
  </si>
  <si>
    <t>23/05/2023, 3:09:13 pm</t>
  </si>
  <si>
    <t>23/05/2023, 3:09:14 pm</t>
  </si>
  <si>
    <t>23/05/2023, 3:09:15 pm</t>
  </si>
  <si>
    <t>23/05/2023, 3:09:16 pm</t>
  </si>
  <si>
    <t>23/05/2023, 3:09:17 pm</t>
  </si>
  <si>
    <t>23/05/2023, 3:09:18 pm</t>
  </si>
  <si>
    <t>23/05/2023, 3:09:19 pm</t>
  </si>
  <si>
    <t>23/05/2023, 3:09:20 pm</t>
  </si>
  <si>
    <t>23/05/2023, 3:09:21 pm</t>
  </si>
  <si>
    <t>23/05/2023, 3:09:22 pm</t>
  </si>
  <si>
    <t>23/05/2023, 3:09:23 pm</t>
  </si>
  <si>
    <t>23/05/2023, 3:09:24 pm</t>
  </si>
  <si>
    <t>23/05/2023, 3:09:25 pm</t>
  </si>
  <si>
    <t>23/05/2023, 3:09:26 pm</t>
  </si>
  <si>
    <t>23/05/2023, 3:09:27 pm</t>
  </si>
  <si>
    <t>23/05/2023, 3:09:28 pm</t>
  </si>
  <si>
    <t>23/05/2023, 3:09:29 pm</t>
  </si>
  <si>
    <t>23/05/2023, 3:09:30 pm</t>
  </si>
  <si>
    <t>23/05/2023, 3:09:31 pm</t>
  </si>
  <si>
    <t>23/05/2023, 3:09:32 pm</t>
  </si>
  <si>
    <t>23/05/2023, 3:09:33 pm</t>
  </si>
  <si>
    <t>23/05/2023, 3:09:34 pm</t>
  </si>
  <si>
    <t>23/05/2023, 3:09:35 pm</t>
  </si>
  <si>
    <t>23/05/2023, 3:09:36 pm</t>
  </si>
  <si>
    <t>23/05/2023, 3:09:37 pm</t>
  </si>
  <si>
    <t>23/05/2023, 3:09:38 pm</t>
  </si>
  <si>
    <t>23/05/2023, 3:09:40 pm</t>
  </si>
  <si>
    <t>23/05/2023, 3:09:41 pm</t>
  </si>
  <si>
    <t>23/05/2023, 3:09:42 pm</t>
  </si>
  <si>
    <t>23/05/2023, 3:09:43 pm</t>
  </si>
  <si>
    <t>23/05/2023, 3:09:44 pm</t>
  </si>
  <si>
    <t>23/05/2023, 3:09:45 pm</t>
  </si>
  <si>
    <t>23/05/2023, 3:09:46 pm</t>
  </si>
  <si>
    <t>23/05/2023, 3:09:47 pm</t>
  </si>
  <si>
    <t>23/05/2023, 3:09:48 pm</t>
  </si>
  <si>
    <t>23/05/2023, 3:09:49 pm</t>
  </si>
  <si>
    <t>23/05/2023, 3:09:50 pm</t>
  </si>
  <si>
    <t>23/05/2023, 3:09:51 pm</t>
  </si>
  <si>
    <t>23/05/2023, 3:09:52 pm</t>
  </si>
  <si>
    <t>23/05/2023, 3:09:53 pm</t>
  </si>
  <si>
    <t>23/05/2023, 3:09:54 pm</t>
  </si>
  <si>
    <t>23/05/2023, 3:09:55 pm</t>
  </si>
  <si>
    <t>23/05/2023, 3:09:56 pm</t>
  </si>
  <si>
    <t>23/05/2023, 3:09:57 pm</t>
  </si>
  <si>
    <t>23/05/2023, 3:09:58 pm</t>
  </si>
  <si>
    <t>23/05/2023, 3:09:59 pm</t>
  </si>
  <si>
    <t>23/05/2023, 3:10:00 pm</t>
  </si>
  <si>
    <t>23/05/2023, 3:10:01 pm</t>
  </si>
  <si>
    <t>23/05/2023, 3:10:02 pm</t>
  </si>
  <si>
    <t>23/05/2023, 3:10:03 pm</t>
  </si>
  <si>
    <t>23/05/2023, 3:10:04 pm</t>
  </si>
  <si>
    <t>23/05/2023, 3:10:05 pm</t>
  </si>
  <si>
    <t>23/05/2023, 3:10:06 pm</t>
  </si>
  <si>
    <t>23/05/2023, 3:10:07 pm</t>
  </si>
  <si>
    <t>23/05/2023, 3:10:08 pm</t>
  </si>
  <si>
    <t>23/05/2023, 3:10:09 pm</t>
  </si>
  <si>
    <t>23/05/2023, 3:10:10 pm</t>
  </si>
  <si>
    <t>23/05/2023, 3:10:11 pm</t>
  </si>
  <si>
    <t>23/05/2023, 3:10:12 pm</t>
  </si>
  <si>
    <t>23/05/2023, 3:10:13 pm</t>
  </si>
  <si>
    <t>23/05/2023, 3:10:14 pm</t>
  </si>
  <si>
    <t>23/05/2023, 3:10:15 pm</t>
  </si>
  <si>
    <t>23/05/2023, 3:10:16 pm</t>
  </si>
  <si>
    <t>23/05/2023, 3:10:17 pm</t>
  </si>
  <si>
    <t>23/05/2023, 3:10:18 pm</t>
  </si>
  <si>
    <t>23/05/2023, 3:10:19 pm</t>
  </si>
  <si>
    <t>23/05/2023, 3:10:20 pm</t>
  </si>
  <si>
    <t>23/05/2023, 3:10:21 pm</t>
  </si>
  <si>
    <t>23/05/2023, 3:10:22 pm</t>
  </si>
  <si>
    <t>23/05/2023, 3:10:23 pm</t>
  </si>
  <si>
    <t>23/05/2023, 3:10:24 pm</t>
  </si>
  <si>
    <t>23/05/2023, 3:10:25 pm</t>
  </si>
  <si>
    <t>23/05/2023, 3:10:26 pm</t>
  </si>
  <si>
    <t>23/05/2023, 3:10:27 pm</t>
  </si>
  <si>
    <t>23/05/2023, 3:10:28 pm</t>
  </si>
  <si>
    <t>23/05/2023, 3:10:29 pm</t>
  </si>
  <si>
    <t>23/05/2023, 3:10:30 pm</t>
  </si>
  <si>
    <t>23/05/2023, 3:10:31 pm</t>
  </si>
  <si>
    <t>23/05/2023, 3:10:32 pm</t>
  </si>
  <si>
    <t>23/05/2023, 3:10:33 pm</t>
  </si>
  <si>
    <t>23/05/2023, 3:10:34 pm</t>
  </si>
  <si>
    <t>23/05/2023, 3:10:35 pm</t>
  </si>
  <si>
    <t>23/05/2023, 3:10:36 pm</t>
  </si>
  <si>
    <t>23/05/2023, 3:10:37 pm</t>
  </si>
  <si>
    <t>23/05/2023, 3:10:38 pm</t>
  </si>
  <si>
    <t>23/05/2023, 3:10:39 pm</t>
  </si>
  <si>
    <t>23/05/2023, 3:10:40 pm</t>
  </si>
  <si>
    <t>23/05/2023, 3:10:41 pm</t>
  </si>
  <si>
    <t>23/05/2023, 3:10:42 pm</t>
  </si>
  <si>
    <t>23/05/2023, 3:10:43 pm</t>
  </si>
  <si>
    <t>23/05/2023, 3:10:44 pm</t>
  </si>
  <si>
    <t>23/05/2023, 3:10:45 pm</t>
  </si>
  <si>
    <t>23/05/2023, 3:10:46 pm</t>
  </si>
  <si>
    <t>23/05/2023, 3:10:47 pm</t>
  </si>
  <si>
    <t>23/05/2023, 3:10:48 pm</t>
  </si>
  <si>
    <t>23/05/2023, 3:10:49 pm</t>
  </si>
  <si>
    <t>23/05/2023, 3:10:50 pm</t>
  </si>
  <si>
    <t>23/05/2023, 3:10:51 pm</t>
  </si>
  <si>
    <t>23/05/2023, 3:10:52 pm</t>
  </si>
  <si>
    <t>23/05/2023, 3:10:53 pm</t>
  </si>
  <si>
    <t>23/05/2023, 3:10:54 pm</t>
  </si>
  <si>
    <t>23/05/2023, 3:10:55 pm</t>
  </si>
  <si>
    <t>23/05/2023, 3:10:56 pm</t>
  </si>
  <si>
    <t>23/05/2023, 3:10:57 pm</t>
  </si>
  <si>
    <t>23/05/2023, 3:10:58 pm</t>
  </si>
  <si>
    <t>23/05/2023, 3:10:59 pm</t>
  </si>
  <si>
    <t>23/05/2023, 3:11:00 pm</t>
  </si>
  <si>
    <t>23/05/2023, 3:11:01 pm</t>
  </si>
  <si>
    <t>23/05/2023, 3:11:02 pm</t>
  </si>
  <si>
    <t>23/05/2023, 3:11:03 pm</t>
  </si>
  <si>
    <t>23/05/2023, 3:11:04 pm</t>
  </si>
  <si>
    <t>23/05/2023, 3:11:05 pm</t>
  </si>
  <si>
    <t>23/05/2023, 3:11:06 pm</t>
  </si>
  <si>
    <t>23/05/2023, 3:11:07 pm</t>
  </si>
  <si>
    <t>23/05/2023, 3:11:08 pm</t>
  </si>
  <si>
    <t>23/05/2023, 3:11:09 pm</t>
  </si>
  <si>
    <t>23/05/2023, 3:11:10 pm</t>
  </si>
  <si>
    <t>23/05/2023, 3:11:11 pm</t>
  </si>
  <si>
    <t>23/05/2023, 3:11:12 pm</t>
  </si>
  <si>
    <t>23/05/2023, 3:11:13 pm</t>
  </si>
  <si>
    <t>23/05/2023, 3:11:14 pm</t>
  </si>
  <si>
    <t>23/05/2023, 3:11:15 pm</t>
  </si>
  <si>
    <t>23/05/2023, 3:11:16 pm</t>
  </si>
  <si>
    <t>23/05/2023, 3:11:17 pm</t>
  </si>
  <si>
    <t>23/05/2023, 3:11:18 pm</t>
  </si>
  <si>
    <t>23/05/2023, 3:11:19 pm</t>
  </si>
  <si>
    <t>23/05/2023, 3:11:20 pm</t>
  </si>
  <si>
    <t>23/05/2023, 3:11:21 pm</t>
  </si>
  <si>
    <t>23/05/2023, 3:11:22 pm</t>
  </si>
  <si>
    <t>23/05/2023, 3:11:23 pm</t>
  </si>
  <si>
    <t>23/05/2023, 3:11:24 pm</t>
  </si>
  <si>
    <t>23/05/2023, 3:11:25 pm</t>
  </si>
  <si>
    <t>23/05/2023, 3:11:26 pm</t>
  </si>
  <si>
    <t>23/05/2023, 3:11:27 pm</t>
  </si>
  <si>
    <t>23/05/2023, 3:11:28 pm</t>
  </si>
  <si>
    <t>23/05/2023, 3:11:29 pm</t>
  </si>
  <si>
    <t>23/05/2023, 3:11:30 pm</t>
  </si>
  <si>
    <t>23/05/2023, 3:11:31 pm</t>
  </si>
  <si>
    <t>23/05/2023, 3:11:32 pm</t>
  </si>
  <si>
    <t>23/05/2023, 3:11:33 pm</t>
  </si>
  <si>
    <t>23/05/2023, 3:11:34 pm</t>
  </si>
  <si>
    <t>23/05/2023, 3:11:35 pm</t>
  </si>
  <si>
    <t>23/05/2023, 3:11:36 pm</t>
  </si>
  <si>
    <t>23/05/2023, 3:11:37 pm</t>
  </si>
  <si>
    <t>23/05/2023, 3:11:38 pm</t>
  </si>
  <si>
    <t>23/05/2023, 3:11:39 pm</t>
  </si>
  <si>
    <t>23/05/2023, 3:11:40 pm</t>
  </si>
  <si>
    <t>23/05/2023, 3:11:41 pm</t>
  </si>
  <si>
    <t>23/05/2023, 3:11:42 pm</t>
  </si>
  <si>
    <t>23/05/2023, 3:11:43 pm</t>
  </si>
  <si>
    <t>23/05/2023, 3:11:44 pm</t>
  </si>
  <si>
    <t>23/05/2023, 3:11:45 pm</t>
  </si>
  <si>
    <t>23/05/2023, 3:11:46 pm</t>
  </si>
  <si>
    <t>23/05/2023, 3:11:47 pm</t>
  </si>
  <si>
    <t>23/05/2023, 3:11:48 pm</t>
  </si>
  <si>
    <t>23/05/2023, 3:11:49 pm</t>
  </si>
  <si>
    <t>23/05/2023, 3:11:50 pm</t>
  </si>
  <si>
    <t>23/05/2023, 3:11:51 pm</t>
  </si>
  <si>
    <t>23/05/2023, 3:11:52 pm</t>
  </si>
  <si>
    <t>23/05/2023, 3:11:53 pm</t>
  </si>
  <si>
    <t>23/05/2023, 3:11:54 pm</t>
  </si>
  <si>
    <t>23/05/2023, 3:11:55 pm</t>
  </si>
  <si>
    <t>23/05/2023, 3:11:56 pm</t>
  </si>
  <si>
    <t>23/05/2023, 3:11:57 pm</t>
  </si>
  <si>
    <t>23/05/2023, 3:11:59 pm</t>
  </si>
  <si>
    <t>23/05/2023, 3:12:00 pm</t>
  </si>
  <si>
    <t>23/05/2023, 3:12:01 pm</t>
  </si>
  <si>
    <t>23/05/2023, 3:12:02 pm</t>
  </si>
  <si>
    <t>23/05/2023, 3:12:03 pm</t>
  </si>
  <si>
    <t>23/05/2023, 3:12:04 pm</t>
  </si>
  <si>
    <t>23/05/2023, 3:12:05 pm</t>
  </si>
  <si>
    <t>23/05/2023, 3:12:06 pm</t>
  </si>
  <si>
    <t>23/05/2023, 3:12:07 pm</t>
  </si>
  <si>
    <t>23/05/2023, 3:12:08 pm</t>
  </si>
  <si>
    <t>23/05/2023, 3:12:09 pm</t>
  </si>
  <si>
    <t>23/05/2023, 3:12:10 pm</t>
  </si>
  <si>
    <t>23/05/2023, 3:12:11 pm</t>
  </si>
  <si>
    <t>23/05/2023, 3:12:12 pm</t>
  </si>
  <si>
    <t>23/05/2023, 3:12:13 pm</t>
  </si>
  <si>
    <t>23/05/2023, 3:12:14 pm</t>
  </si>
  <si>
    <t>23/05/2023, 3:12:15 pm</t>
  </si>
  <si>
    <t>23/05/2023, 3:12:16 pm</t>
  </si>
  <si>
    <t>23/05/2023, 3:12:17 pm</t>
  </si>
  <si>
    <t>23/05/2023, 3:12:18 pm</t>
  </si>
  <si>
    <t>23/05/2023, 3:12:19 pm</t>
  </si>
  <si>
    <t>23/05/2023, 3:12:20 pm</t>
  </si>
  <si>
    <t>23/05/2023, 3:12:21 pm</t>
  </si>
  <si>
    <t>23/05/2023, 3:12:22 pm</t>
  </si>
  <si>
    <t>23/05/2023, 3:12:23 pm</t>
  </si>
  <si>
    <t>23/05/2023, 3:12:24 pm</t>
  </si>
  <si>
    <t>23/05/2023, 3:12:25 pm</t>
  </si>
  <si>
    <t>23/05/2023, 3:12:26 pm</t>
  </si>
  <si>
    <t>23/05/2023, 3:12:27 pm</t>
  </si>
  <si>
    <t>23/05/2023, 3:12:28 pm</t>
  </si>
  <si>
    <t>23/05/2023, 3:12:29 pm</t>
  </si>
  <si>
    <t>23/05/2023, 3:12:30 pm</t>
  </si>
  <si>
    <t>23/05/2023, 3:12:31 pm</t>
  </si>
  <si>
    <t>23/05/2023, 3:12:32 pm</t>
  </si>
  <si>
    <t>23/05/2023, 3:12:33 pm</t>
  </si>
  <si>
    <t>23/05/2023, 3:12:34 pm</t>
  </si>
  <si>
    <t>23/05/2023, 3:12:35 pm</t>
  </si>
  <si>
    <t>23/05/2023, 3:12:36 pm</t>
  </si>
  <si>
    <t>23/05/2023, 3:12:37 pm</t>
  </si>
  <si>
    <t>23/05/2023, 3:12:38 pm</t>
  </si>
  <si>
    <t>23/05/2023, 3:12:39 pm</t>
  </si>
  <si>
    <t>23/05/2023, 3:12:40 pm</t>
  </si>
  <si>
    <t>23/05/2023, 3:12:41 pm</t>
  </si>
  <si>
    <t>23/05/2023, 3:12:42 pm</t>
  </si>
  <si>
    <t>23/05/2023, 3:12:43 pm</t>
  </si>
  <si>
    <t>23/05/2023, 3:12:44 pm</t>
  </si>
  <si>
    <t>23/05/2023, 3:12:45 pm</t>
  </si>
  <si>
    <t>23/05/2023, 3:12:46 pm</t>
  </si>
  <si>
    <t>23/05/2023, 3:12:47 pm</t>
  </si>
  <si>
    <t>23/05/2023, 3:12:48 pm</t>
  </si>
  <si>
    <t>23/05/2023, 3:12:49 pm</t>
  </si>
  <si>
    <t>23/05/2023, 3:12:50 pm</t>
  </si>
  <si>
    <t>23/05/2023, 3:12:51 pm</t>
  </si>
  <si>
    <t>23/05/2023, 3:12:52 pm</t>
  </si>
  <si>
    <t>23/05/2023, 3:12:53 pm</t>
  </si>
  <si>
    <t>23/05/2023, 3:12:54 pm</t>
  </si>
  <si>
    <t>23/05/2023, 3:12:55 pm</t>
  </si>
  <si>
    <t>23/05/2023, 3:12:56 pm</t>
  </si>
  <si>
    <t>23/05/2023, 3:12:57 pm</t>
  </si>
  <si>
    <t>23/05/2023, 3:12:58 pm</t>
  </si>
  <si>
    <t>23/05/2023, 3:12:59 pm</t>
  </si>
  <si>
    <t>23/05/2023, 3:13:00 pm</t>
  </si>
  <si>
    <t>23/05/2023, 3:13:01 pm</t>
  </si>
  <si>
    <t>23/05/2023, 3:13:02 pm</t>
  </si>
  <si>
    <t>23/05/2023, 3:13:03 pm</t>
  </si>
  <si>
    <t>23/05/2023, 3:13:04 pm</t>
  </si>
  <si>
    <t>23/05/2023, 3:13:05 pm</t>
  </si>
  <si>
    <t>23/05/2023, 3:13:06 pm</t>
  </si>
  <si>
    <t>23/05/2023, 3:13:07 pm</t>
  </si>
  <si>
    <t>23/05/2023, 3:13:08 pm</t>
  </si>
  <si>
    <t>23/05/2023, 3:13:09 pm</t>
  </si>
  <si>
    <t>23/05/2023, 3:13:10 pm</t>
  </si>
  <si>
    <t>23/05/2023, 3:13:11 pm</t>
  </si>
  <si>
    <t>23/05/2023, 3:13:12 pm</t>
  </si>
  <si>
    <t>23/05/2023, 3:13:13 pm</t>
  </si>
  <si>
    <t>23/05/2023, 3:13:14 pm</t>
  </si>
  <si>
    <t>23/05/2023, 3:13:15 pm</t>
  </si>
  <si>
    <t>23/05/2023, 3:13:16 pm</t>
  </si>
  <si>
    <t>23/05/2023, 3:13:17 pm</t>
  </si>
  <si>
    <t>23/05/2023, 3:13:18 pm</t>
  </si>
  <si>
    <t>23/05/2023, 3:13:19 pm</t>
  </si>
  <si>
    <t>23/05/2023, 3:13:20 pm</t>
  </si>
  <si>
    <t>23/05/2023, 3:13:21 pm</t>
  </si>
  <si>
    <t>23/05/2023, 3:13:22 pm</t>
  </si>
  <si>
    <t>23/05/2023, 3:13:23 pm</t>
  </si>
  <si>
    <t>23/05/2023, 3:13:24 pm</t>
  </si>
  <si>
    <t>23/05/2023, 3:13:25 pm</t>
  </si>
  <si>
    <t>23/05/2023, 3:13:26 pm</t>
  </si>
  <si>
    <t>23/05/2023, 3:13:27 pm</t>
  </si>
  <si>
    <t>23/05/2023, 3:13:28 pm</t>
  </si>
  <si>
    <t>23/05/2023, 3:13:29 pm</t>
  </si>
  <si>
    <t>23/05/2023, 3:13:30 pm</t>
  </si>
  <si>
    <t>23/05/2023, 3:13:31 pm</t>
  </si>
  <si>
    <t>23/05/2023, 3:13:32 pm</t>
  </si>
  <si>
    <t>23/05/2023, 3:13:33 pm</t>
  </si>
  <si>
    <t>23/05/2023, 3:13:34 pm</t>
  </si>
  <si>
    <t>23/05/2023, 3:13:35 pm</t>
  </si>
  <si>
    <t>23/05/2023, 3:13:36 pm</t>
  </si>
  <si>
    <t>23/05/2023, 3:13:37 pm</t>
  </si>
  <si>
    <t>23/05/2023, 3:13:38 pm</t>
  </si>
  <si>
    <t>23/05/2023, 3:13:39 pm</t>
  </si>
  <si>
    <t>23/05/2023, 3:13:40 pm</t>
  </si>
  <si>
    <t>23/05/2023, 3:13:41 pm</t>
  </si>
  <si>
    <t>23/05/2023, 3:13:42 pm</t>
  </si>
  <si>
    <t>23/05/2023, 3:13:43 pm</t>
  </si>
  <si>
    <t>23/05/2023, 3:13:44 pm</t>
  </si>
  <si>
    <t>23/05/2023, 3:13:45 pm</t>
  </si>
  <si>
    <t>23/05/2023, 3:13:46 pm</t>
  </si>
  <si>
    <t>23/05/2023, 3:13:47 pm</t>
  </si>
  <si>
    <t>23/05/2023, 3:13:48 pm</t>
  </si>
  <si>
    <t>23/05/2023, 3:13:49 pm</t>
  </si>
  <si>
    <t>23/05/2023, 3:13:50 pm</t>
  </si>
  <si>
    <t>23/05/2023, 3:13:51 pm</t>
  </si>
  <si>
    <t>23/05/2023, 3:13:52 pm</t>
  </si>
  <si>
    <t>23/05/2023, 3:13:53 pm</t>
  </si>
  <si>
    <t>23/05/2023, 3:13:54 pm</t>
  </si>
  <si>
    <t>23/05/2023, 3:13:56 pm</t>
  </si>
  <si>
    <t>23/05/2023, 3:13:57 pm</t>
  </si>
  <si>
    <t>23/05/2023, 3:13:58 pm</t>
  </si>
  <si>
    <t>23/05/2023, 3:13:59 pm</t>
  </si>
  <si>
    <t>23/05/2023, 3:14:00 pm</t>
  </si>
  <si>
    <t>23/05/2023, 3:14:01 pm</t>
  </si>
  <si>
    <t>23/05/2023, 3:14:02 pm</t>
  </si>
  <si>
    <t>23/05/2023, 3:14:03 pm</t>
  </si>
  <si>
    <t>23/05/2023, 3:14:04 pm</t>
  </si>
  <si>
    <t>23/05/2023, 3:14:05 pm</t>
  </si>
  <si>
    <t>23/05/2023, 3:14:06 pm</t>
  </si>
  <si>
    <t>23/05/2023, 3:14:07 pm</t>
  </si>
  <si>
    <t>23/05/2023, 3:14:08 pm</t>
  </si>
  <si>
    <t>23/05/2023, 3:14:09 pm</t>
  </si>
  <si>
    <t>23/05/2023, 3:14:10 pm</t>
  </si>
  <si>
    <t>23/05/2023, 3:14:11 pm</t>
  </si>
  <si>
    <t>23/05/2023, 3:14:12 pm</t>
  </si>
  <si>
    <t>23/05/2023, 3:14:13 pm</t>
  </si>
  <si>
    <t>23/05/2023, 3:14:14 pm</t>
  </si>
  <si>
    <t>23/05/2023, 3:14:15 pm</t>
  </si>
  <si>
    <t>23/05/2023, 3:14:16 pm</t>
  </si>
  <si>
    <t>23/05/2023, 3:14:17 pm</t>
  </si>
  <si>
    <t>23/05/2023, 3:14:18 pm</t>
  </si>
  <si>
    <t>23/05/2023, 3:14:19 pm</t>
  </si>
  <si>
    <t>23/05/2023, 3:14:20 pm</t>
  </si>
  <si>
    <t>23/05/2023, 3:14:21 pm</t>
  </si>
  <si>
    <t>23/05/2023, 3:14:22 pm</t>
  </si>
  <si>
    <t>23/05/2023, 3:14:23 pm</t>
  </si>
  <si>
    <t>23/05/2023, 3:14:24 pm</t>
  </si>
  <si>
    <t>23/05/2023, 3:14:25 pm</t>
  </si>
  <si>
    <t>23/05/2023, 3:14:26 pm</t>
  </si>
  <si>
    <t>23/05/2023, 3:14:27 pm</t>
  </si>
  <si>
    <t>23/05/2023, 3:14:28 pm</t>
  </si>
  <si>
    <t>23/05/2023, 3:14:29 pm</t>
  </si>
  <si>
    <t>23/05/2023, 3:14:30 pm</t>
  </si>
  <si>
    <t>23/05/2023, 3:14:31 pm</t>
  </si>
  <si>
    <t>23/05/2023, 3:14:32 pm</t>
  </si>
  <si>
    <t>23/05/2023, 3:14:33 pm</t>
  </si>
  <si>
    <t>23/05/2023, 3:14:34 pm</t>
  </si>
  <si>
    <t>23/05/2023, 3:14:35 pm</t>
  </si>
  <si>
    <t>23/05/2023, 3:14:36 pm</t>
  </si>
  <si>
    <t>23/05/2023, 3:14:37 pm</t>
  </si>
  <si>
    <t>23/05/2023, 3:14:38 pm</t>
  </si>
  <si>
    <t>23/05/2023, 3:14:39 pm</t>
  </si>
  <si>
    <t>23/05/2023, 3:14:40 pm</t>
  </si>
  <si>
    <t>23/05/2023, 3:14:41 pm</t>
  </si>
  <si>
    <t>23/05/2023, 3:14:42 pm</t>
  </si>
  <si>
    <t>23/05/2023, 3:14:43 pm</t>
  </si>
  <si>
    <t>23/05/2023, 3:14:44 pm</t>
  </si>
  <si>
    <t>23/05/2023, 3:14:45 pm</t>
  </si>
  <si>
    <t>23/05/2023, 3:14:46 pm</t>
  </si>
  <si>
    <t>23/05/2023, 3:14:47 pm</t>
  </si>
  <si>
    <t>23/05/2023, 3:14:48 pm</t>
  </si>
  <si>
    <t>23/05/2023, 3:14:49 pm</t>
  </si>
  <si>
    <t>23/05/2023, 3:14:50 pm</t>
  </si>
  <si>
    <t>23/05/2023, 3:14:51 pm</t>
  </si>
  <si>
    <t>23/05/2023, 3:14:52 pm</t>
  </si>
  <si>
    <t>23/05/2023, 3:14:53 pm</t>
  </si>
  <si>
    <t>23/05/2023, 3:14:54 pm</t>
  </si>
  <si>
    <t>23/05/2023, 3:14:55 pm</t>
  </si>
  <si>
    <t>23/05/2023, 3:14:56 pm</t>
  </si>
  <si>
    <t>23/05/2023, 3:14:57 pm</t>
  </si>
  <si>
    <t>23/05/2023, 3:14:58 pm</t>
  </si>
  <si>
    <t>23/05/2023, 3:14:59 pm</t>
  </si>
  <si>
    <t>23/05/2023, 3:15:00 pm</t>
  </si>
  <si>
    <t>23/05/2023, 3:15:01 pm</t>
  </si>
  <si>
    <t>23/05/2023, 3:15:02 pm</t>
  </si>
  <si>
    <t>23/05/2023, 3:15:03 pm</t>
  </si>
  <si>
    <t>23/05/2023, 3:15:04 pm</t>
  </si>
  <si>
    <t>23/05/2023, 3:15:05 pm</t>
  </si>
  <si>
    <t>23/05/2023, 3:15:06 pm</t>
  </si>
  <si>
    <t>23/05/2023, 3:15:07 pm</t>
  </si>
  <si>
    <t>23/05/2023, 3:15:08 pm</t>
  </si>
  <si>
    <t>23/05/2023, 3:15:09 pm</t>
  </si>
  <si>
    <t>23/05/2023, 3:15:10 pm</t>
  </si>
  <si>
    <t>23/05/2023, 3:15:11 pm</t>
  </si>
  <si>
    <t>23/05/2023, 3:15:12 pm</t>
  </si>
  <si>
    <t>23/05/2023, 3:15:13 pm</t>
  </si>
  <si>
    <t>23/05/2023, 3:15:14 pm</t>
  </si>
  <si>
    <t>23/05/2023, 3:15:15 pm</t>
  </si>
  <si>
    <t>23/05/2023, 3:15:16 pm</t>
  </si>
  <si>
    <t>23/05/2023, 3:15:17 pm</t>
  </si>
  <si>
    <t>23/05/2023, 3:15:18 pm</t>
  </si>
  <si>
    <t>23/05/2023, 3:15:19 pm</t>
  </si>
  <si>
    <t>23/05/2023, 3:15:20 pm</t>
  </si>
  <si>
    <t>23/05/2023, 3:15:21 pm</t>
  </si>
  <si>
    <t>23/05/2023, 3:15:22 pm</t>
  </si>
  <si>
    <t>23/05/2023, 3:15:23 pm</t>
  </si>
  <si>
    <t>23/05/2023, 3:15:24 pm</t>
  </si>
  <si>
    <t>23/05/2023, 3:15:25 pm</t>
  </si>
  <si>
    <t>23/05/2023, 3:15:26 pm</t>
  </si>
  <si>
    <t>23/05/2023, 3:15:27 pm</t>
  </si>
  <si>
    <t>23/05/2023, 3:15:28 pm</t>
  </si>
  <si>
    <t>23/05/2023, 3:15:29 pm</t>
  </si>
  <si>
    <t>23/05/2023, 3:15:30 pm</t>
  </si>
  <si>
    <t>23/05/2023, 3:15:31 pm</t>
  </si>
  <si>
    <t>23/05/2023, 3:15:32 pm</t>
  </si>
  <si>
    <t>23/05/2023, 3:15:33 pm</t>
  </si>
  <si>
    <t>23/05/2023, 3:15:34 pm</t>
  </si>
  <si>
    <t>23/05/2023, 3:15:35 pm</t>
  </si>
  <si>
    <t>23/05/2023, 3:15:36 pm</t>
  </si>
  <si>
    <t>23/05/2023, 3:15:37 pm</t>
  </si>
  <si>
    <t>23/05/2023, 3:15:38 pm</t>
  </si>
  <si>
    <t>23/05/2023, 3:15:39 pm</t>
  </si>
  <si>
    <t>23/05/2023, 3:15:40 pm</t>
  </si>
  <si>
    <t>23/05/2023, 3:15:41 pm</t>
  </si>
  <si>
    <t>23/05/2023, 3:15:42 pm</t>
  </si>
  <si>
    <t>23/05/2023, 3:15:43 pm</t>
  </si>
  <si>
    <t>23/05/2023, 3:15:44 pm</t>
  </si>
  <si>
    <t>23/05/2023, 3:15:45 pm</t>
  </si>
  <si>
    <t>23/05/2023, 3:15:46 pm</t>
  </si>
  <si>
    <t>23/05/2023, 3:15:47 pm</t>
  </si>
  <si>
    <t>23/05/2023, 3:15:48 pm</t>
  </si>
  <si>
    <t>23/05/2023, 3:15:49 pm</t>
  </si>
  <si>
    <t>23/05/2023, 3:15:50 pm</t>
  </si>
  <si>
    <t>23/05/2023, 3:15:51 pm</t>
  </si>
  <si>
    <t>23/05/2023, 3:15:52 pm</t>
  </si>
  <si>
    <t>23/05/2023, 3:15:53 pm</t>
  </si>
  <si>
    <t>23/05/2023, 3:15:54 pm</t>
  </si>
  <si>
    <t>23/05/2023, 3:15:55 pm</t>
  </si>
  <si>
    <t>23/05/2023, 3:15:56 pm</t>
  </si>
  <si>
    <t>23/05/2023, 3:15:57 pm</t>
  </si>
  <si>
    <t>23/05/2023, 3:15:58 pm</t>
  </si>
  <si>
    <t>23/05/2023, 3:15:59 pm</t>
  </si>
  <si>
    <t>23/05/2023, 3:16:00 pm</t>
  </si>
  <si>
    <t>23/05/2023, 3:16:01 pm</t>
  </si>
  <si>
    <t>23/05/2023, 3:16:02 pm</t>
  </si>
  <si>
    <t>23/05/2023, 3:16:03 pm</t>
  </si>
  <si>
    <t>23/05/2023, 3:16:04 pm</t>
  </si>
  <si>
    <t>23/05/2023, 3:16:05 pm</t>
  </si>
  <si>
    <t>23/05/2023, 3:16:06 pm</t>
  </si>
  <si>
    <t>23/05/2023, 3:16:07 pm</t>
  </si>
  <si>
    <t>23/05/2023, 3:16:08 pm</t>
  </si>
  <si>
    <t>23/05/2023, 3:16:10 pm</t>
  </si>
  <si>
    <t>23/05/2023, 3:16:11 pm</t>
  </si>
  <si>
    <t>23/05/2023, 3:16:12 pm</t>
  </si>
  <si>
    <t>23/05/2023, 3:16:13 pm</t>
  </si>
  <si>
    <t>23/05/2023, 3:16:14 pm</t>
  </si>
  <si>
    <t>23/05/2023, 3:16:15 pm</t>
  </si>
  <si>
    <t>23/05/2023, 3:16:16 pm</t>
  </si>
  <si>
    <t>23/05/2023, 3:16:17 pm</t>
  </si>
  <si>
    <t>23/05/2023, 3:16:18 pm</t>
  </si>
  <si>
    <t>23/05/2023, 3:16:19 pm</t>
  </si>
  <si>
    <t>23/05/2023, 3:16:20 pm</t>
  </si>
  <si>
    <t>23/05/2023, 3:16:21 pm</t>
  </si>
  <si>
    <t>23/05/2023, 3:16:22 pm</t>
  </si>
  <si>
    <t>23/05/2023, 3:16:23 pm</t>
  </si>
  <si>
    <t>23/05/2023, 3:16:24 pm</t>
  </si>
  <si>
    <t>23/05/2023, 3:16:25 pm</t>
  </si>
  <si>
    <t>23/05/2023, 3:16:26 pm</t>
  </si>
  <si>
    <t>23/05/2023, 3:16:27 pm</t>
  </si>
  <si>
    <t>23/05/2023, 3:16:28 pm</t>
  </si>
  <si>
    <t>23/05/2023, 3:16:29 pm</t>
  </si>
  <si>
    <t>23/05/2023, 3:16:30 pm</t>
  </si>
  <si>
    <t>23/05/2023, 3:16:31 pm</t>
  </si>
  <si>
    <t>23/05/2023, 3:16:32 pm</t>
  </si>
  <si>
    <t>23/05/2023, 3:16:33 pm</t>
  </si>
  <si>
    <t>23/05/2023, 3:16:34 pm</t>
  </si>
  <si>
    <t>23/05/2023, 3:16:35 pm</t>
  </si>
  <si>
    <t>23/05/2023, 3:16:36 pm</t>
  </si>
  <si>
    <t>23/05/2023, 3:16:37 pm</t>
  </si>
  <si>
    <t>23/05/2023, 3:16:38 pm</t>
  </si>
  <si>
    <t>23/05/2023, 3:16:39 pm</t>
  </si>
  <si>
    <t>23/05/2023, 3:16:40 pm</t>
  </si>
  <si>
    <t>23/05/2023, 3:16:41 pm</t>
  </si>
  <si>
    <t>23/05/2023, 3:16:42 pm</t>
  </si>
  <si>
    <t>23/05/2023, 3:16:43 pm</t>
  </si>
  <si>
    <t>23/05/2023, 3:16:44 pm</t>
  </si>
  <si>
    <t>23/05/2023, 3:16:45 pm</t>
  </si>
  <si>
    <t>23/05/2023, 3:16:46 pm</t>
  </si>
  <si>
    <t>23/05/2023, 3:16:47 pm</t>
  </si>
  <si>
    <t>23/05/2023, 3:16:48 pm</t>
  </si>
  <si>
    <t>23/05/2023, 3:16:49 pm</t>
  </si>
  <si>
    <t>23/05/2023, 3:16:50 pm</t>
  </si>
  <si>
    <t>23/05/2023, 3:16:51 pm</t>
  </si>
  <si>
    <t>23/05/2023, 3:16:52 pm</t>
  </si>
  <si>
    <t>23/05/2023, 3:16:53 pm</t>
  </si>
  <si>
    <t>23/05/2023, 3:16:54 pm</t>
  </si>
  <si>
    <t>23/05/2023, 3:16:55 pm</t>
  </si>
  <si>
    <t>23/05/2023, 3:16:56 pm</t>
  </si>
  <si>
    <t>23/05/2023, 3:16:57 pm</t>
  </si>
  <si>
    <t>23/05/2023, 3:16:58 pm</t>
  </si>
  <si>
    <t>23/05/2023, 3:16:59 pm</t>
  </si>
  <si>
    <t>23/05/2023, 3:17:00 pm</t>
  </si>
  <si>
    <t>23/05/2023, 3:17:01 pm</t>
  </si>
  <si>
    <t>23/05/2023, 3:17:02 pm</t>
  </si>
  <si>
    <t>23/05/2023, 3:17:03 pm</t>
  </si>
  <si>
    <t>23/05/2023, 3:17:04 pm</t>
  </si>
  <si>
    <t>23/05/2023, 3:17:05 pm</t>
  </si>
  <si>
    <t>23/05/2023, 3:17:06 pm</t>
  </si>
  <si>
    <t>23/05/2023, 3:17:07 pm</t>
  </si>
  <si>
    <t>23/05/2023, 3:17:08 pm</t>
  </si>
  <si>
    <t>23/05/2023, 3:17:09 pm</t>
  </si>
  <si>
    <t>23/05/2023, 3:17:10 pm</t>
  </si>
  <si>
    <t>23/05/2023, 3:17:11 pm</t>
  </si>
  <si>
    <t>23/05/2023, 3:17:12 pm</t>
  </si>
  <si>
    <t>23/05/2023, 3:17:13 pm</t>
  </si>
  <si>
    <t>23/05/2023, 3:17:14 pm</t>
  </si>
  <si>
    <t>23/05/2023, 3:17:15 pm</t>
  </si>
  <si>
    <t>23/05/2023, 3:17:16 pm</t>
  </si>
  <si>
    <t>23/05/2023, 3:17:17 pm</t>
  </si>
  <si>
    <t>23/05/2023, 3:17:18 pm</t>
  </si>
  <si>
    <t>23/05/2023, 3:17:19 pm</t>
  </si>
  <si>
    <t>23/05/2023, 3:17:20 pm</t>
  </si>
  <si>
    <t>23/05/2023, 3:17:21 pm</t>
  </si>
  <si>
    <t>23/05/2023, 3:17:22 pm</t>
  </si>
  <si>
    <t>23/05/2023, 3:17:23 pm</t>
  </si>
  <si>
    <t>23/05/2023, 3:17:24 pm</t>
  </si>
  <si>
    <t>23/05/2023, 3:17:25 pm</t>
  </si>
  <si>
    <t>23/05/2023, 3:17:26 pm</t>
  </si>
  <si>
    <t>23/05/2023, 3:17:27 pm</t>
  </si>
  <si>
    <t>23/05/2023, 3:17:28 pm</t>
  </si>
  <si>
    <t>23/05/2023, 3:17:29 pm</t>
  </si>
  <si>
    <t>23/05/2023, 3:17:30 pm</t>
  </si>
  <si>
    <t>23/05/2023, 3:17:31 pm</t>
  </si>
  <si>
    <t>23/05/2023, 3:17:32 pm</t>
  </si>
  <si>
    <t>23/05/2023, 3:17:33 pm</t>
  </si>
  <si>
    <t>23/05/2023, 3:17:34 pm</t>
  </si>
  <si>
    <t>23/05/2023, 3:17:35 pm</t>
  </si>
  <si>
    <t>23/05/2023, 3:17:36 pm</t>
  </si>
  <si>
    <t>23/05/2023, 3:17:37 pm</t>
  </si>
  <si>
    <t>23/05/2023, 3:17:38 pm</t>
  </si>
  <si>
    <t>23/05/2023, 3:17:39 pm</t>
  </si>
  <si>
    <t>23/05/2023, 3:17:40 pm</t>
  </si>
  <si>
    <t>23/05/2023, 3:17:41 pm</t>
  </si>
  <si>
    <t>23/05/2023, 3:17:42 pm</t>
  </si>
  <si>
    <t>23/05/2023, 3:17:43 pm</t>
  </si>
  <si>
    <t>23/05/2023, 3:17:44 pm</t>
  </si>
  <si>
    <t>23/05/2023, 3:17:45 pm</t>
  </si>
  <si>
    <t>23/05/2023, 3:17:46 pm</t>
  </si>
  <si>
    <t>23/05/2023, 3:17:47 pm</t>
  </si>
  <si>
    <t>23/05/2023, 3:17:48 pm</t>
  </si>
  <si>
    <t>23/05/2023, 3:17:49 pm</t>
  </si>
  <si>
    <t>23/05/2023, 3:17:50 pm</t>
  </si>
  <si>
    <t>23/05/2023, 3:17:51 pm</t>
  </si>
  <si>
    <t>23/05/2023, 3:17:52 pm</t>
  </si>
  <si>
    <t>23/05/2023, 3:17:53 pm</t>
  </si>
  <si>
    <t>23/05/2023, 3:17:54 pm</t>
  </si>
  <si>
    <t>23/05/2023, 3:17:55 pm</t>
  </si>
  <si>
    <t>23/05/2023, 3:17:56 pm</t>
  </si>
  <si>
    <t>23/05/2023, 3:17:57 pm</t>
  </si>
  <si>
    <t>23/05/2023, 3:17:58 pm</t>
  </si>
  <si>
    <t>23/05/2023, 3:17:59 pm</t>
  </si>
  <si>
    <t>23/05/2023, 3:18:00 pm</t>
  </si>
  <si>
    <t>23/05/2023, 3:18:01 pm</t>
  </si>
  <si>
    <t>23/05/2023, 3:18:02 pm</t>
  </si>
  <si>
    <t>23/05/2023, 3:18:03 pm</t>
  </si>
  <si>
    <t>23/05/2023, 3:18:04 pm</t>
  </si>
  <si>
    <t>23/05/2023, 3:18:05 pm</t>
  </si>
  <si>
    <t>23/05/2023, 3:18:06 pm</t>
  </si>
  <si>
    <t>23/05/2023, 3:18:07 pm</t>
  </si>
  <si>
    <t>23/05/2023, 3:18:08 pm</t>
  </si>
  <si>
    <t>23/05/2023, 3:18:09 pm</t>
  </si>
  <si>
    <t>23/05/2023, 3:18:10 pm</t>
  </si>
  <si>
    <t>23/05/2023, 3:18:11 pm</t>
  </si>
  <si>
    <t>23/05/2023, 3:18:12 pm</t>
  </si>
  <si>
    <t>23/05/2023, 3:18:13 pm</t>
  </si>
  <si>
    <t>23/05/2023, 3:18:14 pm</t>
  </si>
  <si>
    <t>23/05/2023, 3:18:15 pm</t>
  </si>
  <si>
    <t>23/05/2023, 3:18:16 pm</t>
  </si>
  <si>
    <t>23/05/2023, 3:18:17 pm</t>
  </si>
  <si>
    <t>23/05/2023, 3:18:18 pm</t>
  </si>
  <si>
    <t>23/05/2023, 3:18:19 pm</t>
  </si>
  <si>
    <t>23/05/2023, 3:18:20 pm</t>
  </si>
  <si>
    <t>23/05/2023, 3:18:21 pm</t>
  </si>
  <si>
    <t>23/05/2023, 3:18:22 pm</t>
  </si>
  <si>
    <t>23/05/2023, 3:18:23 pm</t>
  </si>
  <si>
    <t>23/05/2023, 3:18:24 pm</t>
  </si>
  <si>
    <t>23/05/2023, 3:18:25 pm</t>
  </si>
  <si>
    <t>23/05/2023, 3:18:26 pm</t>
  </si>
  <si>
    <t>23/05/2023, 3:18:27 pm</t>
  </si>
  <si>
    <t>23/05/2023, 3:18:28 pm</t>
  </si>
  <si>
    <t>23/05/2023, 3:18:29 pm</t>
  </si>
  <si>
    <t>23/05/2023, 3:18:30 pm</t>
  </si>
  <si>
    <t>23/05/2023, 3:18:31 pm</t>
  </si>
  <si>
    <t>23/05/2023, 3:18:32 pm</t>
  </si>
  <si>
    <t>23/05/2023, 3:18:34 pm</t>
  </si>
  <si>
    <t>23/05/2023, 3:18:35 pm</t>
  </si>
  <si>
    <t>23/05/2023, 3:18:36 pm</t>
  </si>
  <si>
    <t>23/05/2023, 3:18:37 pm</t>
  </si>
  <si>
    <t>23/05/2023, 3:18:38 pm</t>
  </si>
  <si>
    <t>23/05/2023, 3:18:39 pm</t>
  </si>
  <si>
    <t>23/05/2023, 3:18:40 pm</t>
  </si>
  <si>
    <t>23/05/2023, 3:18:41 pm</t>
  </si>
  <si>
    <t>23/05/2023, 3:18:42 pm</t>
  </si>
  <si>
    <t>23/05/2023, 3:18:43 pm</t>
  </si>
  <si>
    <t>23/05/2023, 3:18:44 pm</t>
  </si>
  <si>
    <t>23/05/2023, 3:18:45 pm</t>
  </si>
  <si>
    <t>23/05/2023, 3:18:46 pm</t>
  </si>
  <si>
    <t>23/05/2023, 3:18:47 pm</t>
  </si>
  <si>
    <t>23/05/2023, 3:18:48 pm</t>
  </si>
  <si>
    <t>23/05/2023, 3:18:49 pm</t>
  </si>
  <si>
    <t>23/05/2023, 3:18:50 pm</t>
  </si>
  <si>
    <t>23/05/2023, 3:18:51 pm</t>
  </si>
  <si>
    <t>23/05/2023, 3:18:52 pm</t>
  </si>
  <si>
    <t>23/05/2023, 3:18:53 pm</t>
  </si>
  <si>
    <t>23/05/2023, 3:18:54 pm</t>
  </si>
  <si>
    <t>23/05/2023, 3:18:55 pm</t>
  </si>
  <si>
    <t>23/05/2023, 3:18:56 pm</t>
  </si>
  <si>
    <t>23/05/2023, 3:18:57 pm</t>
  </si>
  <si>
    <t>23/05/2023, 3:18:58 pm</t>
  </si>
  <si>
    <t>23/05/2023, 3:18:59 pm</t>
  </si>
  <si>
    <t>23/05/2023, 3:19:00 pm</t>
  </si>
  <si>
    <t>23/05/2023, 3:19:01 pm</t>
  </si>
  <si>
    <t>23/05/2023, 3:19:02 pm</t>
  </si>
  <si>
    <t>23/05/2023, 3:19:03 pm</t>
  </si>
  <si>
    <t>23/05/2023, 3:19:04 pm</t>
  </si>
  <si>
    <t>23/05/2023, 3:19:05 pm</t>
  </si>
  <si>
    <t>23/05/2023, 3:19:06 pm</t>
  </si>
  <si>
    <t>23/05/2023, 3:19:07 pm</t>
  </si>
  <si>
    <t>23/05/2023, 3:19:08 pm</t>
  </si>
  <si>
    <t>23/05/2023, 3:19:09 pm</t>
  </si>
  <si>
    <t>23/05/2023, 3:19:10 pm</t>
  </si>
  <si>
    <t>23/05/2023, 3:19:11 pm</t>
  </si>
  <si>
    <t>23/05/2023, 3:19:12 pm</t>
  </si>
  <si>
    <t>23/05/2023, 3:19:13 pm</t>
  </si>
  <si>
    <t>23/05/2023, 3:19:14 pm</t>
  </si>
  <si>
    <t>23/05/2023, 3:19:15 pm</t>
  </si>
  <si>
    <t>23/05/2023, 3:19:16 pm</t>
  </si>
  <si>
    <t>23/05/2023, 3:19:17 pm</t>
  </si>
  <si>
    <t>23/05/2023, 3:19:18 pm</t>
  </si>
  <si>
    <t>23/05/2023, 3:19:19 pm</t>
  </si>
  <si>
    <t>23/05/2023, 3:19:20 pm</t>
  </si>
  <si>
    <t>23/05/2023, 3:19:21 pm</t>
  </si>
  <si>
    <t>23/05/2023, 3:19:22 pm</t>
  </si>
  <si>
    <t>23/05/2023, 3:19:23 pm</t>
  </si>
  <si>
    <t>23/05/2023, 3:19:24 pm</t>
  </si>
  <si>
    <t>23/05/2023, 3:19:25 pm</t>
  </si>
  <si>
    <t>23/05/2023, 3:19:26 pm</t>
  </si>
  <si>
    <t>23/05/2023, 3:19:27 pm</t>
  </si>
  <si>
    <t>23/05/2023, 3:19:28 pm</t>
  </si>
  <si>
    <t>23/05/2023, 3:19:29 pm</t>
  </si>
  <si>
    <t>23/05/2023, 3:19:30 pm</t>
  </si>
  <si>
    <t>23/05/2023, 3:19:31 pm</t>
  </si>
  <si>
    <t>23/05/2023, 3:19:32 pm</t>
  </si>
  <si>
    <t>23/05/2023, 3:19:33 pm</t>
  </si>
  <si>
    <t>23/05/2023, 3:19:34 pm</t>
  </si>
  <si>
    <t>23/05/2023, 3:19:35 pm</t>
  </si>
  <si>
    <t>23/05/2023, 3:19:36 pm</t>
  </si>
  <si>
    <t>23/05/2023, 3:19:37 pm</t>
  </si>
  <si>
    <t>23/05/2023, 3:19:38 pm</t>
  </si>
  <si>
    <t>23/05/2023, 3:19:39 pm</t>
  </si>
  <si>
    <t>23/05/2023, 3:19:40 pm</t>
  </si>
  <si>
    <t>23/05/2023, 3:19:41 pm</t>
  </si>
  <si>
    <t>23/05/2023, 3:19:42 pm</t>
  </si>
  <si>
    <t>23/05/2023, 3:19:43 pm</t>
  </si>
  <si>
    <t>23/05/2023, 3:19:44 pm</t>
  </si>
  <si>
    <t>23/05/2023, 3:19:45 pm</t>
  </si>
  <si>
    <t>23/05/2023, 3:19:46 pm</t>
  </si>
  <si>
    <t>23/05/2023, 3:19:47 pm</t>
  </si>
  <si>
    <t>23/05/2023, 3:19:48 pm</t>
  </si>
  <si>
    <t>23/05/2023, 3:19:49 pm</t>
  </si>
  <si>
    <t>23/05/2023, 3:19:50 pm</t>
  </si>
  <si>
    <t>23/05/2023, 3:19:51 pm</t>
  </si>
  <si>
    <t>23/05/2023, 3:19:52 pm</t>
  </si>
  <si>
    <t>23/05/2023, 3:19:53 pm</t>
  </si>
  <si>
    <t>23/05/2023, 3:19:54 pm</t>
  </si>
  <si>
    <t>23/05/2023, 3:19:55 pm</t>
  </si>
  <si>
    <t>23/05/2023, 3:19:56 pm</t>
  </si>
  <si>
    <t>23/05/2023, 3:19:57 pm</t>
  </si>
  <si>
    <t>23/05/2023, 3:19:58 pm</t>
  </si>
  <si>
    <t>23/05/2023, 3:19:59 pm</t>
  </si>
  <si>
    <t>23/05/2023, 3:20:00 pm</t>
  </si>
  <si>
    <t>23/05/2023, 3:20:01 pm</t>
  </si>
  <si>
    <t>23/05/2023, 3:20:02 pm</t>
  </si>
  <si>
    <t>23/05/2023, 3:20:03 pm</t>
  </si>
  <si>
    <t>23/05/2023, 3:20:04 pm</t>
  </si>
  <si>
    <t>23/05/2023, 3:20:05 pm</t>
  </si>
  <si>
    <t>23/05/2023, 3:20:06 pm</t>
  </si>
  <si>
    <t>23/05/2023, 3:20:07 pm</t>
  </si>
  <si>
    <t>23/05/2023, 3:20:08 pm</t>
  </si>
  <si>
    <t>23/05/2023, 3:20:09 pm</t>
  </si>
  <si>
    <t>23/05/2023, 3:20:10 pm</t>
  </si>
  <si>
    <t>23/05/2023, 3:20:11 pm</t>
  </si>
  <si>
    <t>23/05/2023, 3:20:12 pm</t>
  </si>
  <si>
    <t>23/05/2023, 3:20:13 pm</t>
  </si>
  <si>
    <t>23/05/2023, 3:20:14 pm</t>
  </si>
  <si>
    <t>23/05/2023, 3:20:15 pm</t>
  </si>
  <si>
    <t>23/05/2023, 3:20:16 pm</t>
  </si>
  <si>
    <t>23/05/2023, 3:20:17 pm</t>
  </si>
  <si>
    <t>23/05/2023, 3:20:18 pm</t>
  </si>
  <si>
    <t>23/05/2023, 3:20:19 pm</t>
  </si>
  <si>
    <t>23/05/2023, 3:20:20 pm</t>
  </si>
  <si>
    <t>23/05/2023, 3:20:21 pm</t>
  </si>
  <si>
    <t>23/05/2023, 3:20:22 pm</t>
  </si>
  <si>
    <t>23/05/2023, 3:20:23 pm</t>
  </si>
  <si>
    <t>23/05/2023, 3:20:24 pm</t>
  </si>
  <si>
    <t>23/05/2023, 3:20:25 pm</t>
  </si>
  <si>
    <t>23/05/2023, 3:20:26 pm</t>
  </si>
  <si>
    <t>23/05/2023, 3:20:27 pm</t>
  </si>
  <si>
    <t>23/05/2023, 3:20:28 pm</t>
  </si>
  <si>
    <t>23/05/2023, 3:20:29 pm</t>
  </si>
  <si>
    <t>23/05/2023, 3:20:30 pm</t>
  </si>
  <si>
    <t>23/05/2023, 3:20:31 pm</t>
  </si>
  <si>
    <t>23/05/2023, 3:20:32 pm</t>
  </si>
  <si>
    <t>23/05/2023, 3:20:33 pm</t>
  </si>
  <si>
    <t>23/05/2023, 3:20:34 pm</t>
  </si>
  <si>
    <t>23/05/2023, 3:20:35 pm</t>
  </si>
  <si>
    <t>23/05/2023, 3:20:36 pm</t>
  </si>
  <si>
    <t>23/05/2023, 3:20:37 pm</t>
  </si>
  <si>
    <t>23/05/2023, 3:20:38 pm</t>
  </si>
  <si>
    <t>23/05/2023, 3:20:39 pm</t>
  </si>
  <si>
    <t>23/05/2023, 3:20:41 pm</t>
  </si>
  <si>
    <t>23/05/2023, 3:20:42 pm</t>
  </si>
  <si>
    <t>23/05/2023, 3:20:43 pm</t>
  </si>
  <si>
    <t>23/05/2023, 3:20:44 pm</t>
  </si>
  <si>
    <t>23/05/2023, 3:20:45 pm</t>
  </si>
  <si>
    <t>23/05/2023, 3:20:46 pm</t>
  </si>
  <si>
    <t>23/05/2023, 3:20:47 pm</t>
  </si>
  <si>
    <t>23/05/2023, 3:20:48 pm</t>
  </si>
  <si>
    <t>23/05/2023, 3:20:49 pm</t>
  </si>
  <si>
    <t>23/05/2023, 3:20:50 pm</t>
  </si>
  <si>
    <t>23/05/2023, 3:20:51 pm</t>
  </si>
  <si>
    <t>23/05/2023, 3:20:52 pm</t>
  </si>
  <si>
    <t>23/05/2023, 3:20:53 pm</t>
  </si>
  <si>
    <t>23/05/2023, 3:20:54 pm</t>
  </si>
  <si>
    <t>23/05/2023, 3:20:55 pm</t>
  </si>
  <si>
    <t>23/05/2023, 3:20:56 pm</t>
  </si>
  <si>
    <t>23/05/2023, 3:20:57 pm</t>
  </si>
  <si>
    <t>23/05/2023, 3:20:58 pm</t>
  </si>
  <si>
    <t>23/05/2023, 3:20:59 pm</t>
  </si>
  <si>
    <t>23/05/2023, 3:21:00 pm</t>
  </si>
  <si>
    <t>23/05/2023, 3:21:01 pm</t>
  </si>
  <si>
    <t>23/05/2023, 3:21:02 pm</t>
  </si>
  <si>
    <t>23/05/2023, 3:21:03 pm</t>
  </si>
  <si>
    <t>23/05/2023, 3:21:04 pm</t>
  </si>
  <si>
    <t>23/05/2023, 3:21:05 pm</t>
  </si>
  <si>
    <t>23/05/2023, 3:21:06 pm</t>
  </si>
  <si>
    <t>23/05/2023, 3:21:07 pm</t>
  </si>
  <si>
    <t>23/05/2023, 3:21:08 pm</t>
  </si>
  <si>
    <t>23/05/2023, 3:21:09 pm</t>
  </si>
  <si>
    <t>23/05/2023, 3:21:10 pm</t>
  </si>
  <si>
    <t>23/05/2023, 3:21:11 pm</t>
  </si>
  <si>
    <t>23/05/2023, 3:21:12 pm</t>
  </si>
  <si>
    <t>23/05/2023, 3:21:13 pm</t>
  </si>
  <si>
    <t>23/05/2023, 3:21:14 pm</t>
  </si>
  <si>
    <t>23/05/2023, 3:21:15 pm</t>
  </si>
  <si>
    <t>23/05/2023, 3:21:16 pm</t>
  </si>
  <si>
    <t>23/05/2023, 3:21:17 pm</t>
  </si>
  <si>
    <t>23/05/2023, 3:21:18 pm</t>
  </si>
  <si>
    <t>23/05/2023, 3:21:19 pm</t>
  </si>
  <si>
    <t>23/05/2023, 3:21:20 pm</t>
  </si>
  <si>
    <t>23/05/2023, 3:21:21 pm</t>
  </si>
  <si>
    <t>23/05/2023, 3:21:22 pm</t>
  </si>
  <si>
    <t>23/05/2023, 3:21:23 pm</t>
  </si>
  <si>
    <t>23/05/2023, 3:21:24 pm</t>
  </si>
  <si>
    <t>23/05/2023, 3:21:25 pm</t>
  </si>
  <si>
    <t>23/05/2023, 3:21:26 pm</t>
  </si>
  <si>
    <t>23/05/2023, 3:21:27 pm</t>
  </si>
  <si>
    <t>23/05/2023, 3:21:28 pm</t>
  </si>
  <si>
    <t>23/05/2023, 3:21:29 pm</t>
  </si>
  <si>
    <t>23/05/2023, 3:21:30 pm</t>
  </si>
  <si>
    <t>23/05/2023, 3:21:31 pm</t>
  </si>
  <si>
    <t>23/05/2023, 3:21:32 pm</t>
  </si>
  <si>
    <t>23/05/2023, 3:21:33 pm</t>
  </si>
  <si>
    <t>23/05/2023, 3:21:34 pm</t>
  </si>
  <si>
    <t>23/05/2023, 3:21:35 pm</t>
  </si>
  <si>
    <t>23/05/2023, 3:21:36 pm</t>
  </si>
  <si>
    <t>23/05/2023, 3:21:37 pm</t>
  </si>
  <si>
    <t>23/05/2023, 3:21:38 pm</t>
  </si>
  <si>
    <t>23/05/2023, 3:21:39 pm</t>
  </si>
  <si>
    <t>23/05/2023, 3:21:40 pm</t>
  </si>
  <si>
    <t>23/05/2023, 3:21:41 pm</t>
  </si>
  <si>
    <t>23/05/2023, 3:21:42 pm</t>
  </si>
  <si>
    <t>23/05/2023, 3:21:43 pm</t>
  </si>
  <si>
    <t>23/05/2023, 3:21:44 pm</t>
  </si>
  <si>
    <t>23/05/2023, 3:21:45 pm</t>
  </si>
  <si>
    <t>23/05/2023, 3:21:46 pm</t>
  </si>
  <si>
    <t>23/05/2023, 3:21:47 pm</t>
  </si>
  <si>
    <t>23/05/2023, 3:21:48 pm</t>
  </si>
  <si>
    <t>23/05/2023, 3:21:49 pm</t>
  </si>
  <si>
    <t>23/05/2023, 3:21:50 pm</t>
  </si>
  <si>
    <t>23/05/2023, 3:21:51 pm</t>
  </si>
  <si>
    <t>23/05/2023, 3:21:52 pm</t>
  </si>
  <si>
    <t>23/05/2023, 3:21:53 pm</t>
  </si>
  <si>
    <t>23/05/2023, 3:21:54 pm</t>
  </si>
  <si>
    <t>23/05/2023, 3:21:55 pm</t>
  </si>
  <si>
    <t>23/05/2023, 3:21:56 pm</t>
  </si>
  <si>
    <t>23/05/2023, 3:21:57 pm</t>
  </si>
  <si>
    <t>23/05/2023, 3:21:58 pm</t>
  </si>
  <si>
    <t>23/05/2023, 3:21:59 pm</t>
  </si>
  <si>
    <t>23/05/2023, 3:22:00 pm</t>
  </si>
  <si>
    <t>23/05/2023, 3:22:01 pm</t>
  </si>
  <si>
    <t>23/05/2023, 3:22:02 pm</t>
  </si>
  <si>
    <t>23/05/2023, 3:22:03 pm</t>
  </si>
  <si>
    <t>23/05/2023, 3:22:04 pm</t>
  </si>
  <si>
    <t>23/05/2023, 3:22:05 pm</t>
  </si>
  <si>
    <t>23/05/2023, 3:22:06 pm</t>
  </si>
  <si>
    <t>23/05/2023, 3:22:07 pm</t>
  </si>
  <si>
    <t>23/05/2023, 3:22:08 pm</t>
  </si>
  <si>
    <t>23/05/2023, 3:22:09 pm</t>
  </si>
  <si>
    <t>23/05/2023, 3:22:10 pm</t>
  </si>
  <si>
    <t>23/05/2023, 3:22:11 pm</t>
  </si>
  <si>
    <t>23/05/2023, 3:22:12 pm</t>
  </si>
  <si>
    <t>23/05/2023, 3:22:13 pm</t>
  </si>
  <si>
    <t>23/05/2023, 3:22:14 pm</t>
  </si>
  <si>
    <t>23/05/2023, 3:22:15 pm</t>
  </si>
  <si>
    <t>23/05/2023, 3:22:16 pm</t>
  </si>
  <si>
    <t>23/05/2023, 3:22:17 pm</t>
  </si>
  <si>
    <t>23/05/2023, 3:22:18 pm</t>
  </si>
  <si>
    <t>23/05/2023, 3:22:19 pm</t>
  </si>
  <si>
    <t>23/05/2023, 3:22:20 pm</t>
  </si>
  <si>
    <t>23/05/2023, 3:22:21 pm</t>
  </si>
  <si>
    <t>23/05/2023, 3:22:22 pm</t>
  </si>
  <si>
    <t>23/05/2023, 3:22:23 pm</t>
  </si>
  <si>
    <t>23/05/2023, 3:22:24 pm</t>
  </si>
  <si>
    <t>23/05/2023, 3:22:25 pm</t>
  </si>
  <si>
    <t>23/05/2023, 3:22:26 pm</t>
  </si>
  <si>
    <t>23/05/2023, 3:22:27 pm</t>
  </si>
  <si>
    <t>23/05/2023, 3:22:28 pm</t>
  </si>
  <si>
    <t>23/05/2023, 3:22:29 pm</t>
  </si>
  <si>
    <t>23/05/2023, 3:22:30 pm</t>
  </si>
  <si>
    <t>23/05/2023, 3:22:31 pm</t>
  </si>
  <si>
    <t>23/05/2023, 3:22:32 pm</t>
  </si>
  <si>
    <t>23/05/2023, 3:22:33 pm</t>
  </si>
  <si>
    <t>23/05/2023, 3:22:34 pm</t>
  </si>
  <si>
    <t>23/05/2023, 3:22:35 pm</t>
  </si>
  <si>
    <t>23/05/2023, 3:22:36 pm</t>
  </si>
  <si>
    <t>23/05/2023, 3:22:37 pm</t>
  </si>
  <si>
    <t>23/05/2023, 3:22:38 pm</t>
  </si>
  <si>
    <t>23/05/2023, 3:22:39 pm</t>
  </si>
  <si>
    <t>23/05/2023, 3:22:40 pm</t>
  </si>
  <si>
    <t>23/05/2023, 3:22:41 pm</t>
  </si>
  <si>
    <t>23/05/2023, 3:22:43 pm</t>
  </si>
  <si>
    <t>23/05/2023, 3:22:44 pm</t>
  </si>
  <si>
    <t>23/05/2023, 3:22:45 pm</t>
  </si>
  <si>
    <t>23/05/2023, 3:22:46 pm</t>
  </si>
  <si>
    <t>23/05/2023, 3:22:47 pm</t>
  </si>
  <si>
    <t>23/05/2023, 3:22:48 pm</t>
  </si>
  <si>
    <t>23/05/2023, 3:22:49 pm</t>
  </si>
  <si>
    <t>23/05/2023, 3:22:50 pm</t>
  </si>
  <si>
    <t>23/05/2023, 3:22:51 pm</t>
  </si>
  <si>
    <t>23/05/2023, 3:22:52 pm</t>
  </si>
  <si>
    <t>23/05/2023, 3:22:53 pm</t>
  </si>
  <si>
    <t>23/05/2023, 3:22:54 pm</t>
  </si>
  <si>
    <t>23/05/2023, 3:22:55 pm</t>
  </si>
  <si>
    <t>23/05/2023, 3:22:56 pm</t>
  </si>
  <si>
    <t>23/05/2023, 3:22:57 pm</t>
  </si>
  <si>
    <t>23/05/2023, 3:22:58 pm</t>
  </si>
  <si>
    <t>23/05/2023, 3:22:59 pm</t>
  </si>
  <si>
    <t>23/05/2023, 3:23:00 pm</t>
  </si>
  <si>
    <t>23/05/2023, 3:23:01 pm</t>
  </si>
  <si>
    <t>23/05/2023, 3:23:02 pm</t>
  </si>
  <si>
    <t>23/05/2023, 3:23:03 pm</t>
  </si>
  <si>
    <t>23/05/2023, 3:23:04 pm</t>
  </si>
  <si>
    <t>23/05/2023, 3:23:05 pm</t>
  </si>
  <si>
    <t>23/05/2023, 3:23:06 pm</t>
  </si>
  <si>
    <t>23/05/2023, 3:23:07 pm</t>
  </si>
  <si>
    <t>23/05/2023, 3:23:08 pm</t>
  </si>
  <si>
    <t>23/05/2023, 3:23:09 pm</t>
  </si>
  <si>
    <t>23/05/2023, 3:23:10 pm</t>
  </si>
  <si>
    <t>23/05/2023, 3:23:11 pm</t>
  </si>
  <si>
    <t>23/05/2023, 3:23:12 pm</t>
  </si>
  <si>
    <t>23/05/2023, 3:23:13 pm</t>
  </si>
  <si>
    <t>23/05/2023, 3:23:14 pm</t>
  </si>
  <si>
    <t>23/05/2023, 3:23:15 pm</t>
  </si>
  <si>
    <t>23/05/2023, 3:23:16 pm</t>
  </si>
  <si>
    <t>23/05/2023, 3:23:17 pm</t>
  </si>
  <si>
    <t>23/05/2023, 3:23:18 pm</t>
  </si>
  <si>
    <t>23/05/2023, 3:23:19 pm</t>
  </si>
  <si>
    <t>23/05/2023, 3:23:20 pm</t>
  </si>
  <si>
    <t>23/05/2023, 3:23:21 pm</t>
  </si>
  <si>
    <t>23/05/2023, 3:23:22 pm</t>
  </si>
  <si>
    <t>23/05/2023, 3:23:23 pm</t>
  </si>
  <si>
    <t>23/05/2023, 3:23:24 pm</t>
  </si>
  <si>
    <t>23/05/2023, 3:23:25 pm</t>
  </si>
  <si>
    <t>23/05/2023, 3:23:26 pm</t>
  </si>
  <si>
    <t>23/05/2023, 3:23:27 pm</t>
  </si>
  <si>
    <t>23/05/2023, 3:23:28 pm</t>
  </si>
  <si>
    <t>23/05/2023, 3:23:29 pm</t>
  </si>
  <si>
    <t>23/05/2023, 3:23:30 pm</t>
  </si>
  <si>
    <t>23/05/2023, 3:23:31 pm</t>
  </si>
  <si>
    <t>23/05/2023, 3:23:32 pm</t>
  </si>
  <si>
    <t>23/05/2023, 3:23:33 pm</t>
  </si>
  <si>
    <t>23/05/2023, 3:23:34 pm</t>
  </si>
  <si>
    <t>23/05/2023, 3:23:35 pm</t>
  </si>
  <si>
    <t>23/05/2023, 3:23:36 pm</t>
  </si>
  <si>
    <t>23/05/2023, 3:23:37 pm</t>
  </si>
  <si>
    <t>23/05/2023, 3:23:38 pm</t>
  </si>
  <si>
    <t>23/05/2023, 3:23:39 pm</t>
  </si>
  <si>
    <t>23/05/2023, 3:23:40 pm</t>
  </si>
  <si>
    <t>23/05/2023, 3:23:41 pm</t>
  </si>
  <si>
    <t>23/05/2023, 3:23:42 pm</t>
  </si>
  <si>
    <t>23/05/2023, 3:23:43 pm</t>
  </si>
  <si>
    <t>23/05/2023, 3:23:44 pm</t>
  </si>
  <si>
    <t>23/05/2023, 3:23:45 pm</t>
  </si>
  <si>
    <t>23/05/2023, 3:23:46 pm</t>
  </si>
  <si>
    <t>23/05/2023, 3:23:47 pm</t>
  </si>
  <si>
    <t>23/05/2023, 3:23:48 pm</t>
  </si>
  <si>
    <t>23/05/2023, 3:23:49 pm</t>
  </si>
  <si>
    <t>23/05/2023, 3:23:50 pm</t>
  </si>
  <si>
    <t>23/05/2023, 3:23:51 pm</t>
  </si>
  <si>
    <t>23/05/2023, 3:23:52 pm</t>
  </si>
  <si>
    <t>23/05/2023, 3:23:53 pm</t>
  </si>
  <si>
    <t>23/05/2023, 3:23:54 pm</t>
  </si>
  <si>
    <t>23/05/2023, 3:23:55 pm</t>
  </si>
  <si>
    <t>23/05/2023, 3:23:56 pm</t>
  </si>
  <si>
    <t>23/05/2023, 3:23:57 pm</t>
  </si>
  <si>
    <t>23/05/2023, 3:23:58 pm</t>
  </si>
  <si>
    <t>23/05/2023, 3:23:59 pm</t>
  </si>
  <si>
    <t>23/05/2023, 3:24:00 pm</t>
  </si>
  <si>
    <t>23/05/2023, 3:24:01 pm</t>
  </si>
  <si>
    <t>23/05/2023, 3:24:02 pm</t>
  </si>
  <si>
    <t>23/05/2023, 3:24:03 pm</t>
  </si>
  <si>
    <t>23/05/2023, 3:24:04 pm</t>
  </si>
  <si>
    <t>23/05/2023, 3:24:05 pm</t>
  </si>
  <si>
    <t>23/05/2023, 3:24:06 pm</t>
  </si>
  <si>
    <t>23/05/2023, 3:24:07 pm</t>
  </si>
  <si>
    <t>23/05/2023, 3:24:08 pm</t>
  </si>
  <si>
    <t>23/05/2023, 3:24:09 pm</t>
  </si>
  <si>
    <t>23/05/2023, 3:24:10 pm</t>
  </si>
  <si>
    <t>23/05/2023, 3:24:11 pm</t>
  </si>
  <si>
    <t>23/05/2023, 3:24:12 pm</t>
  </si>
  <si>
    <t>23/05/2023, 3:24:13 pm</t>
  </si>
  <si>
    <t>23/05/2023, 3:24:14 pm</t>
  </si>
  <si>
    <t>23/05/2023, 3:24:15 pm</t>
  </si>
  <si>
    <t>23/05/2023, 3:24:16 pm</t>
  </si>
  <si>
    <t>23/05/2023, 3:24:17 pm</t>
  </si>
  <si>
    <t>23/05/2023, 3:24:18 pm</t>
  </si>
  <si>
    <t>23/05/2023, 3:24:19 pm</t>
  </si>
  <si>
    <t>23/05/2023, 3:24:20 pm</t>
  </si>
  <si>
    <t>23/05/2023, 3:24:21 pm</t>
  </si>
  <si>
    <t>23/05/2023, 3:24:22 pm</t>
  </si>
  <si>
    <t>23/05/2023, 3:24:23 pm</t>
  </si>
  <si>
    <t>23/05/2023, 3:24:24 pm</t>
  </si>
  <si>
    <t>23/05/2023, 3:24:25 pm</t>
  </si>
  <si>
    <t>23/05/2023, 3:24:26 pm</t>
  </si>
  <si>
    <t>23/05/2023, 3:24:27 pm</t>
  </si>
  <si>
    <t>23/05/2023, 3:24:28 pm</t>
  </si>
  <si>
    <t>23/05/2023, 3:24:29 pm</t>
  </si>
  <si>
    <t>23/05/2023, 3:24:30 pm</t>
  </si>
  <si>
    <t>23/05/2023, 3:24:31 pm</t>
  </si>
  <si>
    <t>23/05/2023, 3:24:32 pm</t>
  </si>
  <si>
    <t>23/05/2023, 3:24:33 pm</t>
  </si>
  <si>
    <t>23/05/2023, 3:24:34 pm</t>
  </si>
  <si>
    <t>23/05/2023, 3:24:35 pm</t>
  </si>
  <si>
    <t>23/05/2023, 3:24:36 pm</t>
  </si>
  <si>
    <t>23/05/2023, 3:24:37 pm</t>
  </si>
  <si>
    <t>23/05/2023, 3:24:38 pm</t>
  </si>
  <si>
    <t>23/05/2023, 3:24:39 pm</t>
  </si>
  <si>
    <t>23/05/2023, 3:24:40 pm</t>
  </si>
  <si>
    <t>23/05/2023, 3:24:41 pm</t>
  </si>
  <si>
    <t>23/05/2023, 3:24:42 pm</t>
  </si>
  <si>
    <t>23/05/2023, 3:24:43 pm</t>
  </si>
  <si>
    <t>23/05/2023, 3:24:44 pm</t>
  </si>
  <si>
    <t>23/05/2023, 3:24:45 pm</t>
  </si>
  <si>
    <t>23/05/2023, 3:24:46 pm</t>
  </si>
  <si>
    <t>23/05/2023, 3:24:47 pm</t>
  </si>
  <si>
    <t>23/05/2023, 3:24:48 pm</t>
  </si>
  <si>
    <t>23/05/2023, 3:24:49 pm</t>
  </si>
  <si>
    <t>23/05/2023, 3:24:50 pm</t>
  </si>
  <si>
    <t>23/05/2023, 3:24:52 pm</t>
  </si>
  <si>
    <t>23/05/2023, 3:24:53 pm</t>
  </si>
  <si>
    <t>23/05/2023, 3:24:54 pm</t>
  </si>
  <si>
    <t>23/05/2023, 3:24:55 pm</t>
  </si>
  <si>
    <t>23/05/2023, 3:24:56 pm</t>
  </si>
  <si>
    <t>23/05/2023, 3:24:57 pm</t>
  </si>
  <si>
    <t>23/05/2023, 3:24:58 pm</t>
  </si>
  <si>
    <t>23/05/2023, 3:24:59 pm</t>
  </si>
  <si>
    <t>23/05/2023, 3:25:00 pm</t>
  </si>
  <si>
    <t>23/05/2023, 3:25:01 pm</t>
  </si>
  <si>
    <t>23/05/2023, 3:25:02 pm</t>
  </si>
  <si>
    <t>23/05/2023, 3:25:03 pm</t>
  </si>
  <si>
    <t>23/05/2023, 3:25:04 pm</t>
  </si>
  <si>
    <t>23/05/2023, 3:25:05 pm</t>
  </si>
  <si>
    <t>23/05/2023, 3:25:06 pm</t>
  </si>
  <si>
    <t>23/05/2023, 3:25:07 pm</t>
  </si>
  <si>
    <t>23/05/2023, 3:25:08 pm</t>
  </si>
  <si>
    <t>23/05/2023, 3:25:09 pm</t>
  </si>
  <si>
    <t>23/05/2023, 3:25:10 pm</t>
  </si>
  <si>
    <t>23/05/2023, 3:25:11 pm</t>
  </si>
  <si>
    <t>23/05/2023, 3:25:12 pm</t>
  </si>
  <si>
    <t>23/05/2023, 3:25:13 pm</t>
  </si>
  <si>
    <t>23/05/2023, 3:25:14 pm</t>
  </si>
  <si>
    <t>23/05/2023, 3:25:15 pm</t>
  </si>
  <si>
    <t>23/05/2023, 3:25:16 pm</t>
  </si>
  <si>
    <t>23/05/2023, 3:25:17 pm</t>
  </si>
  <si>
    <t>23/05/2023, 3:25:18 pm</t>
  </si>
  <si>
    <t>23/05/2023, 3:25:19 pm</t>
  </si>
  <si>
    <t>23/05/2023, 3:25:20 pm</t>
  </si>
  <si>
    <t>23/05/2023, 3:25:21 pm</t>
  </si>
  <si>
    <t>23/05/2023, 3:25:22 pm</t>
  </si>
  <si>
    <t>23/05/2023, 3:25:23 pm</t>
  </si>
  <si>
    <t>23/05/2023, 3:25:24 pm</t>
  </si>
  <si>
    <t>23/05/2023, 3:25:25 pm</t>
  </si>
  <si>
    <t>23/05/2023, 3:25:26 pm</t>
  </si>
  <si>
    <t>23/05/2023, 3:25:27 pm</t>
  </si>
  <si>
    <t>23/05/2023, 3:25:28 pm</t>
  </si>
  <si>
    <t>23/05/2023, 3:25:29 pm</t>
  </si>
  <si>
    <t>23/05/2023, 3:25:30 pm</t>
  </si>
  <si>
    <t>23/05/2023, 3:25:31 pm</t>
  </si>
  <si>
    <t>23/05/2023, 3:25:32 pm</t>
  </si>
  <si>
    <t>23/05/2023, 3:25:33 pm</t>
  </si>
  <si>
    <t>23/05/2023, 3:25:34 pm</t>
  </si>
  <si>
    <t>23/05/2023, 3:25:35 pm</t>
  </si>
  <si>
    <t>23/05/2023, 3:25:36 pm</t>
  </si>
  <si>
    <t>23/05/2023, 3:25:37 pm</t>
  </si>
  <si>
    <t>23/05/2023, 3:25:38 pm</t>
  </si>
  <si>
    <t>23/05/2023, 3:25:39 pm</t>
  </si>
  <si>
    <t>23/05/2023, 3:25:40 pm</t>
  </si>
  <si>
    <t>23/05/2023, 3:25:41 pm</t>
  </si>
  <si>
    <t>23/05/2023, 3:25:42 pm</t>
  </si>
  <si>
    <t>23/05/2023, 3:25:43 pm</t>
  </si>
  <si>
    <t>23/05/2023, 3:25:44 pm</t>
  </si>
  <si>
    <t>23/05/2023, 3:25:45 pm</t>
  </si>
  <si>
    <t>23/05/2023, 3:25:46 pm</t>
  </si>
  <si>
    <t>23/05/2023, 3:25:47 pm</t>
  </si>
  <si>
    <t>23/05/2023, 3:25:48 pm</t>
  </si>
  <si>
    <t>23/05/2023, 3:25:49 pm</t>
  </si>
  <si>
    <t>23/05/2023, 3:25:50 pm</t>
  </si>
  <si>
    <t>23/05/2023, 3:25:51 pm</t>
  </si>
  <si>
    <t>23/05/2023, 3:25:52 pm</t>
  </si>
  <si>
    <t>23/05/2023, 3:25:53 pm</t>
  </si>
  <si>
    <t>23/05/2023, 3:25:54 pm</t>
  </si>
  <si>
    <t>23/05/2023, 3:25:55 pm</t>
  </si>
  <si>
    <t>23/05/2023, 3:25:56 pm</t>
  </si>
  <si>
    <t>23/05/2023, 3:25:57 pm</t>
  </si>
  <si>
    <t>23/05/2023, 3:25:58 pm</t>
  </si>
  <si>
    <t>23/05/2023, 3:25:59 pm</t>
  </si>
  <si>
    <t>23/05/2023, 3:26:00 pm</t>
  </si>
  <si>
    <t>23/05/2023, 3:26:01 pm</t>
  </si>
  <si>
    <t>23/05/2023, 3:26:02 pm</t>
  </si>
  <si>
    <t>23/05/2023, 3:26:03 pm</t>
  </si>
  <si>
    <t>23/05/2023, 3:26:04 pm</t>
  </si>
  <si>
    <t>23/05/2023, 3:26:05 pm</t>
  </si>
  <si>
    <t>23/05/2023, 3:26:06 pm</t>
  </si>
  <si>
    <t>23/05/2023, 3:26:07 pm</t>
  </si>
  <si>
    <t>23/05/2023, 3:26:08 pm</t>
  </si>
  <si>
    <t>23/05/2023, 3:26:09 pm</t>
  </si>
  <si>
    <t>23/05/2023, 3:26:10 pm</t>
  </si>
  <si>
    <t>23/05/2023, 3:26:11 pm</t>
  </si>
  <si>
    <t>23/05/2023, 3:26:12 pm</t>
  </si>
  <si>
    <t>23/05/2023, 3:26:13 pm</t>
  </si>
  <si>
    <t>23/05/2023, 3:26:14 pm</t>
  </si>
  <si>
    <t>23/05/2023, 3:26:15 pm</t>
  </si>
  <si>
    <t>23/05/2023, 3:26:16 pm</t>
  </si>
  <si>
    <t>23/05/2023, 3:26:17 pm</t>
  </si>
  <si>
    <t>23/05/2023, 3:26:18 pm</t>
  </si>
  <si>
    <t>23/05/2023, 3:26:19 pm</t>
  </si>
  <si>
    <t>23/05/2023, 3:26:20 pm</t>
  </si>
  <si>
    <t>23/05/2023, 3:26:21 pm</t>
  </si>
  <si>
    <t>23/05/2023, 3:26:22 pm</t>
  </si>
  <si>
    <t>23/05/2023, 3:26:23 pm</t>
  </si>
  <si>
    <t>23/05/2023, 3:26:24 pm</t>
  </si>
  <si>
    <t>23/05/2023, 3:26:25 pm</t>
  </si>
  <si>
    <t>23/05/2023, 3:26:26 pm</t>
  </si>
  <si>
    <t>23/05/2023, 3:26:27 pm</t>
  </si>
  <si>
    <t>23/05/2023, 3:26:28 pm</t>
  </si>
  <si>
    <t>23/05/2023, 3:26:29 pm</t>
  </si>
  <si>
    <t>23/05/2023, 3:26:30 pm</t>
  </si>
  <si>
    <t>23/05/2023, 3:26:31 pm</t>
  </si>
  <si>
    <t>23/05/2023, 3:26:32 pm</t>
  </si>
  <si>
    <t>23/05/2023, 3:26:33 pm</t>
  </si>
  <si>
    <t>23/05/2023, 3:26:34 pm</t>
  </si>
  <si>
    <t>23/05/2023, 3:26:35 pm</t>
  </si>
  <si>
    <t>23/05/2023, 3:26:36 pm</t>
  </si>
  <si>
    <t>23/05/2023, 3:26:37 pm</t>
  </si>
  <si>
    <t>23/05/2023, 3:26:38 pm</t>
  </si>
  <si>
    <t>23/05/2023, 3:26:39 pm</t>
  </si>
  <si>
    <t>23/05/2023, 3:26:40 pm</t>
  </si>
  <si>
    <t>23/05/2023, 3:26:41 pm</t>
  </si>
  <si>
    <t>23/05/2023, 3:26:42 pm</t>
  </si>
  <si>
    <t>23/05/2023, 3:26:43 pm</t>
  </si>
  <si>
    <t>23/05/2023, 3:26:44 pm</t>
  </si>
  <si>
    <t>23/05/2023, 3:26:45 pm</t>
  </si>
  <si>
    <t>23/05/2023, 3:26:47 pm</t>
  </si>
  <si>
    <t>23/05/2023, 3:26:48 pm</t>
  </si>
  <si>
    <t>23/05/2023, 3:26:49 pm</t>
  </si>
  <si>
    <t>23/05/2023, 3:26:50 pm</t>
  </si>
  <si>
    <t>23/05/2023, 3:26:51 pm</t>
  </si>
  <si>
    <t>23/05/2023, 3:26:52 pm</t>
  </si>
  <si>
    <t>23/05/2023, 3:26:53 pm</t>
  </si>
  <si>
    <t>23/05/2023, 3:26:54 pm</t>
  </si>
  <si>
    <t>23/05/2023, 3:26:55 pm</t>
  </si>
  <si>
    <t>23/05/2023, 3:26:56 pm</t>
  </si>
  <si>
    <t>23/05/2023, 3:26:57 pm</t>
  </si>
  <si>
    <t>23/05/2023, 3:26:58 pm</t>
  </si>
  <si>
    <t>23/05/2023, 3:26:59 pm</t>
  </si>
  <si>
    <t>23/05/2023, 3:27:00 pm</t>
  </si>
  <si>
    <t>23/05/2023, 3:27:01 pm</t>
  </si>
  <si>
    <t>23/05/2023, 3:27:02 pm</t>
  </si>
  <si>
    <t>23/05/2023, 3:27:03 pm</t>
  </si>
  <si>
    <t>23/05/2023, 3:27:04 pm</t>
  </si>
  <si>
    <t>23/05/2023, 3:27:05 pm</t>
  </si>
  <si>
    <t>23/05/2023, 3:27:06 pm</t>
  </si>
  <si>
    <t>23/05/2023, 3:27:07 pm</t>
  </si>
  <si>
    <t>23/05/2023, 3:27:08 pm</t>
  </si>
  <si>
    <t>23/05/2023, 3:27:09 pm</t>
  </si>
  <si>
    <t>23/05/2023, 3:27:10 pm</t>
  </si>
  <si>
    <t>23/05/2023, 3:27:11 pm</t>
  </si>
  <si>
    <t>23/05/2023, 3:27:12 pm</t>
  </si>
  <si>
    <t>23/05/2023, 3:27:13 pm</t>
  </si>
  <si>
    <t>23/05/2023, 3:27:14 pm</t>
  </si>
  <si>
    <t>23/05/2023, 3:27:15 pm</t>
  </si>
  <si>
    <t>23/05/2023, 3:27:16 pm</t>
  </si>
  <si>
    <t>23/05/2023, 3:27:17 pm</t>
  </si>
  <si>
    <t>23/05/2023, 3:27:18 pm</t>
  </si>
  <si>
    <t>23/05/2023, 3:27:19 pm</t>
  </si>
  <si>
    <t>23/05/2023, 3:27:20 pm</t>
  </si>
  <si>
    <t>23/05/2023, 3:27:21 pm</t>
  </si>
  <si>
    <t>23/05/2023, 3:27:22 pm</t>
  </si>
  <si>
    <t>23/05/2023, 3:27:23 pm</t>
  </si>
  <si>
    <t>23/05/2023, 3:27:24 pm</t>
  </si>
  <si>
    <t>23/05/2023, 3:27:25 pm</t>
  </si>
  <si>
    <t>23/05/2023, 3:27:26 pm</t>
  </si>
  <si>
    <t>23/05/2023, 3:27:27 pm</t>
  </si>
  <si>
    <t>23/05/2023, 3:27:28 pm</t>
  </si>
  <si>
    <t>23/05/2023, 3:27:29 pm</t>
  </si>
  <si>
    <t>23/05/2023, 3:27:30 pm</t>
  </si>
  <si>
    <t>23/05/2023, 3:27:31 pm</t>
  </si>
  <si>
    <t>23/05/2023, 3:27:32 pm</t>
  </si>
  <si>
    <t>23/05/2023, 3:27:33 pm</t>
  </si>
  <si>
    <t>23/05/2023, 3:27:34 pm</t>
  </si>
  <si>
    <t>23/05/2023, 3:27:35 pm</t>
  </si>
  <si>
    <t>23/05/2023, 3:27:36 pm</t>
  </si>
  <si>
    <t>23/05/2023, 3:27:37 pm</t>
  </si>
  <si>
    <t>23/05/2023, 3:27:38 pm</t>
  </si>
  <si>
    <t>23/05/2023, 3:27:39 pm</t>
  </si>
  <si>
    <t>23/05/2023, 3:27:40 pm</t>
  </si>
  <si>
    <t>23/05/2023, 3:27:41 pm</t>
  </si>
  <si>
    <t>23/05/2023, 3:27:42 pm</t>
  </si>
  <si>
    <t>23/05/2023, 3:27:43 pm</t>
  </si>
  <si>
    <t>23/05/2023, 3:27:44 pm</t>
  </si>
  <si>
    <t>23/05/2023, 3:27:45 pm</t>
  </si>
  <si>
    <t>23/05/2023, 3:27:46 pm</t>
  </si>
  <si>
    <t>23/05/2023, 3:27:47 pm</t>
  </si>
  <si>
    <t>23/05/2023, 3:27:48 pm</t>
  </si>
  <si>
    <t>23/05/2023, 3:27:49 pm</t>
  </si>
  <si>
    <t>23/05/2023, 3:27:50 pm</t>
  </si>
  <si>
    <t>23/05/2023, 3:27:51 pm</t>
  </si>
  <si>
    <t>23/05/2023, 3:27:52 pm</t>
  </si>
  <si>
    <t>23/05/2023, 3:27:53 pm</t>
  </si>
  <si>
    <t>23/05/2023, 3:27:54 pm</t>
  </si>
  <si>
    <t>23/05/2023, 3:27:55 pm</t>
  </si>
  <si>
    <t>23/05/2023, 3:27:56 pm</t>
  </si>
  <si>
    <t>23/05/2023, 3:27:57 pm</t>
  </si>
  <si>
    <t>23/05/2023, 3:27:58 pm</t>
  </si>
  <si>
    <t>23/05/2023, 3:27:59 pm</t>
  </si>
  <si>
    <t>23/05/2023, 3:28:00 pm</t>
  </si>
  <si>
    <t>23/05/2023, 3:28:01 pm</t>
  </si>
  <si>
    <t>23/05/2023, 3:28:02 pm</t>
  </si>
  <si>
    <t>23/05/2023, 3:28:03 pm</t>
  </si>
  <si>
    <t>23/05/2023, 3:28:04 pm</t>
  </si>
  <si>
    <t>23/05/2023, 3:28:05 pm</t>
  </si>
  <si>
    <t>23/05/2023, 3:28:06 pm</t>
  </si>
  <si>
    <t>23/05/2023, 3:28:07 pm</t>
  </si>
  <si>
    <t>23/05/2023, 3:28:08 pm</t>
  </si>
  <si>
    <t>23/05/2023, 3:28:09 pm</t>
  </si>
  <si>
    <t>23/05/2023, 3:28:10 pm</t>
  </si>
  <si>
    <t>23/05/2023, 3:28:11 pm</t>
  </si>
  <si>
    <t>23/05/2023, 3:28:12 pm</t>
  </si>
  <si>
    <t>23/05/2023, 3:28:13 pm</t>
  </si>
  <si>
    <t>23/05/2023, 3:28:14 pm</t>
  </si>
  <si>
    <t>23/05/2023, 3:28:15 pm</t>
  </si>
  <si>
    <t>23/05/2023, 3:28:16 pm</t>
  </si>
  <si>
    <t>23/05/2023, 3:28:17 pm</t>
  </si>
  <si>
    <t>23/05/2023, 3:28:18 pm</t>
  </si>
  <si>
    <t>23/05/2023, 3:28:19 pm</t>
  </si>
  <si>
    <t>23/05/2023, 3:28:20 pm</t>
  </si>
  <si>
    <t>23/05/2023, 3:28:21 pm</t>
  </si>
  <si>
    <t>23/05/2023, 3:28:22 pm</t>
  </si>
  <si>
    <t>23/05/2023, 3:28:23 pm</t>
  </si>
  <si>
    <t>23/05/2023, 3:28:24 pm</t>
  </si>
  <si>
    <t>23/05/2023, 3:28:25 pm</t>
  </si>
  <si>
    <t>23/05/2023, 3:28:26 pm</t>
  </si>
  <si>
    <t>23/05/2023, 3:28:27 pm</t>
  </si>
  <si>
    <t>23/05/2023, 3:28:28 pm</t>
  </si>
  <si>
    <t>23/05/2023, 3:28:29 pm</t>
  </si>
  <si>
    <t>23/05/2023, 3:28:30 pm</t>
  </si>
  <si>
    <t>23/05/2023, 3:28:31 pm</t>
  </si>
  <si>
    <t>23/05/2023, 3:28:32 pm</t>
  </si>
  <si>
    <t>23/05/2023, 3:28:33 pm</t>
  </si>
  <si>
    <t>23/05/2023, 3:28:34 pm</t>
  </si>
  <si>
    <t>23/05/2023, 3:28:35 pm</t>
  </si>
  <si>
    <t>23/05/2023, 3:28:36 pm</t>
  </si>
  <si>
    <t>23/05/2023, 3:28:37 pm</t>
  </si>
  <si>
    <t>23/05/2023, 3:28:39 pm</t>
  </si>
  <si>
    <t>23/05/2023, 3:28:40 pm</t>
  </si>
  <si>
    <t>23/05/2023, 3:28:41 pm</t>
  </si>
  <si>
    <t>23/05/2023, 3:28:42 pm</t>
  </si>
  <si>
    <t>23/05/2023, 3:28:43 pm</t>
  </si>
  <si>
    <t>23/05/2023, 3:28:44 pm</t>
  </si>
  <si>
    <t>23/05/2023, 3:28:45 pm</t>
  </si>
  <si>
    <t>23/05/2023, 3:28:46 pm</t>
  </si>
  <si>
    <t>23/05/2023, 3:28:47 pm</t>
  </si>
  <si>
    <t>23/05/2023, 3:28:48 pm</t>
  </si>
  <si>
    <t>23/05/2023, 3:28:49 pm</t>
  </si>
  <si>
    <t>23/05/2023, 3:28:50 pm</t>
  </si>
  <si>
    <t>23/05/2023, 3:28:51 pm</t>
  </si>
  <si>
    <t>23/05/2023, 3:28:52 pm</t>
  </si>
  <si>
    <t>23/05/2023, 3:28:53 pm</t>
  </si>
  <si>
    <t>23/05/2023, 3:28:54 pm</t>
  </si>
  <si>
    <t>23/05/2023, 3:28:55 pm</t>
  </si>
  <si>
    <t>23/05/2023, 3:28:56 pm</t>
  </si>
  <si>
    <t>23/05/2023, 3:28:57 pm</t>
  </si>
  <si>
    <t>23/05/2023, 3:28:58 pm</t>
  </si>
  <si>
    <t>23/05/2023, 3:28:59 pm</t>
  </si>
  <si>
    <t>23/05/2023, 3:29:00 pm</t>
  </si>
  <si>
    <t>23/05/2023, 3:29:01 pm</t>
  </si>
  <si>
    <t>23/05/2023, 3:29:02 pm</t>
  </si>
  <si>
    <t>23/05/2023, 3:29:03 pm</t>
  </si>
  <si>
    <t>23/05/2023, 3:29:04 pm</t>
  </si>
  <si>
    <t>23/05/2023, 3:29:05 pm</t>
  </si>
  <si>
    <t>23/05/2023, 3:29:06 pm</t>
  </si>
  <si>
    <t>23/05/2023, 3:29:07 pm</t>
  </si>
  <si>
    <t>23/05/2023, 3:29:08 pm</t>
  </si>
  <si>
    <t>23/05/2023, 3:29:09 pm</t>
  </si>
  <si>
    <t>23/05/2023, 3:29:10 pm</t>
  </si>
  <si>
    <t>23/05/2023, 3:29:11 pm</t>
  </si>
  <si>
    <t>23/05/2023, 3:29:12 pm</t>
  </si>
  <si>
    <t>23/05/2023, 3:29:13 pm</t>
  </si>
  <si>
    <t>23/05/2023, 3:29:14 pm</t>
  </si>
  <si>
    <t>23/05/2023, 3:29:15 pm</t>
  </si>
  <si>
    <t>23/05/2023, 3:29:16 pm</t>
  </si>
  <si>
    <t>23/05/2023, 3:29:17 pm</t>
  </si>
  <si>
    <t>23/05/2023, 3:29:18 pm</t>
  </si>
  <si>
    <t>23/05/2023, 3:29:19 pm</t>
  </si>
  <si>
    <t>23/05/2023, 3:29:20 pm</t>
  </si>
  <si>
    <t>23/05/2023, 3:29:21 pm</t>
  </si>
  <si>
    <t>23/05/2023, 3:29:22 pm</t>
  </si>
  <si>
    <t>23/05/2023, 3:29:23 pm</t>
  </si>
  <si>
    <t>23/05/2023, 3:29:24 pm</t>
  </si>
  <si>
    <t>23/05/2023, 3:29:25 pm</t>
  </si>
  <si>
    <t>23/05/2023, 3:29:26 pm</t>
  </si>
  <si>
    <t>23/05/2023, 3:29:27 pm</t>
  </si>
  <si>
    <t>23/05/2023, 3:29:28 pm</t>
  </si>
  <si>
    <t>23/05/2023, 3:29:29 pm</t>
  </si>
  <si>
    <t>23/05/2023, 3:29:30 pm</t>
  </si>
  <si>
    <t>23/05/2023, 3:29:31 pm</t>
  </si>
  <si>
    <t>23/05/2023, 3:29:32 pm</t>
  </si>
  <si>
    <t>23/05/2023, 3:29:33 pm</t>
  </si>
  <si>
    <t>23/05/2023, 3:29:34 pm</t>
  </si>
  <si>
    <t>23/05/2023, 3:29:35 pm</t>
  </si>
  <si>
    <t>23/05/2023, 3:29:36 pm</t>
  </si>
  <si>
    <t>23/05/2023, 3:29:37 pm</t>
  </si>
  <si>
    <t>23/05/2023, 3:29:38 pm</t>
  </si>
  <si>
    <t>23/05/2023, 3:29:39 pm</t>
  </si>
  <si>
    <t>23/05/2023, 3:29:40 pm</t>
  </si>
  <si>
    <t>23/05/2023, 3:29:41 pm</t>
  </si>
  <si>
    <t>23/05/2023, 3:29:42 pm</t>
  </si>
  <si>
    <t>23/05/2023, 3:29:43 pm</t>
  </si>
  <si>
    <t>23/05/2023, 3:29:44 pm</t>
  </si>
  <si>
    <t>23/05/2023, 3:29:45 pm</t>
  </si>
  <si>
    <t>23/05/2023, 3:29:46 pm</t>
  </si>
  <si>
    <t>23/05/2023, 3:29:47 pm</t>
  </si>
  <si>
    <t>23/05/2023, 3:29:48 pm</t>
  </si>
  <si>
    <t>23/05/2023, 3:29:49 pm</t>
  </si>
  <si>
    <t>23/05/2023, 3:29:50 pm</t>
  </si>
  <si>
    <t>23/05/2023, 3:29:51 pm</t>
  </si>
  <si>
    <t>23/05/2023, 3:29:52 pm</t>
  </si>
  <si>
    <t>23/05/2023, 3:29:53 pm</t>
  </si>
  <si>
    <t>23/05/2023, 3:29:54 pm</t>
  </si>
  <si>
    <t>23/05/2023, 3:29:55 pm</t>
  </si>
  <si>
    <t>23/05/2023, 3:29:56 pm</t>
  </si>
  <si>
    <t>23/05/2023, 3:29:57 pm</t>
  </si>
  <si>
    <t>23/05/2023, 3:29:58 pm</t>
  </si>
  <si>
    <t>23/05/2023, 3:29:59 pm</t>
  </si>
  <si>
    <t>23/05/2023, 3:30:00 pm</t>
  </si>
  <si>
    <t>23/05/2023, 3:30:01 pm</t>
  </si>
  <si>
    <t>23/05/2023, 3:30:02 pm</t>
  </si>
  <si>
    <t>23/05/2023, 3:30:03 pm</t>
  </si>
  <si>
    <t>23/05/2023, 3:30:04 pm</t>
  </si>
  <si>
    <t>23/05/2023, 3:30:05 pm</t>
  </si>
  <si>
    <t>23/05/2023, 3:30:06 pm</t>
  </si>
  <si>
    <t>23/05/2023, 3:30:07 pm</t>
  </si>
  <si>
    <t>23/05/2023, 3:30:08 pm</t>
  </si>
  <si>
    <t>23/05/2023, 3:30:09 pm</t>
  </si>
  <si>
    <t>23/05/2023, 3:30:10 pm</t>
  </si>
  <si>
    <t>23/05/2023, 3:30:11 pm</t>
  </si>
  <si>
    <t>23/05/2023, 3:30:12 pm</t>
  </si>
  <si>
    <t>23/05/2023, 3:30:13 pm</t>
  </si>
  <si>
    <t>23/05/2023, 3:30:14 pm</t>
  </si>
  <si>
    <t>23/05/2023, 3:30:15 pm</t>
  </si>
  <si>
    <t>23/05/2023, 3:30:16 pm</t>
  </si>
  <si>
    <t>23/05/2023, 3:30:17 pm</t>
  </si>
  <si>
    <t>23/05/2023, 3:30:18 pm</t>
  </si>
  <si>
    <t>23/05/2023, 3:30:19 pm</t>
  </si>
  <si>
    <t>23/05/2023, 3:30:20 pm</t>
  </si>
  <si>
    <t>23/05/2023, 3:30:21 pm</t>
  </si>
  <si>
    <t>23/05/2023, 3:30:22 pm</t>
  </si>
  <si>
    <t>23/05/2023, 3:30:23 pm</t>
  </si>
  <si>
    <t>23/05/2023, 3:30:24 pm</t>
  </si>
  <si>
    <t>23/05/2023, 3:30:25 pm</t>
  </si>
  <si>
    <t>23/05/2023, 3:30:26 pm</t>
  </si>
  <si>
    <t>23/05/2023, 3:30:27 pm</t>
  </si>
  <si>
    <t>23/05/2023, 3:30:28 pm</t>
  </si>
  <si>
    <t>23/05/2023, 3:30:29 pm</t>
  </si>
  <si>
    <t>23/05/2023, 3:30:30 pm</t>
  </si>
  <si>
    <t>23/05/2023, 3:30:31 pm</t>
  </si>
  <si>
    <t>23/05/2023, 3:30:32 pm</t>
  </si>
  <si>
    <t>23/05/2023, 3:30:33 pm</t>
  </si>
  <si>
    <t>23/05/2023, 3:30:34 pm</t>
  </si>
  <si>
    <t>23/05/2023, 3:30:35 pm</t>
  </si>
  <si>
    <t>23/05/2023, 3:30:36 pm</t>
  </si>
  <si>
    <t>23/05/2023, 3:30:37 pm</t>
  </si>
  <si>
    <t>23/05/2023, 3:30:38 pm</t>
  </si>
  <si>
    <t>23/05/2023, 3:30:39 pm</t>
  </si>
  <si>
    <t>23/05/2023, 3:30:40 pm</t>
  </si>
  <si>
    <t>23/05/2023, 3:30:41 pm</t>
  </si>
  <si>
    <t>23/05/2023, 3:30:42 pm</t>
  </si>
  <si>
    <t>23/05/2023, 3:30:44 pm</t>
  </si>
  <si>
    <t>23/05/2023, 3:30:45 pm</t>
  </si>
  <si>
    <t>23/05/2023, 3:30:46 pm</t>
  </si>
  <si>
    <t>23/05/2023, 3:30:47 pm</t>
  </si>
  <si>
    <t>23/05/2023, 3:30:48 pm</t>
  </si>
  <si>
    <t>23/05/2023, 3:30:49 pm</t>
  </si>
  <si>
    <t>23/05/2023, 3:30:50 pm</t>
  </si>
  <si>
    <t>23/05/2023, 3:30:51 pm</t>
  </si>
  <si>
    <t>23/05/2023, 3:30:52 pm</t>
  </si>
  <si>
    <t>23/05/2023, 3:30:53 pm</t>
  </si>
  <si>
    <t>23/05/2023, 3:30:54 pm</t>
  </si>
  <si>
    <t>23/05/2023, 3:30:55 pm</t>
  </si>
  <si>
    <t>23/05/2023, 3:30:56 pm</t>
  </si>
  <si>
    <t>23/05/2023, 3:30:57 pm</t>
  </si>
  <si>
    <t>23/05/2023, 3:30:58 pm</t>
  </si>
  <si>
    <t>23/05/2023, 3:30:59 pm</t>
  </si>
  <si>
    <t>23/05/2023, 3:31:00 pm</t>
  </si>
  <si>
    <t>23/05/2023, 3:31:01 pm</t>
  </si>
  <si>
    <t>23/05/2023, 3:31:02 pm</t>
  </si>
  <si>
    <t>23/05/2023, 3:31:03 pm</t>
  </si>
  <si>
    <t>23/05/2023, 3:31:04 pm</t>
  </si>
  <si>
    <t>23/05/2023, 3:31:05 pm</t>
  </si>
  <si>
    <t>23/05/2023, 3:31:06 pm</t>
  </si>
  <si>
    <t>23/05/2023, 3:31:07 pm</t>
  </si>
  <si>
    <t>23/05/2023, 3:31:08 pm</t>
  </si>
  <si>
    <t>23/05/2023, 3:31:09 pm</t>
  </si>
  <si>
    <t>23/05/2023, 3:31:10 pm</t>
  </si>
  <si>
    <t>23/05/2023, 3:31:11 pm</t>
  </si>
  <si>
    <t>23/05/2023, 3:31:12 pm</t>
  </si>
  <si>
    <t>23/05/2023, 3:31:13 pm</t>
  </si>
  <si>
    <t>23/05/2023, 3:31:14 pm</t>
  </si>
  <si>
    <t>23/05/2023, 3:31:15 pm</t>
  </si>
  <si>
    <t>23/05/2023, 3:31:16 pm</t>
  </si>
  <si>
    <t>23/05/2023, 3:31:17 pm</t>
  </si>
  <si>
    <t>23/05/2023, 3:31:18 pm</t>
  </si>
  <si>
    <t>23/05/2023, 3:31:19 pm</t>
  </si>
  <si>
    <t>23/05/2023, 3:31:20 pm</t>
  </si>
  <si>
    <t>23/05/2023, 3:31:21 pm</t>
  </si>
  <si>
    <t>23/05/2023, 3:31:22 pm</t>
  </si>
  <si>
    <t>23/05/2023, 3:31:23 pm</t>
  </si>
  <si>
    <t>23/05/2023, 3:31:24 pm</t>
  </si>
  <si>
    <t>23/05/2023, 3:31:25 pm</t>
  </si>
  <si>
    <t>23/05/2023, 3:31:26 pm</t>
  </si>
  <si>
    <t>23/05/2023, 3:31:27 pm</t>
  </si>
  <si>
    <t>23/05/2023, 3:31:28 pm</t>
  </si>
  <si>
    <t>23/05/2023, 3:31:29 pm</t>
  </si>
  <si>
    <t>23/05/2023, 3:31:30 pm</t>
  </si>
  <si>
    <t>23/05/2023, 3:31:31 pm</t>
  </si>
  <si>
    <t>23/05/2023, 3:31:32 pm</t>
  </si>
  <si>
    <t>23/05/2023, 3:31:33 pm</t>
  </si>
  <si>
    <t>23/05/2023, 3:31:34 pm</t>
  </si>
  <si>
    <t>23/05/2023, 3:31:35 pm</t>
  </si>
  <si>
    <t>23/05/2023, 3:31:36 pm</t>
  </si>
  <si>
    <t>23/05/2023, 3:31:37 pm</t>
  </si>
  <si>
    <t>23/05/2023, 3:31:38 pm</t>
  </si>
  <si>
    <t>23/05/2023, 3:31:39 pm</t>
  </si>
  <si>
    <t>23/05/2023, 3:31:40 pm</t>
  </si>
  <si>
    <t>23/05/2023, 3:31:41 pm</t>
  </si>
  <si>
    <t>23/05/2023, 3:31:42 pm</t>
  </si>
  <si>
    <t>23/05/2023, 3:31:43 pm</t>
  </si>
  <si>
    <t>23/05/2023, 3:31:44 pm</t>
  </si>
  <si>
    <t>23/05/2023, 3:31:45 pm</t>
  </si>
  <si>
    <t>23/05/2023, 3:31:46 pm</t>
  </si>
  <si>
    <t>23/05/2023, 3:31:47 pm</t>
  </si>
  <si>
    <t>23/05/2023, 3:31:48 pm</t>
  </si>
  <si>
    <t>23/05/2023, 3:31:49 pm</t>
  </si>
  <si>
    <t>23/05/2023, 3:31:50 pm</t>
  </si>
  <si>
    <t>23/05/2023, 3:31:51 pm</t>
  </si>
  <si>
    <t>23/05/2023, 3:31:52 pm</t>
  </si>
  <si>
    <t>23/05/2023, 3:31:53 pm</t>
  </si>
  <si>
    <t>23/05/2023, 3:31:54 pm</t>
  </si>
  <si>
    <t>23/05/2023, 3:31:55 pm</t>
  </si>
  <si>
    <t>23/05/2023, 3:31:56 pm</t>
  </si>
  <si>
    <t>23/05/2023, 3:31:57 pm</t>
  </si>
  <si>
    <t>23/05/2023, 3:31:58 pm</t>
  </si>
  <si>
    <t>23/05/2023, 3:31:59 pm</t>
  </si>
  <si>
    <t>23/05/2023, 3:32:00 pm</t>
  </si>
  <si>
    <t>23/05/2023, 3:32:01 pm</t>
  </si>
  <si>
    <t>23/05/2023, 3:32:02 pm</t>
  </si>
  <si>
    <t>23/05/2023, 3:32:03 pm</t>
  </si>
  <si>
    <t>23/05/2023, 3:32:04 pm</t>
  </si>
  <si>
    <t>23/05/2023, 3:32:05 pm</t>
  </si>
  <si>
    <t>23/05/2023, 3:32:06 pm</t>
  </si>
  <si>
    <t>23/05/2023, 3:32:07 pm</t>
  </si>
  <si>
    <t>23/05/2023, 3:32:08 pm</t>
  </si>
  <si>
    <t>23/05/2023, 3:32:09 pm</t>
  </si>
  <si>
    <t>23/05/2023, 3:32:10 pm</t>
  </si>
  <si>
    <t>23/05/2023, 3:32:11 pm</t>
  </si>
  <si>
    <t>23/05/2023, 3:32:12 pm</t>
  </si>
  <si>
    <t>23/05/2023, 3:32:13 pm</t>
  </si>
  <si>
    <t>23/05/2023, 3:32:14 pm</t>
  </si>
  <si>
    <t>23/05/2023, 3:32:15 pm</t>
  </si>
  <si>
    <t>23/05/2023, 3:32:16 pm</t>
  </si>
  <si>
    <t>23/05/2023, 3:32:17 pm</t>
  </si>
  <si>
    <t>23/05/2023, 3:32:18 pm</t>
  </si>
  <si>
    <t>23/05/2023, 3:32:19 pm</t>
  </si>
  <si>
    <t>23/05/2023, 3:32:20 pm</t>
  </si>
  <si>
    <t>23/05/2023, 3:32:21 pm</t>
  </si>
  <si>
    <t>23/05/2023, 3:32:22 pm</t>
  </si>
  <si>
    <t>23/05/2023, 3:32:23 pm</t>
  </si>
  <si>
    <t>23/05/2023, 3:32:24 pm</t>
  </si>
  <si>
    <t>23/05/2023, 3:32:25 pm</t>
  </si>
  <si>
    <t>23/05/2023, 3:32:26 pm</t>
  </si>
  <si>
    <t>23/05/2023, 3:32:27 pm</t>
  </si>
  <si>
    <t>23/05/2023, 3:32:28 pm</t>
  </si>
  <si>
    <t>23/05/2023, 3:32:29 pm</t>
  </si>
  <si>
    <t>23/05/2023, 3:32:31 pm</t>
  </si>
  <si>
    <t>23/05/2023, 3:32:32 pm</t>
  </si>
  <si>
    <t>23/05/2023, 3:32:33 pm</t>
  </si>
  <si>
    <t>23/05/2023, 3:32:34 pm</t>
  </si>
  <si>
    <t>23/05/2023, 3:32:35 pm</t>
  </si>
  <si>
    <t>23/05/2023, 3:32:36 pm</t>
  </si>
  <si>
    <t>23/05/2023, 3:32:37 pm</t>
  </si>
  <si>
    <t>23/05/2023, 3:32:38 pm</t>
  </si>
  <si>
    <t>23/05/2023, 3:32:39 pm</t>
  </si>
  <si>
    <t>23/05/2023, 3:32:40 pm</t>
  </si>
  <si>
    <t>23/05/2023, 3:32:41 pm</t>
  </si>
  <si>
    <t>23/05/2023, 3:32:42 pm</t>
  </si>
  <si>
    <t>23/05/2023, 3:32:43 pm</t>
  </si>
  <si>
    <t>23/05/2023, 3:32:44 pm</t>
  </si>
  <si>
    <t>23/05/2023, 3:32:45 pm</t>
  </si>
  <si>
    <t>23/05/2023, 3:32:46 pm</t>
  </si>
  <si>
    <t>23/05/2023, 3:32:47 pm</t>
  </si>
  <si>
    <t>23/05/2023, 3:32:48 pm</t>
  </si>
  <si>
    <t>23/05/2023, 3:32:49 pm</t>
  </si>
  <si>
    <t>23/05/2023, 3:32:50 pm</t>
  </si>
  <si>
    <t>23/05/2023, 3:32:51 pm</t>
  </si>
  <si>
    <t>23/05/2023, 3:32:52 pm</t>
  </si>
  <si>
    <t>23/05/2023, 3:32:53 pm</t>
  </si>
  <si>
    <t>23/05/2023, 3:32:54 pm</t>
  </si>
  <si>
    <t>23/05/2023, 3:32:55 pm</t>
  </si>
  <si>
    <t>23/05/2023, 3:32:56 pm</t>
  </si>
  <si>
    <t>23/05/2023, 3:32:57 pm</t>
  </si>
  <si>
    <t>23/05/2023, 3:32:58 pm</t>
  </si>
  <si>
    <t>23/05/2023, 3:32:59 pm</t>
  </si>
  <si>
    <t>23/05/2023, 3:33:00 pm</t>
  </si>
  <si>
    <t>23/05/2023, 3:33:01 pm</t>
  </si>
  <si>
    <t>23/05/2023, 3:33:02 pm</t>
  </si>
  <si>
    <t>23/05/2023, 3:33:03 pm</t>
  </si>
  <si>
    <t>23/05/2023, 3:33:04 pm</t>
  </si>
  <si>
    <t>23/05/2023, 3:33:05 pm</t>
  </si>
  <si>
    <t>23/05/2023, 3:33:06 pm</t>
  </si>
  <si>
    <t>23/05/2023, 3:33:07 pm</t>
  </si>
  <si>
    <t>23/05/2023, 3:33:08 pm</t>
  </si>
  <si>
    <t>23/05/2023, 3:33:09 pm</t>
  </si>
  <si>
    <t>23/05/2023, 3:33:10 pm</t>
  </si>
  <si>
    <t>23/05/2023, 3:33:11 pm</t>
  </si>
  <si>
    <t>23/05/2023, 3:33:12 pm</t>
  </si>
  <si>
    <t>23/05/2023, 3:33:13 pm</t>
  </si>
  <si>
    <t>23/05/2023, 3:33:14 pm</t>
  </si>
  <si>
    <t>23/05/2023, 3:33:15 pm</t>
  </si>
  <si>
    <t>23/05/2023, 3:33:16 pm</t>
  </si>
  <si>
    <t>23/05/2023, 3:33:17 pm</t>
  </si>
  <si>
    <t>23/05/2023, 3:33:18 pm</t>
  </si>
  <si>
    <t>23/05/2023, 3:33:19 pm</t>
  </si>
  <si>
    <t>23/05/2023, 3:33:20 pm</t>
  </si>
  <si>
    <t>23/05/2023, 3:33:21 pm</t>
  </si>
  <si>
    <t>23/05/2023, 3:33:22 pm</t>
  </si>
  <si>
    <t>23/05/2023, 3:33:23 pm</t>
  </si>
  <si>
    <t>23/05/2023, 3:33:24 pm</t>
  </si>
  <si>
    <t>23/05/2023, 3:33:25 pm</t>
  </si>
  <si>
    <t>23/05/2023, 3:33:26 pm</t>
  </si>
  <si>
    <t>23/05/2023, 3:33:27 pm</t>
  </si>
  <si>
    <t>23/05/2023, 3:33:28 pm</t>
  </si>
  <si>
    <t>23/05/2023, 3:33:29 pm</t>
  </si>
  <si>
    <t>23/05/2023, 3:33:30 pm</t>
  </si>
  <si>
    <t>23/05/2023, 3:33:31 pm</t>
  </si>
  <si>
    <t>23/05/2023, 3:33:32 pm</t>
  </si>
  <si>
    <t>23/05/2023, 3:33:33 pm</t>
  </si>
  <si>
    <t>23/05/2023, 3:33:34 pm</t>
  </si>
  <si>
    <t>23/05/2023, 3:33:35 pm</t>
  </si>
  <si>
    <t>23/05/2023, 3:33:36 pm</t>
  </si>
  <si>
    <t>23/05/2023, 3:33:37 pm</t>
  </si>
  <si>
    <t>23/05/2023, 3:33:38 pm</t>
  </si>
  <si>
    <t>23/05/2023, 3:33:39 pm</t>
  </si>
  <si>
    <t>23/05/2023, 3:33:40 pm</t>
  </si>
  <si>
    <t>23/05/2023, 3:33:41 pm</t>
  </si>
  <si>
    <t>23/05/2023, 3:33:42 pm</t>
  </si>
  <si>
    <t>23/05/2023, 3:33:43 pm</t>
  </si>
  <si>
    <t>23/05/2023, 3:33:44 pm</t>
  </si>
  <si>
    <t>23/05/2023, 3:33:45 pm</t>
  </si>
  <si>
    <t>23/05/2023, 3:33:46 pm</t>
  </si>
  <si>
    <t>23/05/2023, 3:33:47 pm</t>
  </si>
  <si>
    <t>23/05/2023, 3:33:48 pm</t>
  </si>
  <si>
    <t>23/05/2023, 3:33:49 pm</t>
  </si>
  <si>
    <t>23/05/2023, 3:33:50 pm</t>
  </si>
  <si>
    <t>23/05/2023, 3:33:51 pm</t>
  </si>
  <si>
    <t>23/05/2023, 3:33:52 pm</t>
  </si>
  <si>
    <t>23/05/2023, 3:33:53 pm</t>
  </si>
  <si>
    <t>23/05/2023, 3:33:54 pm</t>
  </si>
  <si>
    <t>23/05/2023, 3:33:55 pm</t>
  </si>
  <si>
    <t>23/05/2023, 3:33:56 pm</t>
  </si>
  <si>
    <t>23/05/2023, 3:33:57 pm</t>
  </si>
  <si>
    <t>23/05/2023, 3:33:58 pm</t>
  </si>
  <si>
    <t>23/05/2023, 3:33:59 pm</t>
  </si>
  <si>
    <t>23/05/2023, 3:34:00 pm</t>
  </si>
  <si>
    <t>23/05/2023, 3:34:01 pm</t>
  </si>
  <si>
    <t>23/05/2023, 3:34:02 pm</t>
  </si>
  <si>
    <t>23/05/2023, 3:34:03 pm</t>
  </si>
  <si>
    <t>23/05/2023, 3:34:04 pm</t>
  </si>
  <si>
    <t>23/05/2023, 3:34:05 pm</t>
  </si>
  <si>
    <t>23/05/2023, 3:34:06 pm</t>
  </si>
  <si>
    <t>23/05/2023, 3:34:07 pm</t>
  </si>
  <si>
    <t>23/05/2023, 3:34:08 pm</t>
  </si>
  <si>
    <t>23/05/2023, 3:34:09 pm</t>
  </si>
  <si>
    <t>23/05/2023, 3:34:10 pm</t>
  </si>
  <si>
    <t>23/05/2023, 3:34:11 pm</t>
  </si>
  <si>
    <t>23/05/2023, 3:34:12 pm</t>
  </si>
  <si>
    <t>23/05/2023, 3:34:13 pm</t>
  </si>
  <si>
    <t>23/05/2023, 3:34:14 pm</t>
  </si>
  <si>
    <t>23/05/2023, 3:34:15 pm</t>
  </si>
  <si>
    <t>23/05/2023, 3:34:16 pm</t>
  </si>
  <si>
    <t>23/05/2023, 3:34:17 pm</t>
  </si>
  <si>
    <t>23/05/2023, 3:34:18 pm</t>
  </si>
  <si>
    <t>23/05/2023, 3:34:19 pm</t>
  </si>
  <si>
    <t>23/05/2023, 3:34:20 pm</t>
  </si>
  <si>
    <t>23/05/2023, 3:34:21 pm</t>
  </si>
  <si>
    <t>23/05/2023, 3:34:22 pm</t>
  </si>
  <si>
    <t>23/05/2023, 3:34:23 pm</t>
  </si>
  <si>
    <t>23/05/2023, 3:34:24 pm</t>
  </si>
  <si>
    <t>23/05/2023, 3:34:25 pm</t>
  </si>
  <si>
    <t>23/05/2023, 3:34:26 pm</t>
  </si>
  <si>
    <t>23/05/2023, 3:34:27 pm</t>
  </si>
  <si>
    <t>23/05/2023, 3:34:28 pm</t>
  </si>
  <si>
    <t>23/05/2023, 3:34:29 pm</t>
  </si>
  <si>
    <t>23/05/2023, 3:34:30 pm</t>
  </si>
  <si>
    <t>23/05/2023, 3:34:31 pm</t>
  </si>
  <si>
    <t>23/05/2023, 3:34:32 pm</t>
  </si>
  <si>
    <t>23/05/2023, 3:34:33 pm</t>
  </si>
  <si>
    <t>23/05/2023, 3:34:34 pm</t>
  </si>
  <si>
    <t>23/05/2023, 3:34:35 pm</t>
  </si>
  <si>
    <t>23/05/2023, 3:34:37 pm</t>
  </si>
  <si>
    <t>23/05/2023, 3:34:38 pm</t>
  </si>
  <si>
    <t>23/05/2023, 3:34:39 pm</t>
  </si>
  <si>
    <t>23/05/2023, 3:34:40 pm</t>
  </si>
  <si>
    <t>23/05/2023, 3:34:41 pm</t>
  </si>
  <si>
    <t>23/05/2023, 3:34:42 pm</t>
  </si>
  <si>
    <t>23/05/2023, 3:34:43 pm</t>
  </si>
  <si>
    <t>23/05/2023, 3:34:44 pm</t>
  </si>
  <si>
    <t>23/05/2023, 3:34:45 pm</t>
  </si>
  <si>
    <t>23/05/2023, 3:34:46 pm</t>
  </si>
  <si>
    <t>23/05/2023, 3:34:47 pm</t>
  </si>
  <si>
    <t>23/05/2023, 3:34:48 pm</t>
  </si>
  <si>
    <t>23/05/2023, 3:34:49 pm</t>
  </si>
  <si>
    <t>23/05/2023, 3:34:50 pm</t>
  </si>
  <si>
    <t>23/05/2023, 3:34:51 pm</t>
  </si>
  <si>
    <t>23/05/2023, 3:34:52 pm</t>
  </si>
  <si>
    <t>23/05/2023, 3:34:53 pm</t>
  </si>
  <si>
    <t>23/05/2023, 3:34:54 pm</t>
  </si>
  <si>
    <t>23/05/2023, 3:34:55 pm</t>
  </si>
  <si>
    <t>23/05/2023, 3:34:56 pm</t>
  </si>
  <si>
    <t>23/05/2023, 3:34:57 pm</t>
  </si>
  <si>
    <t>23/05/2023, 3:34:58 pm</t>
  </si>
  <si>
    <t>23/05/2023, 3:34:59 pm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</si>
  <si>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</si>
  <si>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</si>
  <si>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</si>
  <si>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</si>
  <si>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</si>
  <si>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</si>
  <si>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</si>
  <si>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</si>
  <si>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</si>
  <si>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</si>
  <si>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</si>
  <si>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</si>
  <si>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</si>
  <si>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</si>
  <si>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</si>
  <si>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</si>
  <si>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</si>
  <si>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</si>
  <si>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</si>
  <si>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</si>
  <si>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</si>
  <si>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</si>
  <si>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</si>
  <si>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</si>
  <si>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</si>
  <si>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</si>
  <si>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</si>
  <si>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</si>
  <si>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</si>
  <si>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</si>
  <si>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</si>
  <si>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</si>
  <si>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</si>
  <si>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</si>
  <si>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</si>
  <si>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</si>
  <si>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</si>
  <si>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</si>
  <si>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</si>
  <si>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</si>
  <si>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</si>
  <si>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</si>
  <si>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</si>
  <si>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</si>
  <si>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</si>
  <si>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</si>
  <si>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</si>
  <si>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</si>
  <si>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</si>
  <si>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</si>
  <si>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</si>
  <si>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</si>
  <si>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</si>
  <si>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</si>
  <si>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</si>
  <si>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</si>
  <si>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</si>
  <si>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</si>
  <si>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</si>
  <si>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</si>
  <si>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23/05/2023, 3:36:03 pm</t>
  </si>
  <si>
    <t>23/05/2023, 3:36:04 pm</t>
  </si>
  <si>
    <t>23/05/2023, 3:36:05 pm</t>
  </si>
  <si>
    <t>23/05/2023, 3:36:06 pm</t>
  </si>
  <si>
    <t>23/05/2023, 3:36:07 pm</t>
  </si>
  <si>
    <t>23/05/2023, 3:36:08 pm</t>
  </si>
  <si>
    <t>23/05/2023, 3:36:09 pm</t>
  </si>
  <si>
    <t>23/05/2023, 3:36:10 pm</t>
  </si>
  <si>
    <t>23/05/2023, 3:36:11 pm</t>
  </si>
  <si>
    <t>23/05/2023, 3:36:12 pm</t>
  </si>
  <si>
    <t>23/05/2023, 3:36:13 pm</t>
  </si>
  <si>
    <t>23/05/2023, 3:36:14 pm</t>
  </si>
  <si>
    <t>23/05/2023, 3:36:15 pm</t>
  </si>
  <si>
    <t>23/05/2023, 3:36:16 pm</t>
  </si>
  <si>
    <t>23/05/2023, 3:36:17 pm</t>
  </si>
  <si>
    <t>23/05/2023, 3:36:18 pm</t>
  </si>
  <si>
    <t>23/05/2023, 3:36:19 pm</t>
  </si>
  <si>
    <t>23/05/2023, 3:36:20 pm</t>
  </si>
  <si>
    <t>23/05/2023, 3:36:21 pm</t>
  </si>
  <si>
    <t>23/05/2023, 3:36:22 pm</t>
  </si>
  <si>
    <t>23/05/2023, 3:36:23 pm</t>
  </si>
  <si>
    <t>23/05/2023, 3:36:24 pm</t>
  </si>
  <si>
    <t>23/05/2023, 3:36:25 pm</t>
  </si>
  <si>
    <t>23/05/2023, 3:36:26 pm</t>
  </si>
  <si>
    <t>23/05/2023, 3:36:27 pm</t>
  </si>
  <si>
    <t>23/05/2023, 3:36:28 pm</t>
  </si>
  <si>
    <t>23/05/2023, 3:36:29 pm</t>
  </si>
  <si>
    <t>23/05/2023, 3:36:30 pm</t>
  </si>
  <si>
    <t>23/05/2023, 3:36:31 pm</t>
  </si>
  <si>
    <t>23/05/2023, 3:36:32 pm</t>
  </si>
  <si>
    <t>23/05/2023, 3:36:33 pm</t>
  </si>
  <si>
    <t>23/05/2023, 3:36:34 pm</t>
  </si>
  <si>
    <t>23/05/2023, 3:36:35 pm</t>
  </si>
  <si>
    <t>23/05/2023, 3:36:36 pm</t>
  </si>
  <si>
    <t>23/05/2023, 3:36:37 pm</t>
  </si>
  <si>
    <t>23/05/2023, 3:36:38 pm</t>
  </si>
  <si>
    <t>23/05/2023, 3:36:39 pm</t>
  </si>
  <si>
    <t>23/05/2023, 3:36:40 pm</t>
  </si>
  <si>
    <t>23/05/2023, 3:36:41 pm</t>
  </si>
  <si>
    <t>23/05/2023, 3:36:42 pm</t>
  </si>
  <si>
    <t>23/05/2023, 3:36:43 pm</t>
  </si>
  <si>
    <t>23/05/2023, 3:36:44 pm</t>
  </si>
  <si>
    <t>23/05/2023, 3:36:45 pm</t>
  </si>
  <si>
    <t>23/05/2023, 3:36:46 pm</t>
  </si>
  <si>
    <t>23/05/2023, 3:36:47 pm</t>
  </si>
  <si>
    <t>23/05/2023, 3:36:48 pm</t>
  </si>
  <si>
    <t>23/05/2023, 3:36:50 pm</t>
  </si>
  <si>
    <t>23/05/2023, 3:36:51 pm</t>
  </si>
  <si>
    <t>23/05/2023, 3:36:52 pm</t>
  </si>
  <si>
    <t>23/05/2023, 3:36:53 pm</t>
  </si>
  <si>
    <t>23/05/2023, 3:36:54 pm</t>
  </si>
  <si>
    <t>23/05/2023, 3:36:55 pm</t>
  </si>
  <si>
    <t>23/05/2023, 3:36:56 pm</t>
  </si>
  <si>
    <t>23/05/2023, 3:36:57 pm</t>
  </si>
  <si>
    <t>23/05/2023, 3:36:58 pm</t>
  </si>
  <si>
    <t>23/05/2023, 3:36:59 pm</t>
  </si>
  <si>
    <t>23/05/2023, 3:37:00 pm</t>
  </si>
  <si>
    <t>23/05/2023, 3:37:01 pm</t>
  </si>
  <si>
    <t>23/05/2023, 3:37:02 pm</t>
  </si>
  <si>
    <t>23/05/2023, 3:37:03 pm</t>
  </si>
  <si>
    <t>23/05/2023, 3:37:04 pm</t>
  </si>
  <si>
    <t>23/05/2023, 3:37:05 pm</t>
  </si>
  <si>
    <t>23/05/2023, 3:37:06 pm</t>
  </si>
  <si>
    <t>23/05/2023, 3:37:07 pm</t>
  </si>
  <si>
    <t>23/05/2023, 3:37:08 pm</t>
  </si>
  <si>
    <t>23/05/2023, 3:37:09 pm</t>
  </si>
  <si>
    <t>23/05/2023, 3:37:10 pm</t>
  </si>
  <si>
    <t>23/05/2023, 3:37:11 pm</t>
  </si>
  <si>
    <t>23/05/2023, 3:37:12 pm</t>
  </si>
  <si>
    <t>23/05/2023, 3:37:13 pm</t>
  </si>
  <si>
    <t>23/05/2023, 3:37:14 pm</t>
  </si>
  <si>
    <t>23/05/2023, 3:37:15 pm</t>
  </si>
  <si>
    <t>23/05/2023, 3:37:16 pm</t>
  </si>
  <si>
    <t>23/05/2023, 3:37:17 pm</t>
  </si>
  <si>
    <t>23/05/2023, 3:37:18 pm</t>
  </si>
  <si>
    <t>23/05/2023, 3:37:21 pm</t>
  </si>
  <si>
    <t>23/05/2023, 3:37:22 pm</t>
  </si>
  <si>
    <t>23/05/2023, 3:37:23 pm</t>
  </si>
  <si>
    <t>23/05/2023, 3:37:24 pm</t>
  </si>
  <si>
    <t>23/05/2023, 3:37:25 pm</t>
  </si>
  <si>
    <t>23/05/2023, 3:37:26 pm</t>
  </si>
  <si>
    <t>23/05/2023, 3:37:27 pm</t>
  </si>
  <si>
    <t>23/05/2023, 3:37:28 pm</t>
  </si>
  <si>
    <t>23/05/2023, 3:37:29 pm</t>
  </si>
  <si>
    <t>23/05/2023, 3:37:30 pm</t>
  </si>
  <si>
    <t>23/05/2023, 3:37:31 pm</t>
  </si>
  <si>
    <t>23/05/2023, 3:37:32 pm</t>
  </si>
  <si>
    <t>23/05/2023, 3:37:33 pm</t>
  </si>
  <si>
    <t>23/05/2023, 3:37:34 pm</t>
  </si>
  <si>
    <t>23/05/2023, 3:37:35 pm</t>
  </si>
  <si>
    <t>23/05/2023, 3:37:36 pm</t>
  </si>
  <si>
    <t>23/05/2023, 3:37:37 pm</t>
  </si>
  <si>
    <t>23/05/2023, 3:37:38 pm</t>
  </si>
  <si>
    <t>23/05/2023, 3:37:39 pm</t>
  </si>
  <si>
    <t>23/05/2023, 3:37:40 pm</t>
  </si>
  <si>
    <t>23/05/2023, 3:37:41 pm</t>
  </si>
  <si>
    <t>23/05/2023, 3:37:42 pm</t>
  </si>
  <si>
    <t>23/05/2023, 3:37:43 pm</t>
  </si>
  <si>
    <t>23/05/2023, 3:37:44 pm</t>
  </si>
  <si>
    <t>23/05/2023, 3:37:45 pm</t>
  </si>
  <si>
    <t>23/05/2023, 3:37:47 pm</t>
  </si>
  <si>
    <t>23/05/2023, 3:37:48 pm</t>
  </si>
  <si>
    <t>23/05/2023, 3:37:49 pm</t>
  </si>
  <si>
    <t>23/05/2023, 3:37:50 pm</t>
  </si>
  <si>
    <t>23/05/2023, 3:37:51 pm</t>
  </si>
  <si>
    <t>23/05/2023, 3:37:52 pm</t>
  </si>
  <si>
    <t>23/05/2023, 3:37:53 pm</t>
  </si>
  <si>
    <t>23/05/2023, 3:37:54 pm</t>
  </si>
  <si>
    <t>23/05/2023, 3:37:55 pm</t>
  </si>
  <si>
    <t>23/05/2023, 3:37:56 pm</t>
  </si>
  <si>
    <t>23/05/2023, 3:37:57 pm</t>
  </si>
  <si>
    <t>23/05/2023, 3:37:58 pm</t>
  </si>
  <si>
    <t>23/05/2023, 3:37:59 pm</t>
  </si>
  <si>
    <t>23/05/2023, 3:38:00 pm</t>
  </si>
  <si>
    <t>23/05/2023, 3:38:01 pm</t>
  </si>
  <si>
    <t>23/05/2023, 3:38:02 pm</t>
  </si>
  <si>
    <t>23/05/2023, 3:38:03 pm</t>
  </si>
  <si>
    <t>23/05/2023, 3:38:04 pm</t>
  </si>
  <si>
    <t>23/05/2023, 3:38:05 pm</t>
  </si>
  <si>
    <t>23/05/2023, 3:38:06 pm</t>
  </si>
  <si>
    <t>23/05/2023, 3:38:07 pm</t>
  </si>
  <si>
    <t>23/05/2023, 3:38:08 pm</t>
  </si>
  <si>
    <t>23/05/2023, 3:38:09 pm</t>
  </si>
  <si>
    <t>23/05/2023, 3:38:10 pm</t>
  </si>
  <si>
    <t>23/05/2023, 3:38:11 pm</t>
  </si>
  <si>
    <t>23/05/2023, 3:38:12 pm</t>
  </si>
  <si>
    <t>23/05/2023, 3:38:13 pm</t>
  </si>
  <si>
    <t>23/05/2023, 3:38:14 pm</t>
  </si>
  <si>
    <t>23/05/2023, 3:38:15 pm</t>
  </si>
  <si>
    <t>23/05/2023, 3:38:16 pm</t>
  </si>
  <si>
    <t>23/05/2023, 3:38:17 pm</t>
  </si>
  <si>
    <t>23/05/2023, 3:38:18 pm</t>
  </si>
  <si>
    <t>23/05/2023, 3:38:19 pm</t>
  </si>
  <si>
    <t>23/05/2023, 3:38:20 pm</t>
  </si>
  <si>
    <t>23/05/2023, 3:38:23 pm</t>
  </si>
  <si>
    <t>23/05/2023, 3:38:24 pm</t>
  </si>
  <si>
    <t>23/05/2023, 3:38:25 pm</t>
  </si>
  <si>
    <t>23/05/2023, 3:38:26 pm</t>
  </si>
  <si>
    <t>23/05/2023, 3:38:27 pm</t>
  </si>
  <si>
    <t>23/05/2023, 3:38:28 pm</t>
  </si>
  <si>
    <t>23/05/2023, 3:38:29 pm</t>
  </si>
  <si>
    <t>23/05/2023, 3:38:30 pm</t>
  </si>
  <si>
    <t>23/05/2023, 3:38:31 pm</t>
  </si>
  <si>
    <t>23/05/2023, 3:38:32 pm</t>
  </si>
  <si>
    <t>23/05/2023, 3:38:33 pm</t>
  </si>
  <si>
    <t>23/05/2023, 3:38:34 pm</t>
  </si>
  <si>
    <t>23/05/2023, 3:38:35 pm</t>
  </si>
  <si>
    <t>23/05/2023, 3:38:36 pm</t>
  </si>
  <si>
    <t>23/05/2023, 3:38:37 pm</t>
  </si>
  <si>
    <t>23/05/2023, 3:38:38 pm</t>
  </si>
  <si>
    <t>23/05/2023, 3:38:39 pm</t>
  </si>
  <si>
    <t>23/05/2023, 3:38:40 pm</t>
  </si>
  <si>
    <t>23/05/2023, 3:38:41 pm</t>
  </si>
  <si>
    <t>23/05/2023, 3:38:42 pm</t>
  </si>
  <si>
    <t>23/05/2023, 3:38:43 pm</t>
  </si>
  <si>
    <t>23/05/2023, 3:38:44 pm</t>
  </si>
  <si>
    <t>23/05/2023, 3:38:45 pm</t>
  </si>
  <si>
    <t>23/05/2023, 3:38:46 pm</t>
  </si>
  <si>
    <t>23/05/2023, 3:38:47 pm</t>
  </si>
  <si>
    <t>23/05/2023, 3:38:48 pm</t>
  </si>
  <si>
    <t>23/05/2023, 3:38:49 pm</t>
  </si>
  <si>
    <t>23/05/2023, 3:38:50 pm</t>
  </si>
  <si>
    <t>23/05/2023, 3:38:51 pm</t>
  </si>
  <si>
    <t>23/05/2023, 3:38:52 pm</t>
  </si>
  <si>
    <t>23/05/2023, 3:38:55 pm</t>
  </si>
  <si>
    <t>23/05/2023, 3:38:56 pm</t>
  </si>
  <si>
    <t>23/05/2023, 3:38:57 pm</t>
  </si>
  <si>
    <t>23/05/2023, 3:38:58 pm</t>
  </si>
  <si>
    <t>23/05/2023, 3:38:59 pm</t>
  </si>
  <si>
    <t>23/05/2023, 3:39:00 pm</t>
  </si>
  <si>
    <t>23/05/2023, 3:39:01 pm</t>
  </si>
  <si>
    <t>23/05/2023, 3:39:02 pm</t>
  </si>
  <si>
    <t>23/05/2023, 3:39:03 pm</t>
  </si>
  <si>
    <t>23/05/2023, 3:39:04 pm</t>
  </si>
  <si>
    <t>23/05/2023, 3:39:05 pm</t>
  </si>
  <si>
    <t>23/05/2023, 3:39:06 pm</t>
  </si>
  <si>
    <t>23/05/2023, 3:39:07 pm</t>
  </si>
  <si>
    <t>23/05/2023, 3:39:08 pm</t>
  </si>
  <si>
    <t>23/05/2023, 3:39:09 pm</t>
  </si>
  <si>
    <t>23/05/2023, 3:39:12 pm</t>
  </si>
  <si>
    <t>23/05/2023, 3:39:13 pm</t>
  </si>
  <si>
    <t>23/05/2023, 3:39:14 pm</t>
  </si>
  <si>
    <t>23/05/2023, 3:39:15 pm</t>
  </si>
  <si>
    <t>23/05/2023, 3:39:16 pm</t>
  </si>
  <si>
    <t>23/05/2023, 3:39:17 pm</t>
  </si>
  <si>
    <t>23/05/2023, 3:39:18 pm</t>
  </si>
  <si>
    <t>23/05/2023, 3:39:19 pm</t>
  </si>
  <si>
    <t>23/05/2023, 3:39:20 pm</t>
  </si>
  <si>
    <t>23/05/2023, 3:39:21 pm</t>
  </si>
  <si>
    <t>23/05/2023, 3:39:22 pm</t>
  </si>
  <si>
    <t>23/05/2023, 3:39:23 pm</t>
  </si>
  <si>
    <t>23/05/2023, 3:39:24 pm</t>
  </si>
  <si>
    <t>23/05/2023, 3:39:25 pm</t>
  </si>
  <si>
    <t>23/05/2023, 3:39:26 pm</t>
  </si>
  <si>
    <t>23/05/2023, 3:39:27 pm</t>
  </si>
  <si>
    <t>23/05/2023, 3:39:28 pm</t>
  </si>
  <si>
    <t>23/05/2023, 3:39:29 pm</t>
  </si>
  <si>
    <t>23/05/2023, 3:39:30 pm</t>
  </si>
  <si>
    <t>23/05/2023, 3:39:31 pm</t>
  </si>
  <si>
    <t>23/05/2023, 3:39:32 pm</t>
  </si>
  <si>
    <t>23/05/2023, 3:39:33 pm</t>
  </si>
  <si>
    <t>23/05/2023, 3:39:34 pm</t>
  </si>
  <si>
    <t>23/05/2023, 3:39:35 pm</t>
  </si>
  <si>
    <t>23/05/2023, 3:39:36 pm</t>
  </si>
  <si>
    <t>23/05/2023, 3:39:37 pm</t>
  </si>
  <si>
    <t>23/05/2023, 3:39:38 pm</t>
  </si>
  <si>
    <t>23/05/2023, 3:39:39 pm</t>
  </si>
  <si>
    <t>23/05/2023, 3:39:40 pm</t>
  </si>
  <si>
    <t>23/05/2023, 3:39:41 pm</t>
  </si>
  <si>
    <t>23/05/2023, 3:39:42 pm</t>
  </si>
  <si>
    <t>23/05/2023, 3:39:43 pm</t>
  </si>
  <si>
    <t>23/05/2023, 3:39:44 pm</t>
  </si>
  <si>
    <t>23/05/2023, 3:39:45 pm</t>
  </si>
  <si>
    <t>23/05/2023, 3:39:46 pm</t>
  </si>
  <si>
    <t>23/05/2023, 3:39:47 pm</t>
  </si>
  <si>
    <t>23/05/2023, 3:39:48 pm</t>
  </si>
  <si>
    <t>23/05/2023, 3:39:49 pm</t>
  </si>
  <si>
    <t>23/05/2023, 3:39:50 pm</t>
  </si>
  <si>
    <t>23/05/2023, 3:39:51 pm</t>
  </si>
  <si>
    <t>23/05/2023, 3:39:52 pm</t>
  </si>
  <si>
    <t>23/05/2023, 3:39:53 pm</t>
  </si>
  <si>
    <t>23/05/2023, 3:39:54 pm</t>
  </si>
  <si>
    <t>23/05/2023, 3:39:55 pm</t>
  </si>
  <si>
    <t>23/05/2023, 3:39:56 pm</t>
  </si>
  <si>
    <t>23/05/2023, 3:39:57 pm</t>
  </si>
  <si>
    <t>23/05/2023, 3:39:58 pm</t>
  </si>
  <si>
    <t>23/05/2023, 3:39:59 pm</t>
  </si>
  <si>
    <t>23/05/2023, 3:40:00 pm</t>
  </si>
  <si>
    <t>23/05/2023, 3:40:01 pm</t>
  </si>
  <si>
    <t>23/05/2023, 3:40:02 pm</t>
  </si>
  <si>
    <t>23/05/2023, 3:40:03 pm</t>
  </si>
  <si>
    <t>23/05/2023, 3:40:04 pm</t>
  </si>
  <si>
    <t>23/05/2023, 3:40:05 pm</t>
  </si>
  <si>
    <t>23/05/2023, 3:40:06 pm</t>
  </si>
  <si>
    <t>23/05/2023, 3:40:07 pm</t>
  </si>
  <si>
    <t>23/05/2023, 3:40:08 pm</t>
  </si>
  <si>
    <t>23/05/2023, 3:40:09 pm</t>
  </si>
  <si>
    <t>23/05/2023, 3:40:10 pm</t>
  </si>
  <si>
    <t>23/05/2023, 3:40:11 pm</t>
  </si>
  <si>
    <t>23/05/2023, 3:40:12 pm</t>
  </si>
  <si>
    <t>23/05/2023, 3:40:13 pm</t>
  </si>
  <si>
    <t>23/05/2023, 3:40:14 pm</t>
  </si>
  <si>
    <t>23/05/2023, 3:40:15 pm</t>
  </si>
  <si>
    <t>23/05/2023, 3:40:16 pm</t>
  </si>
  <si>
    <t>23/05/2023, 3:40:17 pm</t>
  </si>
  <si>
    <t>23/05/2023, 3:40:18 pm</t>
  </si>
  <si>
    <t>23/05/2023, 3:40:19 pm</t>
  </si>
  <si>
    <t>23/05/2023, 3:40:20 pm</t>
  </si>
  <si>
    <t>23/05/2023, 3:40:21 pm</t>
  </si>
  <si>
    <t>23/05/2023, 3:40:24 pm</t>
  </si>
  <si>
    <t>23/05/2023, 3:40:25 pm</t>
  </si>
  <si>
    <t>23/05/2023, 3:40:26 pm</t>
  </si>
  <si>
    <t>23/05/2023, 3:40:27 pm</t>
  </si>
  <si>
    <t>23/05/2023, 3:40:28 pm</t>
  </si>
  <si>
    <t>23/05/2023, 3:40:29 pm</t>
  </si>
  <si>
    <t>23/05/2023, 3:40:30 pm</t>
  </si>
  <si>
    <t>23/05/2023, 3:40:31 pm</t>
  </si>
  <si>
    <t>23/05/2023, 3:40:32 pm</t>
  </si>
  <si>
    <t>23/05/2023, 3:40:33 pm</t>
  </si>
  <si>
    <t>23/05/2023, 3:40:34 pm</t>
  </si>
  <si>
    <t>23/05/2023, 3:40:35 pm</t>
  </si>
  <si>
    <t>23/05/2023, 3:40:36 pm</t>
  </si>
  <si>
    <t>23/05/2023, 3:40:37 pm</t>
  </si>
  <si>
    <t>23/05/2023, 3:40:38 pm</t>
  </si>
  <si>
    <t>23/05/2023, 3:40:39 pm</t>
  </si>
  <si>
    <t>23/05/2023, 3:40:40 pm</t>
  </si>
  <si>
    <t>23/05/2023, 3:40:41 pm</t>
  </si>
  <si>
    <t>23/05/2023, 3:40:42 pm</t>
  </si>
  <si>
    <t>23/05/2023, 3:40:43 pm</t>
  </si>
  <si>
    <t>23/05/2023, 3:40:44 pm</t>
  </si>
  <si>
    <t>23/05/2023, 3:40:45 pm</t>
  </si>
  <si>
    <t>23/05/2023, 3:40:46 pm</t>
  </si>
  <si>
    <t>23/05/2023, 3:40:47 pm</t>
  </si>
  <si>
    <t>23/05/2023, 3:40:48 pm</t>
  </si>
  <si>
    <t>23/05/2023, 3:40:49 pm</t>
  </si>
  <si>
    <t>23/05/2023, 3:40:50 pm</t>
  </si>
  <si>
    <t>23/05/2023, 3:40:51 pm</t>
  </si>
  <si>
    <t>23/05/2023, 3:40:52 pm</t>
  </si>
  <si>
    <t>23/05/2023, 3:40:53 pm</t>
  </si>
  <si>
    <t>23/05/2023, 3:40:54 pm</t>
  </si>
  <si>
    <t>23/05/2023, 3:40:55 pm</t>
  </si>
  <si>
    <t>23/05/2023, 3:40:56 pm</t>
  </si>
  <si>
    <t>23/05/2023, 3:40:57 pm</t>
  </si>
  <si>
    <t>23/05/2023, 3:40:58 pm</t>
  </si>
  <si>
    <t>23/05/2023, 3:40:59 pm</t>
  </si>
  <si>
    <t>23/05/2023, 3:41:00 pm</t>
  </si>
  <si>
    <t>23/05/2023, 3:41:01 pm</t>
  </si>
  <si>
    <t>23/05/2023, 3:41:02 pm</t>
  </si>
  <si>
    <t>23/05/2023, 3:41:03 pm</t>
  </si>
  <si>
    <t>23/05/2023, 3:41:04 pm</t>
  </si>
  <si>
    <t>23/05/2023, 3:41:05 pm</t>
  </si>
  <si>
    <t>23/05/2023, 3:41:06 pm</t>
  </si>
  <si>
    <t>23/05/2023, 3:41:07 pm</t>
  </si>
  <si>
    <t>23/05/2023, 3:41:08 pm</t>
  </si>
  <si>
    <t>23/05/2023, 3:41:09 pm</t>
  </si>
  <si>
    <t>23/05/2023, 3:41:10 pm</t>
  </si>
  <si>
    <t>23/05/2023, 3:41:11 pm</t>
  </si>
  <si>
    <t>23/05/2023, 3:41:12 pm</t>
  </si>
  <si>
    <t>23/05/2023, 3:41:13 pm</t>
  </si>
  <si>
    <t>23/05/2023, 3:41:14 pm</t>
  </si>
  <si>
    <t>23/05/2023, 3:41:15 pm</t>
  </si>
  <si>
    <t>23/05/2023, 3:41:16 pm</t>
  </si>
  <si>
    <t>23/05/2023, 3:41:17 pm</t>
  </si>
  <si>
    <t>23/05/2023, 3:41:18 pm</t>
  </si>
  <si>
    <t>23/05/2023, 3:41:19 pm</t>
  </si>
  <si>
    <t>23/05/2023, 3:41:20 pm</t>
  </si>
  <si>
    <t>23/05/2023, 3:41:21 pm</t>
  </si>
  <si>
    <t>23/05/2023, 3:41:28 pm</t>
  </si>
  <si>
    <t>23/05/2023, 3:41:29 pm</t>
  </si>
  <si>
    <t>23/05/2023, 3:41:30 pm</t>
  </si>
  <si>
    <t>23/05/2023, 3:41:31 pm</t>
  </si>
  <si>
    <t>23/05/2023, 3:41:32 pm</t>
  </si>
  <si>
    <t>23/05/2023, 3:41:33 pm</t>
  </si>
  <si>
    <t>23/05/2023, 3:41:34 pm</t>
  </si>
  <si>
    <t>23/05/2023, 3:41:36 pm</t>
  </si>
  <si>
    <t>23/05/2023, 3:41:37 pm</t>
  </si>
  <si>
    <t>23/05/2023, 3:41:38 pm</t>
  </si>
  <si>
    <t>23/05/2023, 3:41:39 pm</t>
  </si>
  <si>
    <t>23/05/2023, 3:41:40 pm</t>
  </si>
  <si>
    <t>23/05/2023, 3:41:41 pm</t>
  </si>
  <si>
    <t>23/05/2023, 3:41:42 pm</t>
  </si>
  <si>
    <t>23/05/2023, 3:41:43 pm</t>
  </si>
  <si>
    <t>23/05/2023, 3:41:44 pm</t>
  </si>
  <si>
    <t>23/05/2023, 3:41:47 pm</t>
  </si>
  <si>
    <t>23/05/2023, 3:41:48 pm</t>
  </si>
  <si>
    <t>23/05/2023, 3:41:49 pm</t>
  </si>
  <si>
    <t>23/05/2023, 3:41:50 pm</t>
  </si>
  <si>
    <t>23/05/2023, 3:41:51 pm</t>
  </si>
  <si>
    <t>23/05/2023, 3:41:52 pm</t>
  </si>
  <si>
    <t>23/05/2023, 3:41:53 pm</t>
  </si>
  <si>
    <t>23/05/2023, 3:41:54 pm</t>
  </si>
  <si>
    <t>23/05/2023, 3:41:55 pm</t>
  </si>
  <si>
    <t>23/05/2023, 3:41:56 pm</t>
  </si>
  <si>
    <t>23/05/2023, 3:41:57 pm</t>
  </si>
  <si>
    <t>23/05/2023, 3:41:58 pm</t>
  </si>
  <si>
    <t>23/05/2023, 3:41:59 pm</t>
  </si>
  <si>
    <t>23/05/2023, 3:42:00 pm</t>
  </si>
  <si>
    <t>23/05/2023, 3:42:01 pm</t>
  </si>
  <si>
    <t>23/05/2023, 3:42:02 pm</t>
  </si>
  <si>
    <t>23/05/2023, 3:42:03 pm</t>
  </si>
  <si>
    <t>23/05/2023, 3:42:04 pm</t>
  </si>
  <si>
    <t>23/05/2023, 3:42:05 pm</t>
  </si>
  <si>
    <t>23/05/2023, 3:42:06 pm</t>
  </si>
  <si>
    <t>23/05/2023, 3:42:07 pm</t>
  </si>
  <si>
    <t>23/05/2023, 3:42:08 pm</t>
  </si>
  <si>
    <t>23/05/2023, 3:42:09 pm</t>
  </si>
  <si>
    <t>23/05/2023, 3:42:10 pm</t>
  </si>
  <si>
    <t>23/05/2023, 3:42:11 pm</t>
  </si>
  <si>
    <t>23/05/2023, 3:42:12 pm</t>
  </si>
  <si>
    <t>23/05/2023, 3:42:13 pm</t>
  </si>
  <si>
    <t>23/05/2023, 3:42:14 pm</t>
  </si>
  <si>
    <t>23/05/2023, 3:42:15 pm</t>
  </si>
  <si>
    <t>23/05/2023, 3:42:16 pm</t>
  </si>
  <si>
    <t>23/05/2023, 3:42:17 pm</t>
  </si>
  <si>
    <t>23/05/2023, 3:42:18 pm</t>
  </si>
  <si>
    <t>23/05/2023, 3:42:19 pm</t>
  </si>
  <si>
    <t>23/05/2023, 3:42:20 pm</t>
  </si>
  <si>
    <t>23/05/2023, 3:42:21 pm</t>
  </si>
  <si>
    <t>23/05/2023, 3:42:22 pm</t>
  </si>
  <si>
    <t>23/05/2023, 3:42:23 pm</t>
  </si>
  <si>
    <t>23/05/2023, 3:42:24 pm</t>
  </si>
  <si>
    <t>23/05/2023, 3:42:25 pm</t>
  </si>
  <si>
    <t>23/05/2023, 3:42:26 pm</t>
  </si>
  <si>
    <t>23/05/2023, 3:42:27 pm</t>
  </si>
  <si>
    <t>23/05/2023, 3:42:28 pm</t>
  </si>
  <si>
    <t>23/05/2023, 3:42:29 pm</t>
  </si>
  <si>
    <t>23/05/2023, 3:42:30 pm</t>
  </si>
  <si>
    <t>23/05/2023, 3:42:31 pm</t>
  </si>
  <si>
    <t>23/05/2023, 3:42:32 pm</t>
  </si>
  <si>
    <t>23/05/2023, 3:42:33 pm</t>
  </si>
  <si>
    <t>23/05/2023, 3:42:34 pm</t>
  </si>
  <si>
    <t>23/05/2023, 3:42:35 pm</t>
  </si>
  <si>
    <t>23/05/2023, 3:42:36 pm</t>
  </si>
  <si>
    <t>23/05/2023, 3:42:37 pm</t>
  </si>
  <si>
    <t>23/05/2023, 3:42:38 pm</t>
  </si>
  <si>
    <t>23/05/2023, 3:42:39 pm</t>
  </si>
  <si>
    <t>23/05/2023, 3:42:40 pm</t>
  </si>
  <si>
    <t>23/05/2023, 3:42:41 pm</t>
  </si>
  <si>
    <t>23/05/2023, 3:42:42 pm</t>
  </si>
  <si>
    <t>23/05/2023, 3:42:43 pm</t>
  </si>
  <si>
    <t>23/05/2023, 3:42:44 pm</t>
  </si>
  <si>
    <t>23/05/2023, 3:42:45 pm</t>
  </si>
  <si>
    <t>23/05/2023, 3:42:46 pm</t>
  </si>
  <si>
    <t>23/05/2023, 3:42:49 pm</t>
  </si>
  <si>
    <t>23/05/2023, 3:42:50 pm</t>
  </si>
  <si>
    <t>23/05/2023, 3:42:51 pm</t>
  </si>
  <si>
    <t>23/05/2023, 3:42:52 pm</t>
  </si>
  <si>
    <t>23/05/2023, 3:42:53 pm</t>
  </si>
  <si>
    <t>23/05/2023, 3:42:54 pm</t>
  </si>
  <si>
    <t>23/05/2023, 3:42:55 pm</t>
  </si>
  <si>
    <t>23/05/2023, 3:42:56 pm</t>
  </si>
  <si>
    <t>23/05/2023, 3:42:57 pm</t>
  </si>
  <si>
    <t>23/05/2023, 3:42:58 pm</t>
  </si>
  <si>
    <t>23/05/2023, 3:42:59 pm</t>
  </si>
  <si>
    <t>23/05/2023, 3:43:00 pm</t>
  </si>
  <si>
    <t>23/05/2023, 3:43:01 pm</t>
  </si>
  <si>
    <t>23/05/2023, 3:43:02 pm</t>
  </si>
  <si>
    <t>23/05/2023, 3:43:03 pm</t>
  </si>
  <si>
    <t>23/05/2023, 3:43:04 pm</t>
  </si>
  <si>
    <t>23/05/2023, 3:43:05 pm</t>
  </si>
  <si>
    <t>23/05/2023, 3:43:06 pm</t>
  </si>
  <si>
    <t>23/05/2023, 3:43:07 pm</t>
  </si>
  <si>
    <t>23/05/2023, 3:43:08 pm</t>
  </si>
  <si>
    <t>23/05/2023, 3:43:09 pm</t>
  </si>
  <si>
    <t>23/05/2023, 3:43:10 pm</t>
  </si>
  <si>
    <t>23/05/2023, 3:43:11 pm</t>
  </si>
  <si>
    <t>23/05/2023, 3:43:12 pm</t>
  </si>
  <si>
    <t>23/05/2023, 3:43:13 pm</t>
  </si>
  <si>
    <t>23/05/2023, 3:43:14 pm</t>
  </si>
  <si>
    <t>23/05/2023, 3:43:15 pm</t>
  </si>
  <si>
    <t>23/05/2023, 3:43:16 pm</t>
  </si>
  <si>
    <t>23/05/2023, 3:43:17 pm</t>
  </si>
  <si>
    <t>23/05/2023, 3:43:18 pm</t>
  </si>
  <si>
    <t>23/05/2023, 3:43:19 pm</t>
  </si>
  <si>
    <t>23/05/2023, 3:43:20 pm</t>
  </si>
  <si>
    <t>23/05/2023, 3:43:21 pm</t>
  </si>
  <si>
    <t>23/05/2023, 3:43:22 pm</t>
  </si>
  <si>
    <t>23/05/2023, 3:43:23 pm</t>
  </si>
  <si>
    <t>23/05/2023, 3:43:24 pm</t>
  </si>
  <si>
    <t>23/05/2023, 3:43:25 pm</t>
  </si>
  <si>
    <t>23/05/2023, 3:43:26 pm</t>
  </si>
  <si>
    <t>23/05/2023, 3:43:27 pm</t>
  </si>
  <si>
    <t>23/05/2023, 3:43:28 pm</t>
  </si>
  <si>
    <t>23/05/2023, 3:43:29 pm</t>
  </si>
  <si>
    <t>23/05/2023, 3:43:30 pm</t>
  </si>
  <si>
    <t>23/05/2023, 3:43:31 pm</t>
  </si>
  <si>
    <t>23/05/2023, 3:43:32 pm</t>
  </si>
  <si>
    <t>23/05/2023, 3:43:33 pm</t>
  </si>
  <si>
    <t>23/05/2023, 3:43:36 pm</t>
  </si>
  <si>
    <t>23/05/2023, 3:43:37 pm</t>
  </si>
  <si>
    <t>23/05/2023, 3:43:39 pm</t>
  </si>
  <si>
    <t>23/05/2023, 3:43:40 pm</t>
  </si>
  <si>
    <t>23/05/2023, 3:43:41 pm</t>
  </si>
  <si>
    <t>23/05/2023, 3:43:42 pm</t>
  </si>
  <si>
    <t>23/05/2023, 3:43:43 pm</t>
  </si>
  <si>
    <t>23/05/2023, 3:43:44 pm</t>
  </si>
  <si>
    <t>23/05/2023, 3:43:45 pm</t>
  </si>
  <si>
    <t>23/05/2023, 3:43:48 pm</t>
  </si>
  <si>
    <t>23/05/2023, 3:43:49 pm</t>
  </si>
  <si>
    <t>23/05/2023, 3:43:50 pm</t>
  </si>
  <si>
    <t>23/05/2023, 3:43:54 pm</t>
  </si>
  <si>
    <t>23/05/2023, 3:43:55 pm</t>
  </si>
  <si>
    <t>23/05/2023, 3:43:56 pm</t>
  </si>
  <si>
    <t>23/05/2023, 3:43:57 pm</t>
  </si>
  <si>
    <t>23/05/2023, 3:43:58 pm</t>
  </si>
  <si>
    <t>23/05/2023, 3:43:59 pm</t>
  </si>
  <si>
    <t>23/05/2023, 3:44:00 pm</t>
  </si>
  <si>
    <t>23/05/2023, 3:44:01 pm</t>
  </si>
  <si>
    <t>23/05/2023, 3:44:02 pm</t>
  </si>
  <si>
    <t>23/05/2023, 3:44:03 pm</t>
  </si>
  <si>
    <t>23/05/2023, 3:44:04 pm</t>
  </si>
  <si>
    <t>23/05/2023, 3:44:05 pm</t>
  </si>
  <si>
    <t>23/05/2023, 3:44:06 pm</t>
  </si>
  <si>
    <t>23/05/2023, 3:44:07 pm</t>
  </si>
  <si>
    <t>23/05/2023, 3:44:08 pm</t>
  </si>
  <si>
    <t>23/05/2023, 3:44:09 pm</t>
  </si>
  <si>
    <t>23/05/2023, 3:44:10 pm</t>
  </si>
  <si>
    <t>23/05/2023, 3:44:11 pm</t>
  </si>
  <si>
    <t>23/05/2023, 3:44:12 pm</t>
  </si>
  <si>
    <t>23/05/2023, 3:44:13 pm</t>
  </si>
  <si>
    <t>23/05/2023, 3:44:14 pm</t>
  </si>
  <si>
    <t>23/05/2023, 3:44:15 pm</t>
  </si>
  <si>
    <t>23/05/2023, 3:44:16 pm</t>
  </si>
  <si>
    <t>23/05/2023, 3:44:17 pm</t>
  </si>
  <si>
    <t>23/05/2023, 3:44:18 pm</t>
  </si>
  <si>
    <t>23/05/2023, 3:44:19 pm</t>
  </si>
  <si>
    <t>23/05/2023, 3:44:20 pm</t>
  </si>
  <si>
    <t>23/05/2023, 3:44:21 pm</t>
  </si>
  <si>
    <t>23/05/2023, 3:44:22 pm</t>
  </si>
  <si>
    <t>23/05/2023, 3:44:23 pm</t>
  </si>
  <si>
    <t>23/05/2023, 3:44:24 pm</t>
  </si>
  <si>
    <t>23/05/2023, 3:44:25 pm</t>
  </si>
  <si>
    <t>23/05/2023, 3:44:26 pm</t>
  </si>
  <si>
    <t>23/05/2023, 3:44:27 pm</t>
  </si>
  <si>
    <t>23/05/2023, 3:44:28 pm</t>
  </si>
  <si>
    <t>23/05/2023, 3:44:29 pm</t>
  </si>
  <si>
    <t>23/05/2023, 3:44:30 pm</t>
  </si>
  <si>
    <t>23/05/2023, 3:44:31 pm</t>
  </si>
  <si>
    <t>23/05/2023, 3:44:32 pm</t>
  </si>
  <si>
    <t>23/05/2023, 3:44:33 pm</t>
  </si>
  <si>
    <t>23/05/2023, 3:44:34 pm</t>
  </si>
  <si>
    <t>23/05/2023, 3:44:35 pm</t>
  </si>
  <si>
    <t>23/05/2023, 3:44:36 pm</t>
  </si>
  <si>
    <t>23/05/2023, 3:44:37 pm</t>
  </si>
  <si>
    <t>23/05/2023, 3:44:38 pm</t>
  </si>
  <si>
    <t>23/05/2023, 3:44:39 pm</t>
  </si>
  <si>
    <t>23/05/2023, 3:44:40 pm</t>
  </si>
  <si>
    <t>23/05/2023, 3:44:41 pm</t>
  </si>
  <si>
    <t>23/05/2023, 3:44:42 pm</t>
  </si>
  <si>
    <t>23/05/2023, 3:44:43 pm</t>
  </si>
  <si>
    <t>23/05/2023, 3:44:44 pm</t>
  </si>
  <si>
    <t>23/05/2023, 3:44:45 pm</t>
  </si>
  <si>
    <t>23/05/2023, 3:44:46 pm</t>
  </si>
  <si>
    <t>23/05/2023, 3:44:47 pm</t>
  </si>
  <si>
    <t>23/05/2023, 3:44:48 pm</t>
  </si>
  <si>
    <t>23/05/2023, 3:44:49 pm</t>
  </si>
  <si>
    <t>23/05/2023, 3:44:50 pm</t>
  </si>
  <si>
    <t>23/05/2023, 3:44:51 pm</t>
  </si>
  <si>
    <t>23/05/2023, 3:44:52 pm</t>
  </si>
  <si>
    <t>23/05/2023, 3:44:53 pm</t>
  </si>
  <si>
    <t>23/05/2023, 3:44:54 pm</t>
  </si>
  <si>
    <t>23/05/2023, 3:44:55 pm</t>
  </si>
  <si>
    <t>23/05/2023, 3:44:56 pm</t>
  </si>
  <si>
    <t>23/05/2023, 3:44:57 pm</t>
  </si>
  <si>
    <t>23/05/2023, 3:44:58 pm</t>
  </si>
  <si>
    <t>23/05/2023, 3:44:59 pm</t>
  </si>
  <si>
    <t>23/05/2023, 3:45:00 pm</t>
  </si>
  <si>
    <t>23/05/2023, 3:45:01 pm</t>
  </si>
  <si>
    <t>23/05/2023, 3:45:02 pm</t>
  </si>
  <si>
    <t>23/05/2023, 3:45:03 pm</t>
  </si>
  <si>
    <t>23/05/2023, 3:45:04 pm</t>
  </si>
  <si>
    <t>23/05/2023, 3:45:07 pm</t>
  </si>
  <si>
    <t>23/05/2023, 3:45:08 pm</t>
  </si>
  <si>
    <t>23/05/2023, 3:45:09 pm</t>
  </si>
  <si>
    <t>23/05/2023, 3:45:10 pm</t>
  </si>
  <si>
    <t>23/05/2023, 3:45:11 pm</t>
  </si>
  <si>
    <t>23/05/2023, 3:45:12 pm</t>
  </si>
  <si>
    <t>23/05/2023, 3:45:13 pm</t>
  </si>
  <si>
    <t>23/05/2023, 3:45:14 pm</t>
  </si>
  <si>
    <t>23/05/2023, 3:45:15 pm</t>
  </si>
  <si>
    <t>23/05/2023, 3:45:16 pm</t>
  </si>
  <si>
    <t>23/05/2023, 3:45:17 pm</t>
  </si>
  <si>
    <t>23/05/2023, 3:45:18 pm</t>
  </si>
  <si>
    <t>23/05/2023, 3:45:19 pm</t>
  </si>
  <si>
    <t>23/05/2023, 3:45:20 pm</t>
  </si>
  <si>
    <t>23/05/2023, 3:45:21 pm</t>
  </si>
  <si>
    <t>23/05/2023, 3:45:22 pm</t>
  </si>
  <si>
    <t>23/05/2023, 3:45:23 pm</t>
  </si>
  <si>
    <t>23/05/2023, 3:45:24 pm</t>
  </si>
  <si>
    <t>23/05/2023, 3:45:25 pm</t>
  </si>
  <si>
    <t>23/05/2023, 3:45:29 pm</t>
  </si>
  <si>
    <t>23/05/2023, 3:45:30 pm</t>
  </si>
  <si>
    <t>23/05/2023, 3:45:31 pm</t>
  </si>
  <si>
    <t>23/05/2023, 3:45:32 pm</t>
  </si>
  <si>
    <t>23/05/2023, 3:45:33 pm</t>
  </si>
  <si>
    <t>23/05/2023, 3:45:34 pm</t>
  </si>
  <si>
    <t>23/05/2023, 3:45:35 pm</t>
  </si>
  <si>
    <t>23/05/2023, 3:45:36 pm</t>
  </si>
  <si>
    <t>23/05/2023, 3:45:37 pm</t>
  </si>
  <si>
    <t>23/05/2023, 3:45:38 pm</t>
  </si>
  <si>
    <t>23/05/2023, 3:45:39 pm</t>
  </si>
  <si>
    <t>23/05/2023, 3:45:40 pm</t>
  </si>
  <si>
    <t>23/05/2023, 3:45:41 pm</t>
  </si>
  <si>
    <t>23/05/2023, 3:45:42 pm</t>
  </si>
  <si>
    <t>23/05/2023, 3:45:43 pm</t>
  </si>
  <si>
    <t>23/05/2023, 3:45:44 pm</t>
  </si>
  <si>
    <t>23/05/2023, 3:45:45 pm</t>
  </si>
  <si>
    <t>23/05/2023, 3:45:46 pm</t>
  </si>
  <si>
    <t>23/05/2023, 3:45:47 pm</t>
  </si>
  <si>
    <t>23/05/2023, 3:45:48 pm</t>
  </si>
  <si>
    <t>23/05/2023, 3:45:49 pm</t>
  </si>
  <si>
    <t>23/05/2023, 3:45:50 pm</t>
  </si>
  <si>
    <t>23/05/2023, 3:45:51 pm</t>
  </si>
  <si>
    <t>23/05/2023, 3:45:52 pm</t>
  </si>
  <si>
    <t>23/05/2023, 3:45:53 pm</t>
  </si>
  <si>
    <t>23/05/2023, 3:45:54 pm</t>
  </si>
  <si>
    <t>23/05/2023, 3:45:55 pm</t>
  </si>
  <si>
    <t>23/05/2023, 3:45:56 pm</t>
  </si>
  <si>
    <t>23/05/2023, 3:45:57 pm</t>
  </si>
  <si>
    <t>23/05/2023, 3:45:58 pm</t>
  </si>
  <si>
    <t>23/05/2023, 3:45:59 pm</t>
  </si>
  <si>
    <t>23/05/2023, 3:46:00 pm</t>
  </si>
  <si>
    <t>23/05/2023, 3:46:01 pm</t>
  </si>
  <si>
    <t>23/05/2023, 3:46:02 pm</t>
  </si>
  <si>
    <t>23/05/2023, 3:46:03 pm</t>
  </si>
  <si>
    <t>23/05/2023, 3:46:04 pm</t>
  </si>
  <si>
    <t>23/05/2023, 3:46:05 pm</t>
  </si>
  <si>
    <t>23/05/2023, 3:46:06 pm</t>
  </si>
  <si>
    <t>23/05/2023, 3:46:07 pm</t>
  </si>
  <si>
    <t>23/05/2023, 3:46:08 pm</t>
  </si>
  <si>
    <t>23/05/2023, 3:46:09 pm</t>
  </si>
  <si>
    <t>23/05/2023, 3:46:10 pm</t>
  </si>
  <si>
    <t>23/05/2023, 3:46:11 pm</t>
  </si>
  <si>
    <t>23/05/2023, 3:46:12 pm</t>
  </si>
  <si>
    <t>23/05/2023, 3:46:13 pm</t>
  </si>
  <si>
    <t>23/05/2023, 3:46:14 pm</t>
  </si>
  <si>
    <t>23/05/2023, 3:46:15 pm</t>
  </si>
  <si>
    <t>23/05/2023, 3:46:16 pm</t>
  </si>
  <si>
    <t>23/05/2023, 3:46:17 pm</t>
  </si>
  <si>
    <t>23/05/2023, 3:46:18 pm</t>
  </si>
  <si>
    <t>23/05/2023, 3:46:19 pm</t>
  </si>
  <si>
    <t>23/05/2023, 3:46:20 pm</t>
  </si>
  <si>
    <t>23/05/2023, 3:46:21 pm</t>
  </si>
  <si>
    <t>23/05/2023, 3:46:22 pm</t>
  </si>
  <si>
    <t>23/05/2023, 3:46:23 pm</t>
  </si>
  <si>
    <t>23/05/2023, 3:46:24 pm</t>
  </si>
  <si>
    <t>23/05/2023, 3:46:25 pm</t>
  </si>
  <si>
    <t>23/05/2023, 3:46:26 pm</t>
  </si>
  <si>
    <t>23/05/2023, 3:46:27 pm</t>
  </si>
  <si>
    <t>23/05/2023, 3:46:28 pm</t>
  </si>
  <si>
    <t>23/05/2023, 3:46:29 pm</t>
  </si>
  <si>
    <t>23/05/2023, 3:46:30 pm</t>
  </si>
  <si>
    <t>23/05/2023, 3:46:31 pm</t>
  </si>
  <si>
    <t>23/05/2023, 3:46:32 pm</t>
  </si>
  <si>
    <t>23/05/2023, 3:46:33 pm</t>
  </si>
  <si>
    <t>23/05/2023, 3:46:34 pm</t>
  </si>
  <si>
    <t>23/05/2023, 3:46:35 pm</t>
  </si>
  <si>
    <t>23/05/2023, 3:46:36 pm</t>
  </si>
  <si>
    <t>23/05/2023, 3:46:37 pm</t>
  </si>
  <si>
    <t>23/05/2023, 3:46:38 pm</t>
  </si>
  <si>
    <t>23/05/2023, 3:46:39 pm</t>
  </si>
  <si>
    <t>23/05/2023, 3:46:40 pm</t>
  </si>
  <si>
    <t>23/05/2023, 3:46:41 pm</t>
  </si>
  <si>
    <t>23/05/2023, 3:46:42 pm</t>
  </si>
  <si>
    <t>23/05/2023, 3:46:43 pm</t>
  </si>
  <si>
    <t>23/05/2023, 3:46:44 pm</t>
  </si>
  <si>
    <t>23/05/2023, 3:46:45 pm</t>
  </si>
  <si>
    <t>23/05/2023, 3:46:46 pm</t>
  </si>
  <si>
    <t>23/05/2023, 3:46:47 pm</t>
  </si>
  <si>
    <t>23/05/2023, 3:46:48 pm</t>
  </si>
  <si>
    <t>23/05/2023, 3:46:49 pm</t>
  </si>
  <si>
    <t>23/05/2023, 3:46:50 pm</t>
  </si>
  <si>
    <t>23/05/2023, 3:46:51 pm</t>
  </si>
  <si>
    <t>23/05/2023, 3:46:52 pm</t>
  </si>
  <si>
    <t>23/05/2023, 3:46:53 pm</t>
  </si>
  <si>
    <t>23/05/2023, 3:46:54 pm</t>
  </si>
  <si>
    <t>23/05/2023, 3:46:55 pm</t>
  </si>
  <si>
    <t>23/05/2023, 3:46:56 pm</t>
  </si>
  <si>
    <t>23/05/2023, 3:46:57 pm</t>
  </si>
  <si>
    <t>23/05/2023, 3:46:58 pm</t>
  </si>
  <si>
    <t>23/05/2023, 3:46:59 pm</t>
  </si>
  <si>
    <t>23/05/2023, 3:47:00 pm</t>
  </si>
  <si>
    <t>23/05/2023, 3:47:01 pm</t>
  </si>
  <si>
    <t>23/05/2023, 3:47:02 pm</t>
  </si>
  <si>
    <t>23/05/2023, 3:47:03 pm</t>
  </si>
  <si>
    <t>23/05/2023, 3:47:04 pm</t>
  </si>
  <si>
    <t>23/05/2023, 3:47:05 pm</t>
  </si>
  <si>
    <t>23/05/2023, 3:47:06 pm</t>
  </si>
  <si>
    <t>23/05/2023, 3:47:07 pm</t>
  </si>
  <si>
    <t>23/05/2023, 3:47:08 pm</t>
  </si>
  <si>
    <t>23/05/2023, 3:47:09 pm</t>
  </si>
  <si>
    <t>23/05/2023, 3:47:10 pm</t>
  </si>
  <si>
    <t>23/05/2023, 3:47:11 pm</t>
  </si>
  <si>
    <t>23/05/2023, 3:47:12 pm</t>
  </si>
  <si>
    <t>23/05/2023, 3:47:13 pm</t>
  </si>
  <si>
    <t>23/05/2023, 3:47:14 pm</t>
  </si>
  <si>
    <t>23/05/2023, 3:47:15 pm</t>
  </si>
  <si>
    <t>23/05/2023, 3:47:16 pm</t>
  </si>
  <si>
    <t>23/05/2023, 3:47:17 pm</t>
  </si>
  <si>
    <t>23/05/2023, 3:47:18 pm</t>
  </si>
  <si>
    <t>23/05/2023, 3:47:19 pm</t>
  </si>
  <si>
    <t>23/05/2023, 3:47:20 pm</t>
  </si>
  <si>
    <t>23/05/2023, 3:47:21 pm</t>
  </si>
  <si>
    <t>23/05/2023, 3:47:22 pm</t>
  </si>
  <si>
    <t>23/05/2023, 3:47:23 pm</t>
  </si>
  <si>
    <t>23/05/2023, 3:47:24 pm</t>
  </si>
  <si>
    <t>23/05/2023, 3:47:25 pm</t>
  </si>
  <si>
    <t>23/05/2023, 3:47:26 pm</t>
  </si>
  <si>
    <t>23/05/2023, 3:47:27 pm</t>
  </si>
  <si>
    <t>23/05/2023, 3:47:28 pm</t>
  </si>
  <si>
    <t>23/05/2023, 3:47:29 pm</t>
  </si>
  <si>
    <t>23/05/2023, 3:47:30 pm</t>
  </si>
  <si>
    <t>23/05/2023, 3:47:31 pm</t>
  </si>
  <si>
    <t>23/05/2023, 3:47:32 pm</t>
  </si>
  <si>
    <t>23/05/2023, 3:47:34 pm</t>
  </si>
  <si>
    <t>23/05/2023, 3:47:35 pm</t>
  </si>
  <si>
    <t>23/05/2023, 3:47:36 pm</t>
  </si>
  <si>
    <t>23/05/2023, 3:47:37 pm</t>
  </si>
  <si>
    <t>23/05/2023, 3:47:38 pm</t>
  </si>
  <si>
    <t>23/05/2023, 3:47:39 pm</t>
  </si>
  <si>
    <t>23/05/2023, 3:47:40 pm</t>
  </si>
  <si>
    <t>23/05/2023, 3:47:41 pm</t>
  </si>
  <si>
    <t>23/05/2023, 3:47:42 pm</t>
  </si>
  <si>
    <t>23/05/2023, 3:47:43 pm</t>
  </si>
  <si>
    <t>23/05/2023, 3:47:44 pm</t>
  </si>
  <si>
    <t>23/05/2023, 3:47:45 pm</t>
  </si>
  <si>
    <t>23/05/2023, 3:47:46 pm</t>
  </si>
  <si>
    <t>23/05/2023, 3:47:47 pm</t>
  </si>
  <si>
    <t>23/05/2023, 3:47:48 pm</t>
  </si>
  <si>
    <t>23/05/2023, 3:47:49 pm</t>
  </si>
  <si>
    <t>23/05/2023, 3:47:50 pm</t>
  </si>
  <si>
    <t>23/05/2023, 3:47:51 pm</t>
  </si>
  <si>
    <t>23/05/2023, 3:47:52 pm</t>
  </si>
  <si>
    <t>23/05/2023, 3:47:53 pm</t>
  </si>
  <si>
    <t>23/05/2023, 3:47:54 pm</t>
  </si>
  <si>
    <t>23/05/2023, 3:47:55 pm</t>
  </si>
  <si>
    <t>23/05/2023, 3:47:56 pm</t>
  </si>
  <si>
    <t>23/05/2023, 3:47:57 pm</t>
  </si>
  <si>
    <t>23/05/2023, 3:47:58 pm</t>
  </si>
  <si>
    <t>23/05/2023, 3:47:59 pm</t>
  </si>
  <si>
    <t>23/05/2023, 3:48:00 pm</t>
  </si>
  <si>
    <t>23/05/2023, 3:48:01 pm</t>
  </si>
  <si>
    <t>23/05/2023, 3:48:02 pm</t>
  </si>
  <si>
    <t>23/05/2023, 3:48:03 pm</t>
  </si>
  <si>
    <t>23/05/2023, 3:48:04 pm</t>
  </si>
  <si>
    <t>23/05/2023, 3:48:05 pm</t>
  </si>
  <si>
    <t>23/05/2023, 3:48:06 pm</t>
  </si>
  <si>
    <t>23/05/2023, 3:48:07 pm</t>
  </si>
  <si>
    <t>23/05/2023, 3:48:08 pm</t>
  </si>
  <si>
    <t>23/05/2023, 3:48:09 pm</t>
  </si>
  <si>
    <t>23/05/2023, 3:48:10 pm</t>
  </si>
  <si>
    <t>23/05/2023, 3:48:11 pm</t>
  </si>
  <si>
    <t>23/05/2023, 3:48:12 pm</t>
  </si>
  <si>
    <t>23/05/2023, 3:48:13 pm</t>
  </si>
  <si>
    <t>23/05/2023, 3:48:14 pm</t>
  </si>
  <si>
    <t>23/05/2023, 3:48:15 pm</t>
  </si>
  <si>
    <t>23/05/2023, 3:48:16 pm</t>
  </si>
  <si>
    <t>23/05/2023, 3:48:17 pm</t>
  </si>
  <si>
    <t>23/05/2023, 3:48:18 pm</t>
  </si>
  <si>
    <t>23/05/2023, 3:48:19 pm</t>
  </si>
  <si>
    <t>23/05/2023, 3:48:20 pm</t>
  </si>
  <si>
    <t>23/05/2023, 3:48:23 pm</t>
  </si>
  <si>
    <t>23/05/2023, 3:48:24 pm</t>
  </si>
  <si>
    <t>23/05/2023, 3:48:25 pm</t>
  </si>
  <si>
    <t>23/05/2023, 3:48:26 pm</t>
  </si>
  <si>
    <t>23/05/2023, 3:48:27 pm</t>
  </si>
  <si>
    <t>23/05/2023, 3:48:28 pm</t>
  </si>
  <si>
    <t>23/05/2023, 3:48:29 pm</t>
  </si>
  <si>
    <t>23/05/2023, 3:48:30 pm</t>
  </si>
  <si>
    <t>23/05/2023, 3:48:31 pm</t>
  </si>
  <si>
    <t>23/05/2023, 3:48:35 pm</t>
  </si>
  <si>
    <t>23/05/2023, 3:48:36 pm</t>
  </si>
  <si>
    <t>23/05/2023, 3:48:37 pm</t>
  </si>
  <si>
    <t>23/05/2023, 3:48:38 pm</t>
  </si>
  <si>
    <t>23/05/2023, 3:48:39 pm</t>
  </si>
  <si>
    <t>23/05/2023, 3:48:40 pm</t>
  </si>
  <si>
    <t>23/05/2023, 3:48:41 pm</t>
  </si>
  <si>
    <t>23/05/2023, 3:48:42 pm</t>
  </si>
  <si>
    <t>23/05/2023, 3:48:43 pm</t>
  </si>
  <si>
    <t>23/05/2023, 3:48:44 pm</t>
  </si>
  <si>
    <t>23/05/2023, 3:48:45 pm</t>
  </si>
  <si>
    <t>23/05/2023, 3:48:46 pm</t>
  </si>
  <si>
    <t>23/05/2023, 3:48:47 pm</t>
  </si>
  <si>
    <t>23/05/2023, 3:48:48 pm</t>
  </si>
  <si>
    <t>23/05/2023, 3:48:49 pm</t>
  </si>
  <si>
    <t>23/05/2023, 3:48:50 pm</t>
  </si>
  <si>
    <t>23/05/2023, 3:48:51 pm</t>
  </si>
  <si>
    <t>23/05/2023, 3:48:52 pm</t>
  </si>
  <si>
    <t>23/05/2023, 3:48:53 pm</t>
  </si>
  <si>
    <t>23/05/2023, 3:48:54 pm</t>
  </si>
  <si>
    <t>23/05/2023, 3:48:58 pm</t>
  </si>
  <si>
    <t>23/05/2023, 3:48:59 pm</t>
  </si>
  <si>
    <t>23/05/2023, 3:49:00 pm</t>
  </si>
  <si>
    <t>23/05/2023, 3:49:01 pm</t>
  </si>
  <si>
    <t>23/05/2023, 3:49:02 pm</t>
  </si>
  <si>
    <t>23/05/2023, 3:49:03 pm</t>
  </si>
  <si>
    <t>23/05/2023, 3:49:04 pm</t>
  </si>
  <si>
    <t>23/05/2023, 3:49:05 pm</t>
  </si>
  <si>
    <t>23/05/2023, 3:49:06 pm</t>
  </si>
  <si>
    <t>23/05/2023, 3:49:10 pm</t>
  </si>
  <si>
    <t>23/05/2023, 3:49:11 pm</t>
  </si>
  <si>
    <t>23/05/2023, 3:49:12 pm</t>
  </si>
  <si>
    <t>23/05/2023, 3:49:13 pm</t>
  </si>
  <si>
    <t>23/05/2023, 3:49:14 pm</t>
  </si>
  <si>
    <t>23/05/2023, 3:49:15 pm</t>
  </si>
  <si>
    <t>23/05/2023, 3:49:16 pm</t>
  </si>
  <si>
    <t>23/05/2023, 3:49:17 pm</t>
  </si>
  <si>
    <t>23/05/2023, 3:49:18 pm</t>
  </si>
  <si>
    <t>23/05/2023, 3:49:19 pm</t>
  </si>
  <si>
    <t>23/05/2023, 3:49:20 pm</t>
  </si>
  <si>
    <t>23/05/2023, 3:49:21 pm</t>
  </si>
  <si>
    <t>23/05/2023, 3:49:22 pm</t>
  </si>
  <si>
    <t>23/05/2023, 3:49:23 pm</t>
  </si>
  <si>
    <t>23/05/2023, 3:49:24 pm</t>
  </si>
  <si>
    <t>23/05/2023, 3:49:25 pm</t>
  </si>
  <si>
    <t>23/05/2023, 3:49:26 pm</t>
  </si>
  <si>
    <t>23/05/2023, 3:49:27 pm</t>
  </si>
  <si>
    <t>23/05/2023, 3:49:28 pm</t>
  </si>
  <si>
    <t>23/05/2023, 3:49:29 pm</t>
  </si>
  <si>
    <t>23/05/2023, 3:49:30 pm</t>
  </si>
  <si>
    <t>23/05/2023, 3:49:31 pm</t>
  </si>
  <si>
    <t>23/05/2023, 3:49:32 pm</t>
  </si>
  <si>
    <t>23/05/2023, 3:49:33 pm</t>
  </si>
  <si>
    <t>23/05/2023, 3:49:34 pm</t>
  </si>
  <si>
    <t>23/05/2023, 3:49:35 pm</t>
  </si>
  <si>
    <t>23/05/2023, 3:49:36 pm</t>
  </si>
  <si>
    <t>23/05/2023, 3:49:37 pm</t>
  </si>
  <si>
    <t>23/05/2023, 3:49:38 pm</t>
  </si>
  <si>
    <t>23/05/2023, 3:49:39 pm</t>
  </si>
  <si>
    <t>23/05/2023, 3:49:40 pm</t>
  </si>
  <si>
    <t>23/05/2023, 3:49:41 pm</t>
  </si>
  <si>
    <t>23/05/2023, 3:49:42 pm</t>
  </si>
  <si>
    <t>23/05/2023, 3:49:43 pm</t>
  </si>
  <si>
    <t>23/05/2023, 3:49:44 pm</t>
  </si>
  <si>
    <t>23/05/2023, 3:49:45 pm</t>
  </si>
  <si>
    <t>23/05/2023, 3:49:46 pm</t>
  </si>
  <si>
    <t>23/05/2023, 3:49:47 pm</t>
  </si>
  <si>
    <t>23/05/2023, 3:49:48 pm</t>
  </si>
  <si>
    <t>23/05/2023, 3:49:49 pm</t>
  </si>
  <si>
    <t>23/05/2023, 3:49:50 pm</t>
  </si>
  <si>
    <t>23/05/2023, 3:49:51 pm</t>
  </si>
  <si>
    <t>23/05/2023, 3:49:52 pm</t>
  </si>
  <si>
    <t>23/05/2023, 3:49:53 pm</t>
  </si>
  <si>
    <t>23/05/2023, 3:49:54 pm</t>
  </si>
  <si>
    <t>23/05/2023, 3:49:55 pm</t>
  </si>
  <si>
    <t>23/05/2023, 3:49:56 pm</t>
  </si>
  <si>
    <t>23/05/2023, 3:49:57 pm</t>
  </si>
  <si>
    <t>23/05/2023, 3:49:58 pm</t>
  </si>
  <si>
    <t>23/05/2023, 3:49:59 pm</t>
  </si>
  <si>
    <t>23/05/2023, 3:50:00 pm</t>
  </si>
  <si>
    <t>23/05/2023, 3:50:01 pm</t>
  </si>
  <si>
    <t>23/05/2023, 3:50:02 pm</t>
  </si>
  <si>
    <t>23/05/2023, 3:50:03 pm</t>
  </si>
  <si>
    <t>23/05/2023, 3:50:04 pm</t>
  </si>
  <si>
    <t>23/05/2023, 3:50:05 pm</t>
  </si>
  <si>
    <t>23/05/2023, 3:50:06 pm</t>
  </si>
  <si>
    <t>23/05/2023, 3:50:07 pm</t>
  </si>
  <si>
    <t>23/05/2023, 3:50:08 pm</t>
  </si>
  <si>
    <t>23/05/2023, 3:50:09 pm</t>
  </si>
  <si>
    <t>23/05/2023, 3:50:10 pm</t>
  </si>
  <si>
    <t>23/05/2023, 3:50:11 pm</t>
  </si>
  <si>
    <t>23/05/2023, 3:50:12 pm</t>
  </si>
  <si>
    <t>23/05/2023, 3:50:13 pm</t>
  </si>
  <si>
    <t>23/05/2023, 3:50:14 pm</t>
  </si>
  <si>
    <t>23/05/2023, 3:50:15 pm</t>
  </si>
  <si>
    <t>23/05/2023, 3:50:16 pm</t>
  </si>
  <si>
    <t>23/05/2023, 3:50:17 pm</t>
  </si>
  <si>
    <t>23/05/2023, 3:50:18 pm</t>
  </si>
  <si>
    <t>23/05/2023, 3:50:19 pm</t>
  </si>
  <si>
    <t>23/05/2023, 3:50:20 pm</t>
  </si>
  <si>
    <t>23/05/2023, 3:50:21 pm</t>
  </si>
  <si>
    <t>23/05/2023, 3:50:22 pm</t>
  </si>
  <si>
    <t>23/05/2023, 3:50:23 pm</t>
  </si>
  <si>
    <t>23/05/2023, 3:50:24 pm</t>
  </si>
  <si>
    <t>23/05/2023, 3:50:25 pm</t>
  </si>
  <si>
    <t>23/05/2023, 3:50:26 pm</t>
  </si>
  <si>
    <t>23/05/2023, 3:50:27 pm</t>
  </si>
  <si>
    <t>23/05/2023, 3:50:28 pm</t>
  </si>
  <si>
    <t>23/05/2023, 3:50:29 pm</t>
  </si>
  <si>
    <t>23/05/2023, 3:50:30 pm</t>
  </si>
  <si>
    <t>23/05/2023, 3:50:31 pm</t>
  </si>
  <si>
    <t>23/05/2023, 3:50:32 pm</t>
  </si>
  <si>
    <t>23/05/2023, 3:50:33 pm</t>
  </si>
  <si>
    <t>23/05/2023, 3:50:34 pm</t>
  </si>
  <si>
    <t>23/05/2023, 3:50:35 pm</t>
  </si>
  <si>
    <t>23/05/2023, 3:50:36 pm</t>
  </si>
  <si>
    <t>23/05/2023, 3:50:37 pm</t>
  </si>
  <si>
    <t>23/05/2023, 3:50:39 pm</t>
  </si>
  <si>
    <t>23/05/2023, 3:50:40 pm</t>
  </si>
  <si>
    <t>23/05/2023, 3:50:42 pm</t>
  </si>
  <si>
    <t>23/05/2023, 3:50:43 pm</t>
  </si>
  <si>
    <t>23/05/2023, 3:50:44 pm</t>
  </si>
  <si>
    <t>23/05/2023, 3:50:45 pm</t>
  </si>
  <si>
    <t>23/05/2023, 3:50:46 pm</t>
  </si>
  <si>
    <t>23/05/2023, 3:50:47 pm</t>
  </si>
  <si>
    <t>23/05/2023, 3:50:48 pm</t>
  </si>
  <si>
    <t>23/05/2023, 3:50:49 pm</t>
  </si>
  <si>
    <t>23/05/2023, 3:50:50 pm</t>
  </si>
  <si>
    <t>23/05/2023, 3:50:51 pm</t>
  </si>
  <si>
    <t>23/05/2023, 3:50:52 pm</t>
  </si>
  <si>
    <t>23/05/2023, 3:50:53 pm</t>
  </si>
  <si>
    <t>23/05/2023, 3:50:54 pm</t>
  </si>
  <si>
    <t>23/05/2023, 3:50:55 pm</t>
  </si>
  <si>
    <t>23/05/2023, 3:50:56 pm</t>
  </si>
  <si>
    <t>23/05/2023, 3:50:57 pm</t>
  </si>
  <si>
    <t>23/05/2023, 3:50:58 pm</t>
  </si>
  <si>
    <t>23/05/2023, 3:50:59 pm</t>
  </si>
  <si>
    <t>23/05/2023, 3:51:00 pm</t>
  </si>
  <si>
    <t>23/05/2023, 3:51:01 pm</t>
  </si>
  <si>
    <t>23/05/2023, 3:51:02 pm</t>
  </si>
  <si>
    <t>23/05/2023, 3:51:03 pm</t>
  </si>
  <si>
    <t>23/05/2023, 3:51:04 pm</t>
  </si>
  <si>
    <t>23/05/2023, 3:51:05 pm</t>
  </si>
  <si>
    <t>23/05/2023, 3:51:06 pm</t>
  </si>
  <si>
    <t>23/05/2023, 3:51:07 pm</t>
  </si>
  <si>
    <t>23/05/2023, 3:51:08 pm</t>
  </si>
  <si>
    <t>23/05/2023, 3:51:09 pm</t>
  </si>
  <si>
    <t>23/05/2023, 3:51:10 pm</t>
  </si>
  <si>
    <t>23/05/2023, 3:51:11 pm</t>
  </si>
  <si>
    <t>23/05/2023, 3:51:12 pm</t>
  </si>
  <si>
    <t>23/05/2023, 3:51:13 pm</t>
  </si>
  <si>
    <t>23/05/2023, 3:51:14 pm</t>
  </si>
  <si>
    <t>23/05/2023, 3:51:15 pm</t>
  </si>
  <si>
    <t>23/05/2023, 3:51:16 pm</t>
  </si>
  <si>
    <t>23/05/2023, 3:51:17 pm</t>
  </si>
  <si>
    <t>23/05/2023, 3:51:18 pm</t>
  </si>
  <si>
    <t>23/05/2023, 3:51:19 pm</t>
  </si>
  <si>
    <t>23/05/2023, 3:51:20 pm</t>
  </si>
  <si>
    <t>23/05/2023, 3:51:21 pm</t>
  </si>
  <si>
    <t>23/05/2023, 3:51:22 pm</t>
  </si>
  <si>
    <t>23/05/2023, 3:51:23 pm</t>
  </si>
  <si>
    <t>23/05/2023, 3:51:24 pm</t>
  </si>
  <si>
    <t>23/05/2023, 3:51:25 pm</t>
  </si>
  <si>
    <t>23/05/2023, 3:51:26 pm</t>
  </si>
  <si>
    <t>23/05/2023, 3:51:27 pm</t>
  </si>
  <si>
    <t>23/05/2023, 3:51:28 pm</t>
  </si>
  <si>
    <t>23/05/2023, 3:51:29 pm</t>
  </si>
  <si>
    <t>23/05/2023, 3:51:30 pm</t>
  </si>
  <si>
    <t>23/05/2023, 3:51:31 pm</t>
  </si>
  <si>
    <t>23/05/2023, 3:51:32 pm</t>
  </si>
  <si>
    <t>23/05/2023, 3:51:33 pm</t>
  </si>
  <si>
    <t>23/05/2023, 3:51:34 pm</t>
  </si>
  <si>
    <t>23/05/2023, 3:51:35 pm</t>
  </si>
  <si>
    <t>23/05/2023, 3:51:36 pm</t>
  </si>
  <si>
    <t>23/05/2023, 3:51:37 pm</t>
  </si>
  <si>
    <t>23/05/2023, 3:51:38 pm</t>
  </si>
  <si>
    <t>23/05/2023, 3:51:39 pm</t>
  </si>
  <si>
    <t>23/05/2023, 3:51:40 pm</t>
  </si>
  <si>
    <t>23/05/2023, 3:51:41 pm</t>
  </si>
  <si>
    <t>23/05/2023, 3:51:42 pm</t>
  </si>
  <si>
    <t>23/05/2023, 3:51:43 pm</t>
  </si>
  <si>
    <t>23/05/2023, 3:51:44 pm</t>
  </si>
  <si>
    <t>23/05/2023, 3:51:45 pm</t>
  </si>
  <si>
    <t>23/05/2023, 3:51:46 pm</t>
  </si>
  <si>
    <t>23/05/2023, 3:51:50 pm</t>
  </si>
  <si>
    <t>23/05/2023, 3:51:51 pm</t>
  </si>
  <si>
    <t>23/05/2023, 3:51:52 pm</t>
  </si>
  <si>
    <t>23/05/2023, 3:51:53 pm</t>
  </si>
  <si>
    <t>23/05/2023, 3:51:54 pm</t>
  </si>
  <si>
    <t>23/05/2023, 3:51:55 pm</t>
  </si>
  <si>
    <t>23/05/2023, 3:51:56 pm</t>
  </si>
  <si>
    <t>23/05/2023, 3:51:57 pm</t>
  </si>
  <si>
    <t>23/05/2023, 3:51:58 pm</t>
  </si>
  <si>
    <t>23/05/2023, 3:51:59 pm</t>
  </si>
  <si>
    <t>23/05/2023, 3:52:00 pm</t>
  </si>
  <si>
    <t>23/05/2023, 3:52:01 pm</t>
  </si>
  <si>
    <t>23/05/2023, 3:52:02 pm</t>
  </si>
  <si>
    <t>23/05/2023, 3:52:03 pm</t>
  </si>
  <si>
    <t>23/05/2023, 3:52:04 pm</t>
  </si>
  <si>
    <t>23/05/2023, 3:52:05 pm</t>
  </si>
  <si>
    <t>23/05/2023, 3:52:06 pm</t>
  </si>
  <si>
    <t>23/05/2023, 3:52:07 pm</t>
  </si>
  <si>
    <t>23/05/2023, 3:52:08 pm</t>
  </si>
  <si>
    <t>23/05/2023, 3:52:09 pm</t>
  </si>
  <si>
    <t>23/05/2023, 3:52:10 pm</t>
  </si>
  <si>
    <t>23/05/2023, 3:52:11 pm</t>
  </si>
  <si>
    <t>23/05/2023, 3:52:12 pm</t>
  </si>
  <si>
    <t>23/05/2023, 3:52:13 pm</t>
  </si>
  <si>
    <t>23/05/2023, 3:52:14 pm</t>
  </si>
  <si>
    <t>23/05/2023, 3:52:15 pm</t>
  </si>
  <si>
    <t>23/05/2023, 3:52:16 pm</t>
  </si>
  <si>
    <t>23/05/2023, 3:52:17 pm</t>
  </si>
  <si>
    <t>23/05/2023, 3:52:18 pm</t>
  </si>
  <si>
    <t>23/05/2023, 3:52:19 pm</t>
  </si>
  <si>
    <t>23/05/2023, 3:52:20 pm</t>
  </si>
  <si>
    <t>23/05/2023, 3:52:21 pm</t>
  </si>
  <si>
    <t>23/05/2023, 3:52:22 pm</t>
  </si>
  <si>
    <t>23/05/2023, 3:52:23 pm</t>
  </si>
  <si>
    <t>23/05/2023, 3:52:24 pm</t>
  </si>
  <si>
    <t>23/05/2023, 3:52:25 pm</t>
  </si>
  <si>
    <t>23/05/2023, 3:52:26 pm</t>
  </si>
  <si>
    <t>23/05/2023, 3:52:27 pm</t>
  </si>
  <si>
    <t>23/05/2023, 3:52:28 pm</t>
  </si>
  <si>
    <t>23/05/2023, 3:52:29 pm</t>
  </si>
  <si>
    <t>23/05/2023, 3:52:30 pm</t>
  </si>
  <si>
    <t>23/05/2023, 3:52:31 pm</t>
  </si>
  <si>
    <t>23/05/2023, 3:52:32 pm</t>
  </si>
  <si>
    <t>23/05/2023, 3:52:33 pm</t>
  </si>
  <si>
    <t>23/05/2023, 3:52:34 pm</t>
  </si>
  <si>
    <t>23/05/2023, 3:52:35 pm</t>
  </si>
  <si>
    <t>23/05/2023, 3:52:36 pm</t>
  </si>
  <si>
    <t>23/05/2023, 3:52:37 pm</t>
  </si>
  <si>
    <t>23/05/2023, 3:52:38 pm</t>
  </si>
  <si>
    <t>23/05/2023, 3:52:39 pm</t>
  </si>
  <si>
    <t>23/05/2023, 3:52:40 pm</t>
  </si>
  <si>
    <t>23/05/2023, 3:52:41 pm</t>
  </si>
  <si>
    <t>23/05/2023, 3:52:42 pm</t>
  </si>
  <si>
    <t>23/05/2023, 3:52:43 pm</t>
  </si>
  <si>
    <t>23/05/2023, 3:52:44 pm</t>
  </si>
  <si>
    <t>23/05/2023, 3:52:45 pm</t>
  </si>
  <si>
    <t>23/05/2023, 3:52:46 pm</t>
  </si>
  <si>
    <t>23/05/2023, 3:52:47 pm</t>
  </si>
  <si>
    <t>23/05/2023, 3:52:48 pm</t>
  </si>
  <si>
    <t>23/05/2023, 3:52:49 pm</t>
  </si>
  <si>
    <t>23/05/2023, 3:52:50 pm</t>
  </si>
  <si>
    <t>23/05/2023, 3:52:51 pm</t>
  </si>
  <si>
    <t>23/05/2023, 3:52:52 pm</t>
  </si>
  <si>
    <t>23/05/2023, 3:52:53 pm</t>
  </si>
  <si>
    <t>23/05/2023, 3:52:54 pm</t>
  </si>
  <si>
    <t>23/05/2023, 3:52:55 pm</t>
  </si>
  <si>
    <t>23/05/2023, 3:52:56 pm</t>
  </si>
  <si>
    <t>23/05/2023, 3:52:57 pm</t>
  </si>
  <si>
    <t>23/05/2023, 3:52:58 pm</t>
  </si>
  <si>
    <t>23/05/2023, 3:52:59 pm</t>
  </si>
  <si>
    <t>23/05/2023, 3:53:00 pm</t>
  </si>
  <si>
    <t>23/05/2023, 3:53:01 pm</t>
  </si>
  <si>
    <t>23/05/2023, 3:53:02 pm</t>
  </si>
  <si>
    <t>23/05/2023, 3:53:03 pm</t>
  </si>
  <si>
    <t>23/05/2023, 3:53:04 pm</t>
  </si>
  <si>
    <t>23/05/2023, 3:53:05 pm</t>
  </si>
  <si>
    <t>23/05/2023, 3:53:06 pm</t>
  </si>
  <si>
    <t>23/05/2023, 3:53:07 pm</t>
  </si>
  <si>
    <t>23/05/2023, 3:53:08 pm</t>
  </si>
  <si>
    <t>23/05/2023, 3:53:09 pm</t>
  </si>
  <si>
    <t>23/05/2023, 3:53:10 pm</t>
  </si>
  <si>
    <t>23/05/2023, 3:53:11 pm</t>
  </si>
  <si>
    <t>23/05/2023, 3:53:12 pm</t>
  </si>
  <si>
    <t>23/05/2023, 3:53:13 pm</t>
  </si>
  <si>
    <t>23/05/2023, 3:53:14 pm</t>
  </si>
  <si>
    <t>23/05/2023, 3:53:15 pm</t>
  </si>
  <si>
    <t>23/05/2023, 3:53:16 pm</t>
  </si>
  <si>
    <t>23/05/2023, 3:53:17 pm</t>
  </si>
  <si>
    <t>23/05/2023, 3:53:18 pm</t>
  </si>
  <si>
    <t>23/05/2023, 3:53:19 pm</t>
  </si>
  <si>
    <t>23/05/2023, 3:53:20 pm</t>
  </si>
  <si>
    <t>23/05/2023, 3:53:21 pm</t>
  </si>
  <si>
    <t>23/05/2023, 3:53:22 pm</t>
  </si>
  <si>
    <t>23/05/2023, 3:53:23 pm</t>
  </si>
  <si>
    <t>23/05/2023, 3:53:24 pm</t>
  </si>
  <si>
    <t>23/05/2023, 3:53:25 pm</t>
  </si>
  <si>
    <t>23/05/2023, 3:53:26 pm</t>
  </si>
  <si>
    <t>23/05/2023, 3:53:27 pm</t>
  </si>
  <si>
    <t>23/05/2023, 3:53:28 pm</t>
  </si>
  <si>
    <t>23/05/2023, 3:53:29 pm</t>
  </si>
  <si>
    <t>23/05/2023, 3:53:30 pm</t>
  </si>
  <si>
    <t>23/05/2023, 3:53:31 pm</t>
  </si>
  <si>
    <t>23/05/2023, 3:53:33 pm</t>
  </si>
  <si>
    <t>23/05/2023, 3:53:34 pm</t>
  </si>
  <si>
    <t>23/05/2023, 3:53:35 pm</t>
  </si>
  <si>
    <t>23/05/2023, 3:53:36 pm</t>
  </si>
  <si>
    <t>23/05/2023, 3:53:37 pm</t>
  </si>
  <si>
    <t>23/05/2023, 3:53:38 pm</t>
  </si>
  <si>
    <t>23/05/2023, 3:53:39 pm</t>
  </si>
  <si>
    <t>23/05/2023, 3:53:40 pm</t>
  </si>
  <si>
    <t>23/05/2023, 3:53:41 pm</t>
  </si>
  <si>
    <t>23/05/2023, 3:53:42 pm</t>
  </si>
  <si>
    <t>23/05/2023, 3:53:46 pm</t>
  </si>
  <si>
    <t>23/05/2023, 3:53:47 pm</t>
  </si>
  <si>
    <t>23/05/2023, 3:53:48 pm</t>
  </si>
  <si>
    <t>23/05/2023, 3:53:49 pm</t>
  </si>
  <si>
    <t>23/05/2023, 3:53:50 pm</t>
  </si>
  <si>
    <t>23/05/2023, 3:53:51 pm</t>
  </si>
  <si>
    <t>23/05/2023, 3:53:52 pm</t>
  </si>
  <si>
    <t>23/05/2023, 3:53:53 pm</t>
  </si>
  <si>
    <t>23/05/2023, 3:53:54 pm</t>
  </si>
  <si>
    <t>23/05/2023, 3:53:55 pm</t>
  </si>
  <si>
    <t>23/05/2023, 3:53:56 pm</t>
  </si>
  <si>
    <t>23/05/2023, 3:53:57 pm</t>
  </si>
  <si>
    <t>23/05/2023, 3:53:58 pm</t>
  </si>
  <si>
    <t>23/05/2023, 3:53:59 pm</t>
  </si>
  <si>
    <t>23/05/2023, 3:54:00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</si>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</sst>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679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103.7</v>
      </c>
      <c r="D8" s="5">
        <v>0.1</v>
      </c>
      <c r="E8" s="5">
        <v>103.8</v>
      </c>
      <c r="F8" s="5">
        <v>206.6</v>
      </c>
      <c r="G8" s="5">
        <v>103</v>
      </c>
      <c r="H8" s="5">
        <v>102.9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103.7</v>
      </c>
      <c r="D9" s="5">
        <v>0.1</v>
      </c>
      <c r="E9" s="5">
        <v>103.8</v>
      </c>
      <c r="F9" s="5">
        <v>206.6</v>
      </c>
      <c r="G9" s="5">
        <v>103</v>
      </c>
      <c r="H9" s="5">
        <v>102.9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103.7</v>
      </c>
      <c r="D10" s="5">
        <v>0.1</v>
      </c>
      <c r="E10" s="5">
        <v>103.8</v>
      </c>
      <c r="F10" s="5">
        <v>206.6</v>
      </c>
      <c r="G10" s="5">
        <v>103</v>
      </c>
      <c r="H10" s="5">
        <v>102.9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103.7</v>
      </c>
      <c r="D11" s="5">
        <v>0.1</v>
      </c>
      <c r="E11" s="5">
        <v>103.8</v>
      </c>
      <c r="F11" s="5">
        <v>206.6</v>
      </c>
      <c r="G11" s="5">
        <v>103</v>
      </c>
      <c r="H11" s="5">
        <v>102.9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103.7</v>
      </c>
      <c r="D12" s="5">
        <v>0.1</v>
      </c>
      <c r="E12" s="5">
        <v>103.8</v>
      </c>
      <c r="F12" s="5">
        <v>207.1</v>
      </c>
      <c r="G12" s="5">
        <v>103.3</v>
      </c>
      <c r="H12" s="5">
        <v>103.2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103.7</v>
      </c>
      <c r="D13" s="5">
        <v>0.1</v>
      </c>
      <c r="E13" s="5">
        <v>103.8</v>
      </c>
      <c r="F13" s="5">
        <v>207.1</v>
      </c>
      <c r="G13" s="5">
        <v>103.3</v>
      </c>
      <c r="H13" s="5">
        <v>103.2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103.4</v>
      </c>
      <c r="D14" s="5">
        <v>0.1</v>
      </c>
      <c r="E14" s="5">
        <v>103.5</v>
      </c>
      <c r="F14" s="5">
        <v>206.3</v>
      </c>
      <c r="G14" s="5">
        <v>102.9</v>
      </c>
      <c r="H14" s="5">
        <v>102.8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103.4</v>
      </c>
      <c r="D15" s="5">
        <v>0.1</v>
      </c>
      <c r="E15" s="5">
        <v>103.5</v>
      </c>
      <c r="F15" s="5">
        <v>206.3</v>
      </c>
      <c r="G15" s="5">
        <v>102.9</v>
      </c>
      <c r="H15" s="5">
        <v>102.8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103.4</v>
      </c>
      <c r="D16" s="5">
        <v>0.1</v>
      </c>
      <c r="E16" s="5">
        <v>103.5</v>
      </c>
      <c r="F16" s="5">
        <v>206.3</v>
      </c>
      <c r="G16" s="5">
        <v>102.9</v>
      </c>
      <c r="H16" s="5">
        <v>102.7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103.4</v>
      </c>
      <c r="D17" s="5">
        <v>0.1</v>
      </c>
      <c r="E17" s="5">
        <v>103.5</v>
      </c>
      <c r="F17" s="5">
        <v>206.3</v>
      </c>
      <c r="G17" s="5">
        <v>102.9</v>
      </c>
      <c r="H17" s="5">
        <v>102.7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103.7</v>
      </c>
      <c r="D18" s="5">
        <v>0.1</v>
      </c>
      <c r="E18" s="5">
        <v>103.8</v>
      </c>
      <c r="F18" s="5">
        <v>206.8</v>
      </c>
      <c r="G18" s="5">
        <v>103.2</v>
      </c>
      <c r="H18" s="5">
        <v>103.1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103.7</v>
      </c>
      <c r="D19" s="5">
        <v>0.1</v>
      </c>
      <c r="E19" s="5">
        <v>103.8</v>
      </c>
      <c r="F19" s="5">
        <v>206.8</v>
      </c>
      <c r="G19" s="5">
        <v>103.2</v>
      </c>
      <c r="H19" s="5">
        <v>103.1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103.7</v>
      </c>
      <c r="D20" s="5">
        <v>0.1</v>
      </c>
      <c r="E20" s="5">
        <v>103.8</v>
      </c>
      <c r="F20" s="5">
        <v>206.8</v>
      </c>
      <c r="G20" s="5">
        <v>103.2</v>
      </c>
      <c r="H20" s="5">
        <v>103.1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103.7</v>
      </c>
      <c r="D21" s="5">
        <v>0.1</v>
      </c>
      <c r="E21" s="5">
        <v>103.8</v>
      </c>
      <c r="F21" s="5">
        <v>206.8</v>
      </c>
      <c r="G21" s="5">
        <v>103.2</v>
      </c>
      <c r="H21" s="5">
        <v>103.1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103.7</v>
      </c>
      <c r="D22" s="5">
        <v>0.1</v>
      </c>
      <c r="E22" s="5">
        <v>103.8</v>
      </c>
      <c r="F22" s="5">
        <v>207.9</v>
      </c>
      <c r="G22" s="5">
        <v>103.7</v>
      </c>
      <c r="H22" s="5">
        <v>103.5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103.7</v>
      </c>
      <c r="D23" s="5">
        <v>0.1</v>
      </c>
      <c r="E23" s="5">
        <v>103.8</v>
      </c>
      <c r="F23" s="5">
        <v>207.9</v>
      </c>
      <c r="G23" s="5">
        <v>103.7</v>
      </c>
      <c r="H23" s="5">
        <v>103.5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103.4</v>
      </c>
      <c r="D24" s="5">
        <v>0.1</v>
      </c>
      <c r="E24" s="5">
        <v>103.6</v>
      </c>
      <c r="F24" s="5">
        <v>208.6</v>
      </c>
      <c r="G24" s="5">
        <v>104</v>
      </c>
      <c r="H24" s="5">
        <v>103.7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103.4</v>
      </c>
      <c r="D25" s="5">
        <v>0.1</v>
      </c>
      <c r="E25" s="5">
        <v>103.6</v>
      </c>
      <c r="F25" s="5">
        <v>208.6</v>
      </c>
      <c r="G25" s="5">
        <v>104</v>
      </c>
      <c r="H25" s="5">
        <v>103.7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103.3</v>
      </c>
      <c r="D26" s="5">
        <v>0.1</v>
      </c>
      <c r="E26" s="5">
        <v>103.4</v>
      </c>
      <c r="F26" s="5">
        <v>208.4</v>
      </c>
      <c r="G26" s="5">
        <v>103.9</v>
      </c>
      <c r="H26" s="5">
        <v>103.7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103.3</v>
      </c>
      <c r="D27" s="5">
        <v>0.1</v>
      </c>
      <c r="E27" s="5">
        <v>103.4</v>
      </c>
      <c r="F27" s="5">
        <v>208.4</v>
      </c>
      <c r="G27" s="5">
        <v>103.9</v>
      </c>
      <c r="H27" s="5">
        <v>103.7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102.9</v>
      </c>
      <c r="D28" s="5">
        <v>0.1</v>
      </c>
      <c r="E28" s="5">
        <v>103.1</v>
      </c>
      <c r="F28" s="5">
        <v>206</v>
      </c>
      <c r="G28" s="5">
        <v>102.8</v>
      </c>
      <c r="H28" s="5">
        <v>102.5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102.9</v>
      </c>
      <c r="D29" s="5">
        <v>0.1</v>
      </c>
      <c r="E29" s="5">
        <v>103.1</v>
      </c>
      <c r="F29" s="5">
        <v>206</v>
      </c>
      <c r="G29" s="5">
        <v>102.8</v>
      </c>
      <c r="H29" s="5">
        <v>102.5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102.9</v>
      </c>
      <c r="D30" s="5">
        <v>0.1</v>
      </c>
      <c r="E30" s="5">
        <v>103.1</v>
      </c>
      <c r="F30" s="5">
        <v>206</v>
      </c>
      <c r="G30" s="5">
        <v>102.8</v>
      </c>
      <c r="H30" s="5">
        <v>102.5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102.9</v>
      </c>
      <c r="D31" s="5">
        <v>0.1</v>
      </c>
      <c r="E31" s="5">
        <v>103.1</v>
      </c>
      <c r="F31" s="5">
        <v>206</v>
      </c>
      <c r="G31" s="5">
        <v>102.8</v>
      </c>
      <c r="H31" s="5">
        <v>102.5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103</v>
      </c>
      <c r="D32" s="5">
        <v>0.1</v>
      </c>
      <c r="E32" s="5">
        <v>103.1</v>
      </c>
      <c r="F32" s="5">
        <v>206.4</v>
      </c>
      <c r="G32" s="5">
        <v>102.9</v>
      </c>
      <c r="H32" s="5">
        <v>102.7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103</v>
      </c>
      <c r="D33" s="5">
        <v>0.1</v>
      </c>
      <c r="E33" s="5">
        <v>103.1</v>
      </c>
      <c r="F33" s="5">
        <v>206.4</v>
      </c>
      <c r="G33" s="5">
        <v>102.9</v>
      </c>
      <c r="H33" s="5">
        <v>102.7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102.7</v>
      </c>
      <c r="D34" s="5">
        <v>0.1</v>
      </c>
      <c r="E34" s="5">
        <v>102.8</v>
      </c>
      <c r="F34" s="5">
        <v>205.5</v>
      </c>
      <c r="G34" s="5">
        <v>102.5</v>
      </c>
      <c r="H34" s="5">
        <v>102.2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102.7</v>
      </c>
      <c r="D35" s="5">
        <v>0.1</v>
      </c>
      <c r="E35" s="5">
        <v>102.8</v>
      </c>
      <c r="F35" s="5">
        <v>205.5</v>
      </c>
      <c r="G35" s="5">
        <v>102.5</v>
      </c>
      <c r="H35" s="5">
        <v>102.2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103</v>
      </c>
      <c r="D36" s="5">
        <v>0.1</v>
      </c>
      <c r="E36" s="5">
        <v>103.1</v>
      </c>
      <c r="F36" s="5">
        <v>205.6</v>
      </c>
      <c r="G36" s="5">
        <v>102.5</v>
      </c>
      <c r="H36" s="5">
        <v>102.3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103</v>
      </c>
      <c r="D37" s="5">
        <v>0.1</v>
      </c>
      <c r="E37" s="5">
        <v>103.1</v>
      </c>
      <c r="F37" s="5">
        <v>205.6</v>
      </c>
      <c r="G37" s="5">
        <v>102.5</v>
      </c>
      <c r="H37" s="5">
        <v>102.3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102.5</v>
      </c>
      <c r="D38" s="5">
        <v>0.1</v>
      </c>
      <c r="E38" s="5">
        <v>102.7</v>
      </c>
      <c r="F38" s="5">
        <v>205.2</v>
      </c>
      <c r="G38" s="5">
        <v>102.4</v>
      </c>
      <c r="H38" s="5">
        <v>102.2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102.5</v>
      </c>
      <c r="D39" s="5">
        <v>0.1</v>
      </c>
      <c r="E39" s="5">
        <v>102.7</v>
      </c>
      <c r="F39" s="5">
        <v>205.2</v>
      </c>
      <c r="G39" s="5">
        <v>102.4</v>
      </c>
      <c r="H39" s="5">
        <v>102.2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102.5</v>
      </c>
      <c r="D40" s="5">
        <v>0.1</v>
      </c>
      <c r="E40" s="5">
        <v>102.7</v>
      </c>
      <c r="F40" s="5">
        <v>205.2</v>
      </c>
      <c r="G40" s="5">
        <v>102.4</v>
      </c>
      <c r="H40" s="5">
        <v>102.2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102.5</v>
      </c>
      <c r="D41" s="5">
        <v>0.1</v>
      </c>
      <c r="E41" s="5">
        <v>102.7</v>
      </c>
      <c r="F41" s="5">
        <v>205.2</v>
      </c>
      <c r="G41" s="5">
        <v>102.4</v>
      </c>
      <c r="H41" s="5">
        <v>102.2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102.8</v>
      </c>
      <c r="D42" s="5">
        <v>0.1</v>
      </c>
      <c r="E42" s="5">
        <v>103</v>
      </c>
      <c r="F42" s="5">
        <v>205.7</v>
      </c>
      <c r="G42" s="5">
        <v>102.8</v>
      </c>
      <c r="H42" s="5">
        <v>102.6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102.8</v>
      </c>
      <c r="D43" s="5">
        <v>0.1</v>
      </c>
      <c r="E43" s="5">
        <v>103</v>
      </c>
      <c r="F43" s="5">
        <v>205.7</v>
      </c>
      <c r="G43" s="5">
        <v>102.8</v>
      </c>
      <c r="H43" s="5">
        <v>102.6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102.8</v>
      </c>
      <c r="D44" s="5">
        <v>0.1</v>
      </c>
      <c r="E44" s="5">
        <v>102.9</v>
      </c>
      <c r="F44" s="5">
        <v>205.2</v>
      </c>
      <c r="G44" s="5">
        <v>102.4</v>
      </c>
      <c r="H44" s="5">
        <v>102.3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102.8</v>
      </c>
      <c r="D45" s="5">
        <v>0.1</v>
      </c>
      <c r="E45" s="5">
        <v>102.9</v>
      </c>
      <c r="F45" s="5">
        <v>205.2</v>
      </c>
      <c r="G45" s="5">
        <v>102.4</v>
      </c>
      <c r="H45" s="5">
        <v>102.3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103</v>
      </c>
      <c r="D46" s="5">
        <v>0.1</v>
      </c>
      <c r="E46" s="5">
        <v>103.1</v>
      </c>
      <c r="F46" s="5">
        <v>205.7</v>
      </c>
      <c r="G46" s="5">
        <v>102.6</v>
      </c>
      <c r="H46" s="5">
        <v>102.5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103</v>
      </c>
      <c r="D47" s="5">
        <v>0.1</v>
      </c>
      <c r="E47" s="5">
        <v>103.1</v>
      </c>
      <c r="F47" s="5">
        <v>205.7</v>
      </c>
      <c r="G47" s="5">
        <v>102.6</v>
      </c>
      <c r="H47" s="5">
        <v>102.5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102.8</v>
      </c>
      <c r="D48" s="5">
        <v>0.1</v>
      </c>
      <c r="E48" s="5">
        <v>103</v>
      </c>
      <c r="F48" s="5">
        <v>205.6</v>
      </c>
      <c r="G48" s="5">
        <v>102.7</v>
      </c>
      <c r="H48" s="5">
        <v>102.5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102.8</v>
      </c>
      <c r="D49" s="5">
        <v>0.1</v>
      </c>
      <c r="E49" s="5">
        <v>103</v>
      </c>
      <c r="F49" s="5">
        <v>205.6</v>
      </c>
      <c r="G49" s="5">
        <v>102.7</v>
      </c>
      <c r="H49" s="5">
        <v>102.5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102.8</v>
      </c>
      <c r="D50" s="5">
        <v>0.1</v>
      </c>
      <c r="E50" s="5">
        <v>103</v>
      </c>
      <c r="F50" s="5">
        <v>205.6</v>
      </c>
      <c r="G50" s="5">
        <v>102.7</v>
      </c>
      <c r="H50" s="5">
        <v>102.5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102.8</v>
      </c>
      <c r="D51" s="5">
        <v>0.1</v>
      </c>
      <c r="E51" s="5">
        <v>103.1</v>
      </c>
      <c r="F51" s="5">
        <v>206</v>
      </c>
      <c r="G51" s="5">
        <v>102.7</v>
      </c>
      <c r="H51" s="5">
        <v>102.5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103.2</v>
      </c>
      <c r="D52" s="5">
        <v>0.1</v>
      </c>
      <c r="E52" s="5">
        <v>103.1</v>
      </c>
      <c r="F52" s="5">
        <v>206</v>
      </c>
      <c r="G52" s="5">
        <v>102.7</v>
      </c>
      <c r="H52" s="5">
        <v>102.5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103.2</v>
      </c>
      <c r="D53" s="5">
        <v>0.1</v>
      </c>
      <c r="E53" s="5">
        <v>104</v>
      </c>
      <c r="F53" s="5">
        <v>206.2</v>
      </c>
      <c r="G53" s="5">
        <v>102.7</v>
      </c>
      <c r="H53" s="5">
        <v>102.5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103.9</v>
      </c>
      <c r="D54" s="5">
        <v>0.1</v>
      </c>
      <c r="E54" s="5">
        <v>104</v>
      </c>
      <c r="F54" s="5">
        <v>206.2</v>
      </c>
      <c r="G54" s="5">
        <v>103</v>
      </c>
      <c r="H54" s="5">
        <v>102.8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103.9</v>
      </c>
      <c r="D55" s="5">
        <v>0.1</v>
      </c>
      <c r="E55" s="5">
        <v>104</v>
      </c>
      <c r="F55" s="5">
        <v>206.2</v>
      </c>
      <c r="G55" s="5">
        <v>103</v>
      </c>
      <c r="H55" s="5">
        <v>102.8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103.4</v>
      </c>
      <c r="D56" s="5">
        <v>0.1</v>
      </c>
      <c r="E56" s="5">
        <v>103.5</v>
      </c>
      <c r="F56" s="5">
        <v>205.2</v>
      </c>
      <c r="G56" s="5">
        <v>102.4</v>
      </c>
      <c r="H56" s="5">
        <v>102.3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103.4</v>
      </c>
      <c r="D57" s="5">
        <v>0.1</v>
      </c>
      <c r="E57" s="5">
        <v>103.5</v>
      </c>
      <c r="F57" s="5">
        <v>205.2</v>
      </c>
      <c r="G57" s="5">
        <v>102.4</v>
      </c>
      <c r="H57" s="5">
        <v>102.3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103.4</v>
      </c>
      <c r="D58" s="5">
        <v>0.1</v>
      </c>
      <c r="E58" s="5">
        <v>103.6</v>
      </c>
      <c r="F58" s="5">
        <v>206.3</v>
      </c>
      <c r="G58" s="5">
        <v>103</v>
      </c>
      <c r="H58" s="5">
        <v>102.8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103.4</v>
      </c>
      <c r="D59" s="5">
        <v>0.1</v>
      </c>
      <c r="E59" s="5">
        <v>103.6</v>
      </c>
      <c r="F59" s="5">
        <v>206.3</v>
      </c>
      <c r="G59" s="5">
        <v>103</v>
      </c>
      <c r="H59" s="5">
        <v>102.8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103.4</v>
      </c>
      <c r="D60" s="5">
        <v>0.1</v>
      </c>
      <c r="E60" s="5">
        <v>103.6</v>
      </c>
      <c r="F60" s="5">
        <v>206.3</v>
      </c>
      <c r="G60" s="5">
        <v>103</v>
      </c>
      <c r="H60" s="5">
        <v>102.8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103.4</v>
      </c>
      <c r="D61" s="5">
        <v>0.1</v>
      </c>
      <c r="E61" s="5">
        <v>103.6</v>
      </c>
      <c r="F61" s="5">
        <v>206.3</v>
      </c>
      <c r="G61" s="5">
        <v>103</v>
      </c>
      <c r="H61" s="5">
        <v>102.8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103.4</v>
      </c>
      <c r="D62" s="5">
        <v>0.1</v>
      </c>
      <c r="E62" s="5">
        <v>103.6</v>
      </c>
      <c r="F62" s="5">
        <v>206.8</v>
      </c>
      <c r="G62" s="5">
        <v>103.2</v>
      </c>
      <c r="H62" s="5">
        <v>103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103.4</v>
      </c>
      <c r="D63" s="5">
        <v>0.1</v>
      </c>
      <c r="E63" s="5">
        <v>103.6</v>
      </c>
      <c r="F63" s="5">
        <v>206.8</v>
      </c>
      <c r="G63" s="5">
        <v>103.2</v>
      </c>
      <c r="H63" s="5">
        <v>103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103.4</v>
      </c>
      <c r="D64" s="5">
        <v>0.1</v>
      </c>
      <c r="E64" s="5">
        <v>103.6</v>
      </c>
      <c r="F64" s="5">
        <v>206.6</v>
      </c>
      <c r="G64" s="5">
        <v>103.1</v>
      </c>
      <c r="H64" s="5">
        <v>102.9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103.4</v>
      </c>
      <c r="D65" s="5">
        <v>0.1</v>
      </c>
      <c r="E65" s="5">
        <v>103.6</v>
      </c>
      <c r="F65" s="5">
        <v>206.6</v>
      </c>
      <c r="G65" s="5">
        <v>103.1</v>
      </c>
      <c r="H65" s="5">
        <v>102.9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103.1</v>
      </c>
      <c r="D66" s="5">
        <v>0.1</v>
      </c>
      <c r="E66" s="5">
        <v>103.2</v>
      </c>
      <c r="F66" s="5">
        <v>205.9</v>
      </c>
      <c r="G66" s="5">
        <v>102.8</v>
      </c>
      <c r="H66" s="5">
        <v>102.5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103.1</v>
      </c>
      <c r="D67" s="5">
        <v>0.1</v>
      </c>
      <c r="E67" s="5">
        <v>103.2</v>
      </c>
      <c r="F67" s="5">
        <v>205.9</v>
      </c>
      <c r="G67" s="5">
        <v>102.8</v>
      </c>
      <c r="H67" s="5">
        <v>102.5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103.1</v>
      </c>
      <c r="D68" s="5">
        <v>0.1</v>
      </c>
      <c r="E68" s="5">
        <v>103.1</v>
      </c>
      <c r="F68" s="5">
        <v>206.3</v>
      </c>
      <c r="G68" s="5">
        <v>102.9</v>
      </c>
      <c r="H68" s="5">
        <v>102.8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103.1</v>
      </c>
      <c r="D69" s="5">
        <v>0.1</v>
      </c>
      <c r="E69" s="5">
        <v>103.1</v>
      </c>
      <c r="F69" s="5">
        <v>206.3</v>
      </c>
      <c r="G69" s="5">
        <v>102.9</v>
      </c>
      <c r="H69" s="5">
        <v>102.8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103.1</v>
      </c>
      <c r="D70" s="5">
        <v>0.1</v>
      </c>
      <c r="E70" s="5">
        <v>103.1</v>
      </c>
      <c r="F70" s="5">
        <v>206.3</v>
      </c>
      <c r="G70" s="5">
        <v>102.9</v>
      </c>
      <c r="H70" s="5">
        <v>102.8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103.1</v>
      </c>
      <c r="D71" s="5">
        <v>0.1</v>
      </c>
      <c r="E71" s="5">
        <v>103.1</v>
      </c>
      <c r="F71" s="5">
        <v>206.3</v>
      </c>
      <c r="G71" s="5">
        <v>102.9</v>
      </c>
      <c r="H71" s="5">
        <v>102.8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102.7</v>
      </c>
      <c r="D72" s="5">
        <v>0.1</v>
      </c>
      <c r="E72" s="5">
        <v>102.9</v>
      </c>
      <c r="F72" s="5">
        <v>204.4</v>
      </c>
      <c r="G72" s="5">
        <v>102</v>
      </c>
      <c r="H72" s="5">
        <v>101.9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102.7</v>
      </c>
      <c r="D73" s="5">
        <v>0.1</v>
      </c>
      <c r="E73" s="5">
        <v>102.9</v>
      </c>
      <c r="F73" s="5">
        <v>204.4</v>
      </c>
      <c r="G73" s="5">
        <v>102</v>
      </c>
      <c r="H73" s="5">
        <v>101.9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103</v>
      </c>
      <c r="D74" s="5">
        <v>0.1</v>
      </c>
      <c r="E74" s="5">
        <v>103.1</v>
      </c>
      <c r="F74" s="5">
        <v>205.6</v>
      </c>
      <c r="G74" s="5">
        <v>102.6</v>
      </c>
      <c r="H74" s="5">
        <v>102.4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103</v>
      </c>
      <c r="D75" s="5">
        <v>0.1</v>
      </c>
      <c r="E75" s="5">
        <v>103.1</v>
      </c>
      <c r="F75" s="5">
        <v>205.6</v>
      </c>
      <c r="G75" s="5">
        <v>102.6</v>
      </c>
      <c r="H75" s="5">
        <v>102.4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102.4</v>
      </c>
      <c r="D76" s="5">
        <v>0.1</v>
      </c>
      <c r="E76" s="5">
        <v>102.5</v>
      </c>
      <c r="F76" s="5">
        <v>205.2</v>
      </c>
      <c r="G76" s="5">
        <v>102.4</v>
      </c>
      <c r="H76" s="5">
        <v>102.2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102.4</v>
      </c>
      <c r="D77" s="5">
        <v>0.1</v>
      </c>
      <c r="E77" s="5">
        <v>102.5</v>
      </c>
      <c r="F77" s="5">
        <v>205.2</v>
      </c>
      <c r="G77" s="5">
        <v>102.4</v>
      </c>
      <c r="H77" s="5">
        <v>102.2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102.6</v>
      </c>
      <c r="D78" s="5">
        <v>0.1</v>
      </c>
      <c r="E78" s="5">
        <v>102.7</v>
      </c>
      <c r="F78" s="5">
        <v>204.8</v>
      </c>
      <c r="G78" s="5">
        <v>102.2</v>
      </c>
      <c r="H78" s="5">
        <v>102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102.6</v>
      </c>
      <c r="D79" s="5">
        <v>0.1</v>
      </c>
      <c r="E79" s="5">
        <v>102.7</v>
      </c>
      <c r="F79" s="5">
        <v>204.8</v>
      </c>
      <c r="G79" s="5">
        <v>102.2</v>
      </c>
      <c r="H79" s="5">
        <v>102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102.6</v>
      </c>
      <c r="D80" s="5">
        <v>0.1</v>
      </c>
      <c r="E80" s="5">
        <v>102.7</v>
      </c>
      <c r="F80" s="5">
        <v>204.8</v>
      </c>
      <c r="G80" s="5">
        <v>102.2</v>
      </c>
      <c r="H80" s="5">
        <v>102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102.6</v>
      </c>
      <c r="D81" s="5">
        <v>0.1</v>
      </c>
      <c r="E81" s="5">
        <v>102.7</v>
      </c>
      <c r="F81" s="5">
        <v>204.8</v>
      </c>
      <c r="G81" s="5">
        <v>102.2</v>
      </c>
      <c r="H81" s="5">
        <v>102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102.6</v>
      </c>
      <c r="D82" s="5">
        <v>0.1</v>
      </c>
      <c r="E82" s="5">
        <v>102.7</v>
      </c>
      <c r="F82" s="5">
        <v>204.8</v>
      </c>
      <c r="G82" s="5">
        <v>102.2</v>
      </c>
      <c r="H82" s="5">
        <v>102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102.9</v>
      </c>
      <c r="D83" s="5">
        <v>0.1</v>
      </c>
      <c r="E83" s="5">
        <v>103.1</v>
      </c>
      <c r="F83" s="5">
        <v>205.7</v>
      </c>
      <c r="G83" s="5">
        <v>102.6</v>
      </c>
      <c r="H83" s="5">
        <v>102.5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102.9</v>
      </c>
      <c r="D84" s="5">
        <v>0.1</v>
      </c>
      <c r="E84" s="5">
        <v>103.1</v>
      </c>
      <c r="F84" s="5">
        <v>205.7</v>
      </c>
      <c r="G84" s="5">
        <v>102.6</v>
      </c>
      <c r="H84" s="5">
        <v>102.5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102.7</v>
      </c>
      <c r="D85" s="5">
        <v>0.1</v>
      </c>
      <c r="E85" s="5">
        <v>102.8</v>
      </c>
      <c r="F85" s="5">
        <v>205.2</v>
      </c>
      <c r="G85" s="5">
        <v>102.4</v>
      </c>
      <c r="H85" s="5">
        <v>102.3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102.7</v>
      </c>
      <c r="D86" s="5">
        <v>0.1</v>
      </c>
      <c r="E86" s="5">
        <v>102.8</v>
      </c>
      <c r="F86" s="5">
        <v>205.2</v>
      </c>
      <c r="G86" s="5">
        <v>102.4</v>
      </c>
      <c r="H86" s="5">
        <v>102.3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103.6</v>
      </c>
      <c r="D87" s="5">
        <v>0.1</v>
      </c>
      <c r="E87" s="5">
        <v>103.7</v>
      </c>
      <c r="F87" s="5">
        <v>206.1</v>
      </c>
      <c r="G87" s="5">
        <v>102.9</v>
      </c>
      <c r="H87" s="5">
        <v>102.7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103.6</v>
      </c>
      <c r="D88" s="5">
        <v>0.1</v>
      </c>
      <c r="E88" s="5">
        <v>103.7</v>
      </c>
      <c r="F88" s="5">
        <v>206.1</v>
      </c>
      <c r="G88" s="5">
        <v>102.9</v>
      </c>
      <c r="H88" s="5">
        <v>102.7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103.6</v>
      </c>
      <c r="D89" s="5">
        <v>0.1</v>
      </c>
      <c r="E89" s="5">
        <v>103.7</v>
      </c>
      <c r="F89" s="5">
        <v>206.1</v>
      </c>
      <c r="G89" s="5">
        <v>102.9</v>
      </c>
      <c r="H89" s="5">
        <v>102.7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103.6</v>
      </c>
      <c r="D90" s="5">
        <v>0.1</v>
      </c>
      <c r="E90" s="5">
        <v>103.7</v>
      </c>
      <c r="F90" s="5">
        <v>206.1</v>
      </c>
      <c r="G90" s="5">
        <v>102.9</v>
      </c>
      <c r="H90" s="5">
        <v>102.7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102.5</v>
      </c>
      <c r="D91" s="5">
        <v>0.1</v>
      </c>
      <c r="E91" s="5">
        <v>102.7</v>
      </c>
      <c r="F91" s="5">
        <v>206.3</v>
      </c>
      <c r="G91" s="5">
        <v>102.9</v>
      </c>
      <c r="H91" s="5">
        <v>102.8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102.5</v>
      </c>
      <c r="D92" s="5">
        <v>0.1</v>
      </c>
      <c r="E92" s="5">
        <v>102.7</v>
      </c>
      <c r="F92" s="5">
        <v>206.3</v>
      </c>
      <c r="G92" s="5">
        <v>102.9</v>
      </c>
      <c r="H92" s="5">
        <v>102.8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102.5</v>
      </c>
      <c r="D93" s="5">
        <v>0.1</v>
      </c>
      <c r="E93" s="5">
        <v>102.7</v>
      </c>
      <c r="F93" s="5">
        <v>205</v>
      </c>
      <c r="G93" s="5">
        <v>102.3</v>
      </c>
      <c r="H93" s="5">
        <v>102.2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102.5</v>
      </c>
      <c r="D94" s="5">
        <v>0.1</v>
      </c>
      <c r="E94" s="5">
        <v>102.7</v>
      </c>
      <c r="F94" s="5">
        <v>205</v>
      </c>
      <c r="G94" s="5">
        <v>102.3</v>
      </c>
      <c r="H94" s="5">
        <v>102.2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102.1</v>
      </c>
      <c r="D95" s="5">
        <v>0.1</v>
      </c>
      <c r="E95" s="5">
        <v>102.2</v>
      </c>
      <c r="F95" s="5">
        <v>205.1</v>
      </c>
      <c r="G95" s="5">
        <v>102.3</v>
      </c>
      <c r="H95" s="5">
        <v>102.2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102.1</v>
      </c>
      <c r="D96" s="5">
        <v>0.1</v>
      </c>
      <c r="E96" s="5">
        <v>102.2</v>
      </c>
      <c r="F96" s="5">
        <v>205.1</v>
      </c>
      <c r="G96" s="5">
        <v>102.3</v>
      </c>
      <c r="H96" s="5">
        <v>102.2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100.5</v>
      </c>
      <c r="D97" s="5">
        <v>0.1</v>
      </c>
      <c r="E97" s="5">
        <v>100.6</v>
      </c>
      <c r="F97" s="5">
        <v>202.9</v>
      </c>
      <c r="G97" s="5">
        <v>102.3</v>
      </c>
      <c r="H97" s="5">
        <v>102.2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100.5</v>
      </c>
      <c r="D98" s="5">
        <v>0.1</v>
      </c>
      <c r="E98" s="5">
        <v>100.6</v>
      </c>
      <c r="F98" s="5">
        <v>202.9</v>
      </c>
      <c r="G98" s="5">
        <v>101.2</v>
      </c>
      <c r="H98" s="5">
        <v>101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100.5</v>
      </c>
      <c r="D99" s="5">
        <v>0.1</v>
      </c>
      <c r="E99" s="5">
        <v>100.6</v>
      </c>
      <c r="F99" s="5">
        <v>202.9</v>
      </c>
      <c r="G99" s="5">
        <v>101.2</v>
      </c>
      <c r="H99" s="5">
        <v>101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100.5</v>
      </c>
      <c r="D100" s="5">
        <v>0.1</v>
      </c>
      <c r="E100" s="5">
        <v>100.6</v>
      </c>
      <c r="F100" s="5">
        <v>202.9</v>
      </c>
      <c r="G100" s="5">
        <v>101.2</v>
      </c>
      <c r="H100" s="5">
        <v>101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98.2</v>
      </c>
      <c r="D101" s="5">
        <v>0.1</v>
      </c>
      <c r="E101" s="5">
        <v>100.6</v>
      </c>
      <c r="F101" s="5">
        <v>202.9</v>
      </c>
      <c r="G101" s="5">
        <v>101.2</v>
      </c>
      <c r="H101" s="5">
        <v>97.9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98.2</v>
      </c>
      <c r="D102" s="5">
        <v>0.1</v>
      </c>
      <c r="E102" s="5">
        <v>98.3</v>
      </c>
      <c r="F102" s="5">
        <v>196.4</v>
      </c>
      <c r="G102" s="5">
        <v>98</v>
      </c>
      <c r="H102" s="5">
        <v>97.9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98.2</v>
      </c>
      <c r="D103" s="5">
        <v>0.1</v>
      </c>
      <c r="E103" s="5">
        <v>98.3</v>
      </c>
      <c r="F103" s="5">
        <v>196.4</v>
      </c>
      <c r="G103" s="5">
        <v>98</v>
      </c>
      <c r="H103" s="5">
        <v>97.9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101.4</v>
      </c>
      <c r="D104" s="5">
        <v>0.1</v>
      </c>
      <c r="E104" s="5">
        <v>101.5</v>
      </c>
      <c r="F104" s="5">
        <v>202.6</v>
      </c>
      <c r="G104" s="5">
        <v>101.1</v>
      </c>
      <c r="H104" s="5">
        <v>101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101.4</v>
      </c>
      <c r="D105" s="5">
        <v>0.1</v>
      </c>
      <c r="E105" s="5">
        <v>101.5</v>
      </c>
      <c r="F105" s="5">
        <v>202.6</v>
      </c>
      <c r="G105" s="5">
        <v>101.1</v>
      </c>
      <c r="H105" s="5">
        <v>101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100.8</v>
      </c>
      <c r="D106" s="5">
        <v>0.1</v>
      </c>
      <c r="E106" s="5">
        <v>100.9</v>
      </c>
      <c r="F106" s="5">
        <v>201.4</v>
      </c>
      <c r="G106" s="5">
        <v>100.5</v>
      </c>
      <c r="H106" s="5">
        <v>100.3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100.8</v>
      </c>
      <c r="D107" s="5">
        <v>0.1</v>
      </c>
      <c r="E107" s="5">
        <v>100.9</v>
      </c>
      <c r="F107" s="5">
        <v>201.4</v>
      </c>
      <c r="G107" s="5">
        <v>100.5</v>
      </c>
      <c r="H107" s="5">
        <v>100.3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101.5</v>
      </c>
      <c r="D108" s="5">
        <v>0.1</v>
      </c>
      <c r="E108" s="5">
        <v>101.6</v>
      </c>
      <c r="F108" s="5">
        <v>202.9</v>
      </c>
      <c r="G108" s="5">
        <v>101.3</v>
      </c>
      <c r="H108" s="5">
        <v>101.1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101.5</v>
      </c>
      <c r="D109" s="5">
        <v>0.1</v>
      </c>
      <c r="E109" s="5">
        <v>101.6</v>
      </c>
      <c r="F109" s="5">
        <v>202.9</v>
      </c>
      <c r="G109" s="5">
        <v>101.3</v>
      </c>
      <c r="H109" s="5">
        <v>101.1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101.5</v>
      </c>
      <c r="D110" s="5">
        <v>0.1</v>
      </c>
      <c r="E110" s="5">
        <v>101.6</v>
      </c>
      <c r="F110" s="5">
        <v>202.9</v>
      </c>
      <c r="G110" s="5">
        <v>101.3</v>
      </c>
      <c r="H110" s="5">
        <v>101.1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102.4</v>
      </c>
      <c r="D111" s="5">
        <v>0.1</v>
      </c>
      <c r="E111" s="5">
        <v>102.6</v>
      </c>
      <c r="F111" s="5">
        <v>203.9</v>
      </c>
      <c r="G111" s="5">
        <v>101.7</v>
      </c>
      <c r="H111" s="5">
        <v>101.6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102.4</v>
      </c>
      <c r="D112" s="5">
        <v>0.1</v>
      </c>
      <c r="E112" s="5">
        <v>102.6</v>
      </c>
      <c r="F112" s="5">
        <v>203.9</v>
      </c>
      <c r="G112" s="5">
        <v>101.7</v>
      </c>
      <c r="H112" s="5">
        <v>101.6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101.8</v>
      </c>
      <c r="D113" s="5">
        <v>0.1</v>
      </c>
      <c r="E113" s="5">
        <v>102</v>
      </c>
      <c r="F113" s="5">
        <v>203.9</v>
      </c>
      <c r="G113" s="5">
        <v>101.7</v>
      </c>
      <c r="H113" s="5">
        <v>101.6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101.8</v>
      </c>
      <c r="D114" s="5">
        <v>0.1</v>
      </c>
      <c r="E114" s="5">
        <v>102</v>
      </c>
      <c r="F114" s="5">
        <v>203.9</v>
      </c>
      <c r="G114" s="5">
        <v>101.7</v>
      </c>
      <c r="H114" s="5">
        <v>101.6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102.2</v>
      </c>
      <c r="D115" s="5">
        <v>0.1</v>
      </c>
      <c r="E115" s="5">
        <v>102.4</v>
      </c>
      <c r="F115" s="5">
        <v>203.7</v>
      </c>
      <c r="G115" s="5">
        <v>101.7</v>
      </c>
      <c r="H115" s="5">
        <v>101.5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102.2</v>
      </c>
      <c r="D116" s="5">
        <v>0.1</v>
      </c>
      <c r="E116" s="5">
        <v>102.4</v>
      </c>
      <c r="F116" s="5">
        <v>203.7</v>
      </c>
      <c r="G116" s="5">
        <v>101.7</v>
      </c>
      <c r="H116" s="5">
        <v>101.5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101.8</v>
      </c>
      <c r="D117" s="5">
        <v>0.1</v>
      </c>
      <c r="E117" s="5">
        <v>101.9</v>
      </c>
      <c r="F117" s="5">
        <v>204.5</v>
      </c>
      <c r="G117" s="5">
        <v>102.1</v>
      </c>
      <c r="H117" s="5">
        <v>101.9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101.8</v>
      </c>
      <c r="D118" s="5">
        <v>0.1</v>
      </c>
      <c r="E118" s="5">
        <v>101.9</v>
      </c>
      <c r="F118" s="5">
        <v>204.5</v>
      </c>
      <c r="G118" s="5">
        <v>102.1</v>
      </c>
      <c r="H118" s="5">
        <v>101.9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101.8</v>
      </c>
      <c r="D119" s="5">
        <v>0.1</v>
      </c>
      <c r="E119" s="5">
        <v>101.9</v>
      </c>
      <c r="F119" s="5">
        <v>204.5</v>
      </c>
      <c r="G119" s="5">
        <v>102.1</v>
      </c>
      <c r="H119" s="5">
        <v>101.9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101.8</v>
      </c>
      <c r="D120" s="5">
        <v>0.1</v>
      </c>
      <c r="E120" s="5">
        <v>101.9</v>
      </c>
      <c r="F120" s="5">
        <v>204.5</v>
      </c>
      <c r="G120" s="5">
        <v>102.1</v>
      </c>
      <c r="H120" s="5">
        <v>101.9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101.4</v>
      </c>
      <c r="D121" s="5">
        <v>0.1</v>
      </c>
      <c r="E121" s="5">
        <v>101.5</v>
      </c>
      <c r="F121" s="5">
        <v>203</v>
      </c>
      <c r="G121" s="5">
        <v>101.3</v>
      </c>
      <c r="H121" s="5">
        <v>101.1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101.4</v>
      </c>
      <c r="D122" s="5">
        <v>0.1</v>
      </c>
      <c r="E122" s="5">
        <v>101.5</v>
      </c>
      <c r="F122" s="5">
        <v>203</v>
      </c>
      <c r="G122" s="5">
        <v>101.3</v>
      </c>
      <c r="H122" s="5">
        <v>101.1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</v>
      </c>
      <c r="D123" s="5">
        <v>0.1</v>
      </c>
      <c r="E123" s="5">
        <v>101.1</v>
      </c>
      <c r="F123" s="5">
        <v>202.3</v>
      </c>
      <c r="G123" s="5">
        <v>100.9</v>
      </c>
      <c r="H123" s="5">
        <v>100.7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</v>
      </c>
      <c r="D124" s="5">
        <v>0.1</v>
      </c>
      <c r="E124" s="5">
        <v>101.1</v>
      </c>
      <c r="F124" s="5">
        <v>202.3</v>
      </c>
      <c r="G124" s="5">
        <v>100.9</v>
      </c>
      <c r="H124" s="5">
        <v>100.7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101.1</v>
      </c>
      <c r="D125" s="5">
        <v>0.1</v>
      </c>
      <c r="E125" s="5">
        <v>101.2</v>
      </c>
      <c r="F125" s="5">
        <v>201.9</v>
      </c>
      <c r="G125" s="5">
        <v>100.8</v>
      </c>
      <c r="H125" s="5">
        <v>100.6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101.1</v>
      </c>
      <c r="D126" s="5">
        <v>0.1</v>
      </c>
      <c r="E126" s="5">
        <v>101.2</v>
      </c>
      <c r="F126" s="5">
        <v>201.9</v>
      </c>
      <c r="G126" s="5">
        <v>100.8</v>
      </c>
      <c r="H126" s="5">
        <v>100.6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101.7</v>
      </c>
      <c r="D127" s="5">
        <v>0.1</v>
      </c>
      <c r="E127" s="5">
        <v>101.8</v>
      </c>
      <c r="F127" s="5">
        <v>202.9</v>
      </c>
      <c r="G127" s="5">
        <v>101.2</v>
      </c>
      <c r="H127" s="5">
        <v>101.1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101.7</v>
      </c>
      <c r="D128" s="5">
        <v>0.1</v>
      </c>
      <c r="E128" s="5">
        <v>101.8</v>
      </c>
      <c r="F128" s="5">
        <v>202.9</v>
      </c>
      <c r="G128" s="5">
        <v>101.2</v>
      </c>
      <c r="H128" s="5">
        <v>101.1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101.7</v>
      </c>
      <c r="D129" s="5">
        <v>0.1</v>
      </c>
      <c r="E129" s="5">
        <v>101.8</v>
      </c>
      <c r="F129" s="5">
        <v>202.9</v>
      </c>
      <c r="G129" s="5">
        <v>101.2</v>
      </c>
      <c r="H129" s="5">
        <v>101.1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101.7</v>
      </c>
      <c r="D130" s="5">
        <v>0.1</v>
      </c>
      <c r="E130" s="5">
        <v>101.8</v>
      </c>
      <c r="F130" s="5">
        <v>202.9</v>
      </c>
      <c r="G130" s="5">
        <v>101.2</v>
      </c>
      <c r="H130" s="5">
        <v>101.1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100.2</v>
      </c>
      <c r="D131" s="5">
        <v>0.1</v>
      </c>
      <c r="E131" s="5">
        <v>100.3</v>
      </c>
      <c r="F131" s="5">
        <v>200.3</v>
      </c>
      <c r="G131" s="5">
        <v>99.9</v>
      </c>
      <c r="H131" s="5">
        <v>99.8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100.2</v>
      </c>
      <c r="D132" s="5">
        <v>0.1</v>
      </c>
      <c r="E132" s="5">
        <v>100.3</v>
      </c>
      <c r="F132" s="5">
        <v>200.3</v>
      </c>
      <c r="G132" s="5">
        <v>99.9</v>
      </c>
      <c r="H132" s="5">
        <v>99.8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103.1</v>
      </c>
      <c r="D133" s="5">
        <v>0.1</v>
      </c>
      <c r="E133" s="5">
        <v>103.2</v>
      </c>
      <c r="F133" s="5">
        <v>204.9</v>
      </c>
      <c r="G133" s="5">
        <v>102.3</v>
      </c>
      <c r="H133" s="5">
        <v>102.2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103.1</v>
      </c>
      <c r="D134" s="5">
        <v>0.1</v>
      </c>
      <c r="E134" s="5">
        <v>103.2</v>
      </c>
      <c r="F134" s="5">
        <v>204.9</v>
      </c>
      <c r="G134" s="5">
        <v>102.3</v>
      </c>
      <c r="H134" s="5">
        <v>102.2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100.8</v>
      </c>
      <c r="D135" s="5">
        <v>0.1</v>
      </c>
      <c r="E135" s="5">
        <v>100.9</v>
      </c>
      <c r="F135" s="5">
        <v>202.2</v>
      </c>
      <c r="G135" s="5">
        <v>100.8</v>
      </c>
      <c r="H135" s="5">
        <v>100.7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100.8</v>
      </c>
      <c r="D136" s="5">
        <v>0.1</v>
      </c>
      <c r="E136" s="5">
        <v>100.9</v>
      </c>
      <c r="F136" s="5">
        <v>202.2</v>
      </c>
      <c r="G136" s="5">
        <v>100.8</v>
      </c>
      <c r="H136" s="5">
        <v>100.7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99.5</v>
      </c>
      <c r="D137" s="5">
        <v>0.1</v>
      </c>
      <c r="E137" s="5">
        <v>99.6</v>
      </c>
      <c r="F137" s="5">
        <v>200.2</v>
      </c>
      <c r="G137" s="5">
        <v>99.8</v>
      </c>
      <c r="H137" s="5">
        <v>99.5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99.5</v>
      </c>
      <c r="D138" s="5">
        <v>0.1</v>
      </c>
      <c r="E138" s="5">
        <v>99.6</v>
      </c>
      <c r="F138" s="5">
        <v>200.2</v>
      </c>
      <c r="G138" s="5">
        <v>99.8</v>
      </c>
      <c r="H138" s="5">
        <v>99.5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99.5</v>
      </c>
      <c r="D139" s="5">
        <v>0.1</v>
      </c>
      <c r="E139" s="5">
        <v>99.6</v>
      </c>
      <c r="F139" s="5">
        <v>200.2</v>
      </c>
      <c r="G139" s="5">
        <v>99.8</v>
      </c>
      <c r="H139" s="5">
        <v>99.5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99.5</v>
      </c>
      <c r="D140" s="5">
        <v>0.1</v>
      </c>
      <c r="E140" s="5">
        <v>99.6</v>
      </c>
      <c r="F140" s="5">
        <v>200.2</v>
      </c>
      <c r="G140" s="5">
        <v>99.8</v>
      </c>
      <c r="H140" s="5">
        <v>99.5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100.3</v>
      </c>
      <c r="D141" s="5">
        <v>0.1</v>
      </c>
      <c r="E141" s="5">
        <v>100.5</v>
      </c>
      <c r="F141" s="5">
        <v>201</v>
      </c>
      <c r="G141" s="5">
        <v>100.2</v>
      </c>
      <c r="H141" s="5">
        <v>100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100.3</v>
      </c>
      <c r="D142" s="5">
        <v>0.1</v>
      </c>
      <c r="E142" s="5">
        <v>100.5</v>
      </c>
      <c r="F142" s="5">
        <v>201</v>
      </c>
      <c r="G142" s="5">
        <v>100.2</v>
      </c>
      <c r="H142" s="5">
        <v>100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100.7</v>
      </c>
      <c r="D143" s="5">
        <v>0.1</v>
      </c>
      <c r="E143" s="5">
        <v>100.8</v>
      </c>
      <c r="F143" s="5">
        <v>201.3</v>
      </c>
      <c r="G143" s="5">
        <v>100.4</v>
      </c>
      <c r="H143" s="5">
        <v>100.3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100.7</v>
      </c>
      <c r="D144" s="5">
        <v>0.1</v>
      </c>
      <c r="E144" s="5">
        <v>100.8</v>
      </c>
      <c r="F144" s="5">
        <v>201.3</v>
      </c>
      <c r="G144" s="5">
        <v>100.4</v>
      </c>
      <c r="H144" s="5">
        <v>100.3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101</v>
      </c>
      <c r="D145" s="5">
        <v>0.1</v>
      </c>
      <c r="E145" s="5">
        <v>101.1</v>
      </c>
      <c r="F145" s="5">
        <v>201.9</v>
      </c>
      <c r="G145" s="5">
        <v>100.7</v>
      </c>
      <c r="H145" s="5">
        <v>100.5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101</v>
      </c>
      <c r="D146" s="5">
        <v>0.1</v>
      </c>
      <c r="E146" s="5">
        <v>101.1</v>
      </c>
      <c r="F146" s="5">
        <v>201.9</v>
      </c>
      <c r="G146" s="5">
        <v>100.7</v>
      </c>
      <c r="H146" s="5">
        <v>100.5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100.8</v>
      </c>
      <c r="D147" s="5">
        <v>0.1</v>
      </c>
      <c r="E147" s="5">
        <v>100.9</v>
      </c>
      <c r="F147" s="5">
        <v>201.3</v>
      </c>
      <c r="G147" s="5">
        <v>100.4</v>
      </c>
      <c r="H147" s="5">
        <v>100.3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100.8</v>
      </c>
      <c r="D148" s="5">
        <v>0.1</v>
      </c>
      <c r="E148" s="5">
        <v>100.9</v>
      </c>
      <c r="F148" s="5">
        <v>201.3</v>
      </c>
      <c r="G148" s="5">
        <v>100.4</v>
      </c>
      <c r="H148" s="5">
        <v>100.3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100.8</v>
      </c>
      <c r="D149" s="5">
        <v>0.1</v>
      </c>
      <c r="E149" s="5">
        <v>100.9</v>
      </c>
      <c r="F149" s="5">
        <v>201.3</v>
      </c>
      <c r="G149" s="5">
        <v>100.4</v>
      </c>
      <c r="H149" s="5">
        <v>100.3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100.8</v>
      </c>
      <c r="D150" s="5">
        <v>0.1</v>
      </c>
      <c r="E150" s="5">
        <v>100.9</v>
      </c>
      <c r="F150" s="5">
        <v>201.3</v>
      </c>
      <c r="G150" s="5">
        <v>100.4</v>
      </c>
      <c r="H150" s="5">
        <v>100.3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101.1</v>
      </c>
      <c r="D151" s="5">
        <v>0.1</v>
      </c>
      <c r="E151" s="5">
        <v>101.3</v>
      </c>
      <c r="F151" s="5">
        <v>201.3</v>
      </c>
      <c r="G151" s="5">
        <v>100.4</v>
      </c>
      <c r="H151" s="5">
        <v>100.3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101.1</v>
      </c>
      <c r="D152" s="5">
        <v>0.1</v>
      </c>
      <c r="E152" s="5">
        <v>101.3</v>
      </c>
      <c r="F152" s="5">
        <v>201.3</v>
      </c>
      <c r="G152" s="5">
        <v>100.4</v>
      </c>
      <c r="H152" s="5">
        <v>100.3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100.6</v>
      </c>
      <c r="D153" s="5">
        <v>0.1</v>
      </c>
      <c r="E153" s="5">
        <v>100.8</v>
      </c>
      <c r="F153" s="5">
        <v>201.4</v>
      </c>
      <c r="G153" s="5">
        <v>100.4</v>
      </c>
      <c r="H153" s="5">
        <v>100.3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100.6</v>
      </c>
      <c r="D154" s="5">
        <v>0.1</v>
      </c>
      <c r="E154" s="5">
        <v>100.8</v>
      </c>
      <c r="F154" s="5">
        <v>201.4</v>
      </c>
      <c r="G154" s="5">
        <v>100.4</v>
      </c>
      <c r="H154" s="5">
        <v>100.3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101</v>
      </c>
      <c r="D155" s="5">
        <v>0.1</v>
      </c>
      <c r="E155" s="5">
        <v>101.1</v>
      </c>
      <c r="F155" s="5">
        <v>200.6</v>
      </c>
      <c r="G155" s="5">
        <v>100.1</v>
      </c>
      <c r="H155" s="5">
        <v>100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101</v>
      </c>
      <c r="D156" s="5">
        <v>0.1</v>
      </c>
      <c r="E156" s="5">
        <v>101.1</v>
      </c>
      <c r="F156" s="5">
        <v>200.6</v>
      </c>
      <c r="G156" s="5">
        <v>100.1</v>
      </c>
      <c r="H156" s="5">
        <v>100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100.2</v>
      </c>
      <c r="D157" s="5">
        <v>0.1</v>
      </c>
      <c r="E157" s="5">
        <v>100.3</v>
      </c>
      <c r="F157" s="5">
        <v>199.4</v>
      </c>
      <c r="G157" s="5">
        <v>99.5</v>
      </c>
      <c r="H157" s="5">
        <v>99.4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100.2</v>
      </c>
      <c r="D158" s="5">
        <v>0.1</v>
      </c>
      <c r="E158" s="5">
        <v>100.3</v>
      </c>
      <c r="F158" s="5">
        <v>199.4</v>
      </c>
      <c r="G158" s="5">
        <v>99.5</v>
      </c>
      <c r="H158" s="5">
        <v>99.4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100.2</v>
      </c>
      <c r="D159" s="5">
        <v>0.1</v>
      </c>
      <c r="E159" s="5">
        <v>100.3</v>
      </c>
      <c r="F159" s="5">
        <v>199.4</v>
      </c>
      <c r="G159" s="5">
        <v>99.5</v>
      </c>
      <c r="H159" s="5">
        <v>99.4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100.2</v>
      </c>
      <c r="D160" s="5">
        <v>0.1</v>
      </c>
      <c r="E160" s="5">
        <v>100.3</v>
      </c>
      <c r="F160" s="5">
        <v>199.4</v>
      </c>
      <c r="G160" s="5">
        <v>99.5</v>
      </c>
      <c r="H160" s="5">
        <v>99.4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100.1</v>
      </c>
      <c r="D161" s="5">
        <v>0.1</v>
      </c>
      <c r="E161" s="5">
        <v>100.2</v>
      </c>
      <c r="F161" s="5">
        <v>200.3</v>
      </c>
      <c r="G161" s="5">
        <v>99.9</v>
      </c>
      <c r="H161" s="5">
        <v>99.7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100.1</v>
      </c>
      <c r="D162" s="5">
        <v>0.1</v>
      </c>
      <c r="E162" s="5">
        <v>100.2</v>
      </c>
      <c r="F162" s="5">
        <v>200.3</v>
      </c>
      <c r="G162" s="5">
        <v>99.9</v>
      </c>
      <c r="H162" s="5">
        <v>99.7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100.4</v>
      </c>
      <c r="D163" s="5">
        <v>0.1</v>
      </c>
      <c r="E163" s="5">
        <v>100.5</v>
      </c>
      <c r="F163" s="5">
        <v>201</v>
      </c>
      <c r="G163" s="5">
        <v>100.2</v>
      </c>
      <c r="H163" s="5">
        <v>100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100.4</v>
      </c>
      <c r="D164" s="5">
        <v>0.1</v>
      </c>
      <c r="E164" s="5">
        <v>100.5</v>
      </c>
      <c r="F164" s="5">
        <v>201</v>
      </c>
      <c r="G164" s="5">
        <v>100.2</v>
      </c>
      <c r="H164" s="5">
        <v>100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99.7</v>
      </c>
      <c r="D165" s="5">
        <v>0.1</v>
      </c>
      <c r="E165" s="5">
        <v>99.9</v>
      </c>
      <c r="F165" s="5">
        <v>199.5</v>
      </c>
      <c r="G165" s="5">
        <v>99.5</v>
      </c>
      <c r="H165" s="5">
        <v>99.3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99.7</v>
      </c>
      <c r="D166" s="5">
        <v>0.1</v>
      </c>
      <c r="E166" s="5">
        <v>99.9</v>
      </c>
      <c r="F166" s="5">
        <v>199.5</v>
      </c>
      <c r="G166" s="5">
        <v>99.5</v>
      </c>
      <c r="H166" s="5">
        <v>99.3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102.3</v>
      </c>
      <c r="D167" s="5">
        <v>0.1</v>
      </c>
      <c r="E167" s="5">
        <v>102.4</v>
      </c>
      <c r="F167" s="5">
        <v>204.7</v>
      </c>
      <c r="G167" s="5">
        <v>102.1</v>
      </c>
      <c r="H167" s="5">
        <v>102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102.3</v>
      </c>
      <c r="D168" s="5">
        <v>0.1</v>
      </c>
      <c r="E168" s="5">
        <v>102.4</v>
      </c>
      <c r="F168" s="5">
        <v>204.7</v>
      </c>
      <c r="G168" s="5">
        <v>102.1</v>
      </c>
      <c r="H168" s="5">
        <v>102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102.3</v>
      </c>
      <c r="D169" s="5">
        <v>0.1</v>
      </c>
      <c r="E169" s="5">
        <v>102.4</v>
      </c>
      <c r="F169" s="5">
        <v>204.7</v>
      </c>
      <c r="G169" s="5">
        <v>102.1</v>
      </c>
      <c r="H169" s="5">
        <v>102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102.3</v>
      </c>
      <c r="D170" s="5">
        <v>0.1</v>
      </c>
      <c r="E170" s="5">
        <v>102.4</v>
      </c>
      <c r="F170" s="5">
        <v>204.7</v>
      </c>
      <c r="G170" s="5">
        <v>102.1</v>
      </c>
      <c r="H170" s="5">
        <v>102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100.5</v>
      </c>
      <c r="D171" s="5">
        <v>0.1</v>
      </c>
      <c r="E171" s="5">
        <v>100.5</v>
      </c>
      <c r="F171" s="5">
        <v>200.8</v>
      </c>
      <c r="G171" s="5">
        <v>100.3</v>
      </c>
      <c r="H171" s="5">
        <v>100.1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100.5</v>
      </c>
      <c r="D172" s="5">
        <v>0.1</v>
      </c>
      <c r="E172" s="5">
        <v>100.5</v>
      </c>
      <c r="F172" s="5">
        <v>200.8</v>
      </c>
      <c r="G172" s="5">
        <v>100.3</v>
      </c>
      <c r="H172" s="5">
        <v>100.1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100.2</v>
      </c>
      <c r="D173" s="5">
        <v>0.1</v>
      </c>
      <c r="E173" s="5">
        <v>100.4</v>
      </c>
      <c r="F173" s="5">
        <v>200.3</v>
      </c>
      <c r="G173" s="5">
        <v>100</v>
      </c>
      <c r="H173" s="5">
        <v>99.9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100.2</v>
      </c>
      <c r="D174" s="5">
        <v>0.1</v>
      </c>
      <c r="E174" s="5">
        <v>100.4</v>
      </c>
      <c r="F174" s="5">
        <v>200.3</v>
      </c>
      <c r="G174" s="5">
        <v>100</v>
      </c>
      <c r="H174" s="5">
        <v>99.9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100</v>
      </c>
      <c r="D175" s="5">
        <v>0.1</v>
      </c>
      <c r="E175" s="5">
        <v>100.2</v>
      </c>
      <c r="F175" s="5">
        <v>199.9</v>
      </c>
      <c r="G175" s="5">
        <v>99.7</v>
      </c>
      <c r="H175" s="5">
        <v>99.6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100</v>
      </c>
      <c r="D176" s="5">
        <v>0.1</v>
      </c>
      <c r="E176" s="5">
        <v>100.2</v>
      </c>
      <c r="F176" s="5">
        <v>199.9</v>
      </c>
      <c r="G176" s="5">
        <v>99.7</v>
      </c>
      <c r="H176" s="5">
        <v>99.6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100.2</v>
      </c>
      <c r="D177" s="5">
        <v>0.1</v>
      </c>
      <c r="E177" s="5">
        <v>100.3</v>
      </c>
      <c r="F177" s="5">
        <v>200.3</v>
      </c>
      <c r="G177" s="5">
        <v>99.9</v>
      </c>
      <c r="H177" s="5">
        <v>99.8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100.2</v>
      </c>
      <c r="D178" s="5">
        <v>0.1</v>
      </c>
      <c r="E178" s="5">
        <v>100.3</v>
      </c>
      <c r="F178" s="5">
        <v>200.3</v>
      </c>
      <c r="G178" s="5">
        <v>99.9</v>
      </c>
      <c r="H178" s="5">
        <v>99.8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100.2</v>
      </c>
      <c r="D179" s="5">
        <v>0.1</v>
      </c>
      <c r="E179" s="5">
        <v>100.3</v>
      </c>
      <c r="F179" s="5">
        <v>200.3</v>
      </c>
      <c r="G179" s="5">
        <v>99.9</v>
      </c>
      <c r="H179" s="5">
        <v>99.8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100.2</v>
      </c>
      <c r="D180" s="5">
        <v>0.1</v>
      </c>
      <c r="E180" s="5">
        <v>100.3</v>
      </c>
      <c r="F180" s="5">
        <v>200.3</v>
      </c>
      <c r="G180" s="5">
        <v>99.9</v>
      </c>
      <c r="H180" s="5">
        <v>99.8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99.6</v>
      </c>
      <c r="D181" s="5">
        <v>0.1</v>
      </c>
      <c r="E181" s="5">
        <v>99.8</v>
      </c>
      <c r="F181" s="5">
        <v>199.7</v>
      </c>
      <c r="G181" s="5">
        <v>99.6</v>
      </c>
      <c r="H181" s="5">
        <v>99.5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99.6</v>
      </c>
      <c r="D182" s="5">
        <v>0.1</v>
      </c>
      <c r="E182" s="5">
        <v>99.8</v>
      </c>
      <c r="F182" s="5">
        <v>199.7</v>
      </c>
      <c r="G182" s="5">
        <v>99.6</v>
      </c>
      <c r="H182" s="5">
        <v>99.5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101.7</v>
      </c>
      <c r="D183" s="5">
        <v>0.1</v>
      </c>
      <c r="E183" s="5">
        <v>101.8</v>
      </c>
      <c r="F183" s="5">
        <v>202.9</v>
      </c>
      <c r="G183" s="5">
        <v>101.2</v>
      </c>
      <c r="H183" s="5">
        <v>101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101.7</v>
      </c>
      <c r="D184" s="5">
        <v>0.1</v>
      </c>
      <c r="E184" s="5">
        <v>101.8</v>
      </c>
      <c r="F184" s="5">
        <v>202.9</v>
      </c>
      <c r="G184" s="5">
        <v>101.2</v>
      </c>
      <c r="H184" s="5">
        <v>101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102.1</v>
      </c>
      <c r="D185" s="5">
        <v>0.1</v>
      </c>
      <c r="E185" s="5">
        <v>102.2</v>
      </c>
      <c r="F185" s="5">
        <v>204.4</v>
      </c>
      <c r="G185" s="5">
        <v>102</v>
      </c>
      <c r="H185" s="5">
        <v>101.7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102.2</v>
      </c>
      <c r="F186" s="5">
        <v>204.4</v>
      </c>
      <c r="G186" s="5">
        <v>102</v>
      </c>
      <c r="H186" s="5">
        <v>101.7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</v>
      </c>
      <c r="D187" s="5">
        <v>0.1</v>
      </c>
      <c r="E187" s="5">
        <v>102.1</v>
      </c>
      <c r="F187" s="5">
        <v>203.6</v>
      </c>
      <c r="G187" s="5">
        <v>101.6</v>
      </c>
      <c r="H187" s="5">
        <v>101.4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</v>
      </c>
      <c r="D188" s="5">
        <v>0.1</v>
      </c>
      <c r="E188" s="5">
        <v>102.1</v>
      </c>
      <c r="F188" s="5">
        <v>203.6</v>
      </c>
      <c r="G188" s="5">
        <v>101.6</v>
      </c>
      <c r="H188" s="5">
        <v>101.4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102</v>
      </c>
      <c r="D189" s="5">
        <v>0.1</v>
      </c>
      <c r="E189" s="5">
        <v>102.1</v>
      </c>
      <c r="F189" s="5">
        <v>203.6</v>
      </c>
      <c r="G189" s="5">
        <v>101.6</v>
      </c>
      <c r="H189" s="5">
        <v>101.4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102.9</v>
      </c>
      <c r="D190" s="5">
        <v>0.1</v>
      </c>
      <c r="E190" s="5">
        <v>103.1</v>
      </c>
      <c r="F190" s="5">
        <v>205.4</v>
      </c>
      <c r="G190" s="5">
        <v>102.5</v>
      </c>
      <c r="H190" s="5">
        <v>102.4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102.9</v>
      </c>
      <c r="D191" s="5">
        <v>0.1</v>
      </c>
      <c r="E191" s="5">
        <v>103.1</v>
      </c>
      <c r="F191" s="5">
        <v>205.4</v>
      </c>
      <c r="G191" s="5">
        <v>102.5</v>
      </c>
      <c r="H191" s="5">
        <v>102.4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102.5</v>
      </c>
      <c r="D192" s="5">
        <v>0.1</v>
      </c>
      <c r="E192" s="5">
        <v>102.7</v>
      </c>
      <c r="F192" s="5">
        <v>205.7</v>
      </c>
      <c r="G192" s="5">
        <v>102.6</v>
      </c>
      <c r="H192" s="5">
        <v>102.4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102.5</v>
      </c>
      <c r="D193" s="5">
        <v>0.1</v>
      </c>
      <c r="E193" s="5">
        <v>102.7</v>
      </c>
      <c r="F193" s="5">
        <v>205.7</v>
      </c>
      <c r="G193" s="5">
        <v>102.6</v>
      </c>
      <c r="H193" s="5">
        <v>102.4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</v>
      </c>
      <c r="D194" s="5">
        <v>0.1</v>
      </c>
      <c r="E194" s="5">
        <v>102.1</v>
      </c>
      <c r="F194" s="5">
        <v>203.6</v>
      </c>
      <c r="G194" s="5">
        <v>101.6</v>
      </c>
      <c r="H194" s="5">
        <v>101.4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</v>
      </c>
      <c r="D195" s="5">
        <v>0.1</v>
      </c>
      <c r="E195" s="5">
        <v>102.1</v>
      </c>
      <c r="F195" s="5">
        <v>203.6</v>
      </c>
      <c r="G195" s="5">
        <v>101.6</v>
      </c>
      <c r="H195" s="5">
        <v>101.4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</v>
      </c>
      <c r="D196" s="5">
        <v>0.1</v>
      </c>
      <c r="E196" s="5">
        <v>101.8</v>
      </c>
      <c r="F196" s="5">
        <v>203.1</v>
      </c>
      <c r="G196" s="5">
        <v>101.2</v>
      </c>
      <c r="H196" s="5">
        <v>100.9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101.7</v>
      </c>
      <c r="D197" s="5">
        <v>0.1</v>
      </c>
      <c r="E197" s="5">
        <v>101.8</v>
      </c>
      <c r="F197" s="5">
        <v>203.1</v>
      </c>
      <c r="G197" s="5">
        <v>101.2</v>
      </c>
      <c r="H197" s="5">
        <v>100.9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101.7</v>
      </c>
      <c r="D198" s="5">
        <v>0.1</v>
      </c>
      <c r="E198" s="5">
        <v>101.8</v>
      </c>
      <c r="F198" s="5">
        <v>203.1</v>
      </c>
      <c r="G198" s="5">
        <v>101.2</v>
      </c>
      <c r="H198" s="5">
        <v>100.9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101.7</v>
      </c>
      <c r="D199" s="5">
        <v>0.1</v>
      </c>
      <c r="E199" s="5">
        <v>101.8</v>
      </c>
      <c r="F199" s="5">
        <v>203.1</v>
      </c>
      <c r="G199" s="5">
        <v>101.2</v>
      </c>
      <c r="H199" s="5">
        <v>100.9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100.6</v>
      </c>
      <c r="D200" s="5">
        <v>0.1</v>
      </c>
      <c r="E200" s="5">
        <v>100.8</v>
      </c>
      <c r="F200" s="5">
        <v>203.1</v>
      </c>
      <c r="G200" s="5">
        <v>101.2</v>
      </c>
      <c r="H200" s="5">
        <v>100.9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100.6</v>
      </c>
      <c r="D201" s="5">
        <v>0.1</v>
      </c>
      <c r="E201" s="5">
        <v>100.8</v>
      </c>
      <c r="F201" s="5">
        <v>202.1</v>
      </c>
      <c r="G201" s="5">
        <v>100.8</v>
      </c>
      <c r="H201" s="5">
        <v>100.6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101.8</v>
      </c>
      <c r="D202" s="5">
        <v>0.1</v>
      </c>
      <c r="E202" s="5">
        <v>100.8</v>
      </c>
      <c r="F202" s="5">
        <v>202.1</v>
      </c>
      <c r="G202" s="5">
        <v>100.8</v>
      </c>
      <c r="H202" s="5">
        <v>100.6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101.8</v>
      </c>
      <c r="D203" s="5">
        <v>0.1</v>
      </c>
      <c r="E203" s="5">
        <v>101.9</v>
      </c>
      <c r="F203" s="5">
        <v>203.4</v>
      </c>
      <c r="G203" s="5">
        <v>101.5</v>
      </c>
      <c r="H203" s="5">
        <v>101.4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101.8</v>
      </c>
      <c r="D204" s="5">
        <v>0.1</v>
      </c>
      <c r="E204" s="5">
        <v>101.9</v>
      </c>
      <c r="F204" s="5">
        <v>203.4</v>
      </c>
      <c r="G204" s="5">
        <v>101.5</v>
      </c>
      <c r="H204" s="5">
        <v>101.4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101.1</v>
      </c>
      <c r="D205" s="5">
        <v>0.1</v>
      </c>
      <c r="E205" s="5">
        <v>101.3</v>
      </c>
      <c r="F205" s="5">
        <v>202.2</v>
      </c>
      <c r="G205" s="5">
        <v>100.9</v>
      </c>
      <c r="H205" s="5">
        <v>100.8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101.1</v>
      </c>
      <c r="D206" s="5">
        <v>0.1</v>
      </c>
      <c r="E206" s="5">
        <v>101.3</v>
      </c>
      <c r="F206" s="5">
        <v>202.2</v>
      </c>
      <c r="G206" s="5">
        <v>100.9</v>
      </c>
      <c r="H206" s="5">
        <v>100.8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101.6</v>
      </c>
      <c r="D207" s="5">
        <v>0.1</v>
      </c>
      <c r="E207" s="5">
        <v>101.8</v>
      </c>
      <c r="F207" s="5">
        <v>202.8</v>
      </c>
      <c r="G207" s="5">
        <v>101.2</v>
      </c>
      <c r="H207" s="5">
        <v>101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101.6</v>
      </c>
      <c r="D208" s="5">
        <v>0.1</v>
      </c>
      <c r="E208" s="5">
        <v>101.8</v>
      </c>
      <c r="F208" s="5">
        <v>202.8</v>
      </c>
      <c r="G208" s="5">
        <v>101.2</v>
      </c>
      <c r="H208" s="5">
        <v>101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101.6</v>
      </c>
      <c r="D209" s="5">
        <v>0.1</v>
      </c>
      <c r="E209" s="5">
        <v>101.8</v>
      </c>
      <c r="F209" s="5">
        <v>202.8</v>
      </c>
      <c r="G209" s="5">
        <v>101.2</v>
      </c>
      <c r="H209" s="5">
        <v>101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101.6</v>
      </c>
      <c r="D210" s="5">
        <v>0.1</v>
      </c>
      <c r="E210" s="5">
        <v>101.8</v>
      </c>
      <c r="F210" s="5">
        <v>202.8</v>
      </c>
      <c r="G210" s="5">
        <v>101.2</v>
      </c>
      <c r="H210" s="5">
        <v>101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101.3</v>
      </c>
      <c r="D211" s="5">
        <v>0.1</v>
      </c>
      <c r="E211" s="5">
        <v>101.5</v>
      </c>
      <c r="F211" s="5">
        <v>202.4</v>
      </c>
      <c r="G211" s="5">
        <v>101</v>
      </c>
      <c r="H211" s="5">
        <v>100.9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101.3</v>
      </c>
      <c r="D212" s="5">
        <v>0.1</v>
      </c>
      <c r="E212" s="5">
        <v>101.5</v>
      </c>
      <c r="F212" s="5">
        <v>202.4</v>
      </c>
      <c r="G212" s="5">
        <v>101</v>
      </c>
      <c r="H212" s="5">
        <v>100.9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103.4</v>
      </c>
      <c r="D213" s="5">
        <v>0.1</v>
      </c>
      <c r="E213" s="5">
        <v>103.6</v>
      </c>
      <c r="F213" s="5">
        <v>206.6</v>
      </c>
      <c r="G213" s="5">
        <v>103</v>
      </c>
      <c r="H213" s="5">
        <v>102.9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103.4</v>
      </c>
      <c r="D214" s="5">
        <v>0.1</v>
      </c>
      <c r="E214" s="5">
        <v>103.6</v>
      </c>
      <c r="F214" s="5">
        <v>206.6</v>
      </c>
      <c r="G214" s="5">
        <v>103</v>
      </c>
      <c r="H214" s="5">
        <v>102.9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103.4</v>
      </c>
      <c r="D215" s="5">
        <v>0.1</v>
      </c>
      <c r="E215" s="5">
        <v>103.4</v>
      </c>
      <c r="F215" s="5">
        <v>206.7</v>
      </c>
      <c r="G215" s="5">
        <v>103.1</v>
      </c>
      <c r="H215" s="5">
        <v>103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103.4</v>
      </c>
      <c r="D216" s="5">
        <v>0.1</v>
      </c>
      <c r="E216" s="5">
        <v>103.4</v>
      </c>
      <c r="F216" s="5">
        <v>206.7</v>
      </c>
      <c r="G216" s="5">
        <v>103.1</v>
      </c>
      <c r="H216" s="5">
        <v>103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103</v>
      </c>
      <c r="D217" s="5">
        <v>0.1</v>
      </c>
      <c r="E217" s="5">
        <v>103.1</v>
      </c>
      <c r="F217" s="5">
        <v>206.1</v>
      </c>
      <c r="G217" s="5">
        <v>102.8</v>
      </c>
      <c r="H217" s="5">
        <v>102.6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103</v>
      </c>
      <c r="D218" s="5">
        <v>0.1</v>
      </c>
      <c r="E218" s="5">
        <v>103.1</v>
      </c>
      <c r="F218" s="5">
        <v>206.1</v>
      </c>
      <c r="G218" s="5">
        <v>102.8</v>
      </c>
      <c r="H218" s="5">
        <v>102.6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103</v>
      </c>
      <c r="D219" s="5">
        <v>0.1</v>
      </c>
      <c r="E219" s="5">
        <v>103.1</v>
      </c>
      <c r="F219" s="5">
        <v>206.1</v>
      </c>
      <c r="G219" s="5">
        <v>102.8</v>
      </c>
      <c r="H219" s="5">
        <v>102.6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103</v>
      </c>
      <c r="D220" s="5">
        <v>0.1</v>
      </c>
      <c r="E220" s="5">
        <v>103.6</v>
      </c>
      <c r="F220" s="5">
        <v>205.5</v>
      </c>
      <c r="G220" s="5">
        <v>102.5</v>
      </c>
      <c r="H220" s="5">
        <v>102.5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103.4</v>
      </c>
      <c r="D221" s="5">
        <v>0.1</v>
      </c>
      <c r="E221" s="5">
        <v>103.6</v>
      </c>
      <c r="F221" s="5">
        <v>205.5</v>
      </c>
      <c r="G221" s="5">
        <v>102.5</v>
      </c>
      <c r="H221" s="5">
        <v>102.5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103.4</v>
      </c>
      <c r="D222" s="5">
        <v>0.1</v>
      </c>
      <c r="E222" s="5">
        <v>102.1</v>
      </c>
      <c r="F222" s="5">
        <v>203.7</v>
      </c>
      <c r="G222" s="5">
        <v>101.6</v>
      </c>
      <c r="H222" s="5">
        <v>101.4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102</v>
      </c>
      <c r="D223" s="5">
        <v>0.1</v>
      </c>
      <c r="E223" s="5">
        <v>102.1</v>
      </c>
      <c r="F223" s="5">
        <v>203.7</v>
      </c>
      <c r="G223" s="5">
        <v>101.6</v>
      </c>
      <c r="H223" s="5">
        <v>101.4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</v>
      </c>
      <c r="D224" s="5">
        <v>0.1</v>
      </c>
      <c r="E224" s="5">
        <v>102.1</v>
      </c>
      <c r="F224" s="5">
        <v>203.7</v>
      </c>
      <c r="G224" s="5">
        <v>101.2</v>
      </c>
      <c r="H224" s="5">
        <v>101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101.5</v>
      </c>
      <c r="D225" s="5">
        <v>0.1</v>
      </c>
      <c r="E225" s="5">
        <v>101.6</v>
      </c>
      <c r="F225" s="5">
        <v>202.9</v>
      </c>
      <c r="G225" s="5">
        <v>101.2</v>
      </c>
      <c r="H225" s="5">
        <v>101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101.5</v>
      </c>
      <c r="D226" s="5">
        <v>0.1</v>
      </c>
      <c r="E226" s="5">
        <v>101.6</v>
      </c>
      <c r="F226" s="5">
        <v>202.9</v>
      </c>
      <c r="G226" s="5">
        <v>101.2</v>
      </c>
      <c r="H226" s="5">
        <v>101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101.8</v>
      </c>
      <c r="D227" s="5">
        <v>0.1</v>
      </c>
      <c r="E227" s="5">
        <v>101.9</v>
      </c>
      <c r="F227" s="5">
        <v>203.6</v>
      </c>
      <c r="G227" s="5">
        <v>101.5</v>
      </c>
      <c r="H227" s="5">
        <v>101.3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101.8</v>
      </c>
      <c r="D228" s="5">
        <v>0.1</v>
      </c>
      <c r="E228" s="5">
        <v>101.9</v>
      </c>
      <c r="F228" s="5">
        <v>203.6</v>
      </c>
      <c r="G228" s="5">
        <v>101.5</v>
      </c>
      <c r="H228" s="5">
        <v>101.3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101.8</v>
      </c>
      <c r="D229" s="5">
        <v>0.1</v>
      </c>
      <c r="E229" s="5">
        <v>101.9</v>
      </c>
      <c r="F229" s="5">
        <v>203.6</v>
      </c>
      <c r="G229" s="5">
        <v>101.5</v>
      </c>
      <c r="H229" s="5">
        <v>101.3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101.3</v>
      </c>
      <c r="D230" s="5">
        <v>0.1</v>
      </c>
      <c r="E230" s="5">
        <v>101.5</v>
      </c>
      <c r="F230" s="5">
        <v>202.3</v>
      </c>
      <c r="G230" s="5">
        <v>100.9</v>
      </c>
      <c r="H230" s="5">
        <v>100.7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101.3</v>
      </c>
      <c r="D231" s="5">
        <v>0.1</v>
      </c>
      <c r="E231" s="5">
        <v>101.5</v>
      </c>
      <c r="F231" s="5">
        <v>202.3</v>
      </c>
      <c r="G231" s="5">
        <v>100.9</v>
      </c>
      <c r="H231" s="5">
        <v>100.7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100.7</v>
      </c>
      <c r="D232" s="5">
        <v>0.1</v>
      </c>
      <c r="E232" s="5">
        <v>100.8</v>
      </c>
      <c r="F232" s="5">
        <v>201.1</v>
      </c>
      <c r="G232" s="5">
        <v>100.3</v>
      </c>
      <c r="H232" s="5">
        <v>100.2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100.7</v>
      </c>
      <c r="D233" s="5">
        <v>0.1</v>
      </c>
      <c r="E233" s="5">
        <v>100.8</v>
      </c>
      <c r="F233" s="5">
        <v>201.1</v>
      </c>
      <c r="G233" s="5">
        <v>100.3</v>
      </c>
      <c r="H233" s="5">
        <v>100.2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101.2</v>
      </c>
      <c r="D234" s="5">
        <v>0.1</v>
      </c>
      <c r="E234" s="5">
        <v>101.4</v>
      </c>
      <c r="F234" s="5">
        <v>202.2</v>
      </c>
      <c r="G234" s="5">
        <v>100.9</v>
      </c>
      <c r="H234" s="5">
        <v>100.8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101.2</v>
      </c>
      <c r="D235" s="5">
        <v>0.1</v>
      </c>
      <c r="E235" s="5">
        <v>101.4</v>
      </c>
      <c r="F235" s="5">
        <v>202.2</v>
      </c>
      <c r="G235" s="5">
        <v>100.9</v>
      </c>
      <c r="H235" s="5">
        <v>100.8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101.1</v>
      </c>
      <c r="D236" s="5">
        <v>0.1</v>
      </c>
      <c r="E236" s="5">
        <v>101.3</v>
      </c>
      <c r="F236" s="5">
        <v>201.9</v>
      </c>
      <c r="G236" s="5">
        <v>100.8</v>
      </c>
      <c r="H236" s="5">
        <v>100.6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101.1</v>
      </c>
      <c r="D237" s="5">
        <v>0.1</v>
      </c>
      <c r="E237" s="5">
        <v>101.3</v>
      </c>
      <c r="F237" s="5">
        <v>201.9</v>
      </c>
      <c r="G237" s="5">
        <v>100.8</v>
      </c>
      <c r="H237" s="5">
        <v>100.6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101.1</v>
      </c>
      <c r="D238" s="5">
        <v>0.1</v>
      </c>
      <c r="E238" s="5">
        <v>101.3</v>
      </c>
      <c r="F238" s="5">
        <v>201.9</v>
      </c>
      <c r="G238" s="5">
        <v>100.8</v>
      </c>
      <c r="H238" s="5">
        <v>100.6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101.1</v>
      </c>
      <c r="D239" s="5">
        <v>0.1</v>
      </c>
      <c r="E239" s="5">
        <v>101.3</v>
      </c>
      <c r="F239" s="5">
        <v>201.9</v>
      </c>
      <c r="G239" s="5">
        <v>100.8</v>
      </c>
      <c r="H239" s="5">
        <v>100.6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102.6</v>
      </c>
      <c r="D240" s="5">
        <v>0.1</v>
      </c>
      <c r="E240" s="5">
        <v>102.7</v>
      </c>
      <c r="F240" s="5">
        <v>204.7</v>
      </c>
      <c r="G240" s="5">
        <v>102.2</v>
      </c>
      <c r="H240" s="5">
        <v>102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102.6</v>
      </c>
      <c r="D241" s="5">
        <v>0.1</v>
      </c>
      <c r="E241" s="5">
        <v>102.7</v>
      </c>
      <c r="F241" s="5">
        <v>204.7</v>
      </c>
      <c r="G241" s="5">
        <v>102.2</v>
      </c>
      <c r="H241" s="5">
        <v>102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102.5</v>
      </c>
      <c r="D242" s="5">
        <v>0.1</v>
      </c>
      <c r="E242" s="5">
        <v>102.7</v>
      </c>
      <c r="F242" s="5">
        <v>204.4</v>
      </c>
      <c r="G242" s="5">
        <v>102</v>
      </c>
      <c r="H242" s="5">
        <v>101.9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102.5</v>
      </c>
      <c r="D243" s="5">
        <v>0.1</v>
      </c>
      <c r="E243" s="5">
        <v>102.7</v>
      </c>
      <c r="F243" s="5">
        <v>204.4</v>
      </c>
      <c r="G243" s="5">
        <v>102</v>
      </c>
      <c r="H243" s="5">
        <v>101.9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103</v>
      </c>
      <c r="D244" s="5">
        <v>0.1</v>
      </c>
      <c r="E244" s="5">
        <v>103.1</v>
      </c>
      <c r="F244" s="5">
        <v>205.8</v>
      </c>
      <c r="G244" s="5">
        <v>102.7</v>
      </c>
      <c r="H244" s="5">
        <v>102.6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103</v>
      </c>
      <c r="D245" s="5">
        <v>0.1</v>
      </c>
      <c r="E245" s="5">
        <v>103.1</v>
      </c>
      <c r="F245" s="5">
        <v>205.8</v>
      </c>
      <c r="G245" s="5">
        <v>102.7</v>
      </c>
      <c r="H245" s="5">
        <v>102.6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101.2</v>
      </c>
      <c r="D246" s="5">
        <v>0.1</v>
      </c>
      <c r="E246" s="5">
        <v>101.4</v>
      </c>
      <c r="F246" s="5">
        <v>200.2</v>
      </c>
      <c r="G246" s="5">
        <v>99.8</v>
      </c>
      <c r="H246" s="5">
        <v>99.7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101.2</v>
      </c>
      <c r="D247" s="5">
        <v>0.1</v>
      </c>
      <c r="E247" s="5">
        <v>101.4</v>
      </c>
      <c r="F247" s="5">
        <v>200.2</v>
      </c>
      <c r="G247" s="5">
        <v>99.8</v>
      </c>
      <c r="H247" s="5">
        <v>99.7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101.2</v>
      </c>
      <c r="D248" s="5">
        <v>0.1</v>
      </c>
      <c r="E248" s="5">
        <v>101.4</v>
      </c>
      <c r="F248" s="5">
        <v>200.2</v>
      </c>
      <c r="G248" s="5">
        <v>99.8</v>
      </c>
      <c r="H248" s="5">
        <v>99.7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101.2</v>
      </c>
      <c r="D249" s="5">
        <v>0.1</v>
      </c>
      <c r="E249" s="5">
        <v>101.4</v>
      </c>
      <c r="F249" s="5">
        <v>200.2</v>
      </c>
      <c r="G249" s="5">
        <v>99.8</v>
      </c>
      <c r="H249" s="5">
        <v>99.7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101.9</v>
      </c>
      <c r="D250" s="5">
        <v>0.1</v>
      </c>
      <c r="E250" s="5">
        <v>102.1</v>
      </c>
      <c r="F250" s="5">
        <v>203.5</v>
      </c>
      <c r="G250" s="5">
        <v>101.5</v>
      </c>
      <c r="H250" s="5">
        <v>101.4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101.9</v>
      </c>
      <c r="D251" s="5">
        <v>0.1</v>
      </c>
      <c r="E251" s="5">
        <v>102.1</v>
      </c>
      <c r="F251" s="5">
        <v>203.5</v>
      </c>
      <c r="G251" s="5">
        <v>101.5</v>
      </c>
      <c r="H251" s="5">
        <v>101.4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101.8</v>
      </c>
      <c r="D252" s="5">
        <v>0.1</v>
      </c>
      <c r="E252" s="5">
        <v>102</v>
      </c>
      <c r="F252" s="5">
        <v>203.8</v>
      </c>
      <c r="G252" s="5">
        <v>101.7</v>
      </c>
      <c r="H252" s="5">
        <v>101.5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101.8</v>
      </c>
      <c r="D253" s="5">
        <v>0.1</v>
      </c>
      <c r="E253" s="5">
        <v>102</v>
      </c>
      <c r="F253" s="5">
        <v>203.8</v>
      </c>
      <c r="G253" s="5">
        <v>101.7</v>
      </c>
      <c r="H253" s="5">
        <v>101.5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101.5</v>
      </c>
      <c r="D254" s="5">
        <v>0.1</v>
      </c>
      <c r="E254" s="5">
        <v>101.7</v>
      </c>
      <c r="F254" s="5">
        <v>202.2</v>
      </c>
      <c r="G254" s="5">
        <v>100.9</v>
      </c>
      <c r="H254" s="5">
        <v>100.8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101.5</v>
      </c>
      <c r="D255" s="5">
        <v>0.1</v>
      </c>
      <c r="E255" s="5">
        <v>101.7</v>
      </c>
      <c r="F255" s="5">
        <v>202.2</v>
      </c>
      <c r="G255" s="5">
        <v>100.9</v>
      </c>
      <c r="H255" s="5">
        <v>100.8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101.5</v>
      </c>
      <c r="D256" s="5">
        <v>0.1</v>
      </c>
      <c r="E256" s="5">
        <v>101.7</v>
      </c>
      <c r="F256" s="5">
        <v>202.9</v>
      </c>
      <c r="G256" s="5">
        <v>101.2</v>
      </c>
      <c r="H256" s="5">
        <v>101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101.5</v>
      </c>
      <c r="D257" s="5">
        <v>0.1</v>
      </c>
      <c r="E257" s="5">
        <v>101.7</v>
      </c>
      <c r="F257" s="5">
        <v>202.9</v>
      </c>
      <c r="G257" s="5">
        <v>101.2</v>
      </c>
      <c r="H257" s="5">
        <v>101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101.5</v>
      </c>
      <c r="D258" s="5">
        <v>0.1</v>
      </c>
      <c r="E258" s="5">
        <v>101.7</v>
      </c>
      <c r="F258" s="5">
        <v>202.9</v>
      </c>
      <c r="G258" s="5">
        <v>101.2</v>
      </c>
      <c r="H258" s="5">
        <v>101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101.5</v>
      </c>
      <c r="D259" s="5">
        <v>0.1</v>
      </c>
      <c r="E259" s="5">
        <v>101.7</v>
      </c>
      <c r="F259" s="5">
        <v>202.9</v>
      </c>
      <c r="G259" s="5">
        <v>101.2</v>
      </c>
      <c r="H259" s="5">
        <v>101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102.1</v>
      </c>
      <c r="D260" s="5">
        <v>0.1</v>
      </c>
      <c r="E260" s="5">
        <v>102.2</v>
      </c>
      <c r="F260" s="5">
        <v>203.7</v>
      </c>
      <c r="G260" s="5">
        <v>101.6</v>
      </c>
      <c r="H260" s="5">
        <v>101.5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102.1</v>
      </c>
      <c r="D261" s="5">
        <v>0.1</v>
      </c>
      <c r="E261" s="5">
        <v>102.2</v>
      </c>
      <c r="F261" s="5">
        <v>203.7</v>
      </c>
      <c r="G261" s="5">
        <v>101.6</v>
      </c>
      <c r="H261" s="5">
        <v>101.5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101.6</v>
      </c>
      <c r="D262" s="5">
        <v>0.1</v>
      </c>
      <c r="E262" s="5">
        <v>101.8</v>
      </c>
      <c r="F262" s="5">
        <v>203.1</v>
      </c>
      <c r="G262" s="5">
        <v>101.3</v>
      </c>
      <c r="H262" s="5">
        <v>101.2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101.6</v>
      </c>
      <c r="D263" s="5">
        <v>0.1</v>
      </c>
      <c r="E263" s="5">
        <v>101.8</v>
      </c>
      <c r="F263" s="5">
        <v>203.1</v>
      </c>
      <c r="G263" s="5">
        <v>101.3</v>
      </c>
      <c r="H263" s="5">
        <v>101.2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102.2</v>
      </c>
      <c r="D264" s="5">
        <v>0.1</v>
      </c>
      <c r="E264" s="5">
        <v>102.3</v>
      </c>
      <c r="F264" s="5">
        <v>204.4</v>
      </c>
      <c r="G264" s="5">
        <v>101.9</v>
      </c>
      <c r="H264" s="5">
        <v>101.8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102.2</v>
      </c>
      <c r="D265" s="5">
        <v>0.1</v>
      </c>
      <c r="E265" s="5">
        <v>102.3</v>
      </c>
      <c r="F265" s="5">
        <v>204.4</v>
      </c>
      <c r="G265" s="5">
        <v>101.9</v>
      </c>
      <c r="H265" s="5">
        <v>101.8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103.9</v>
      </c>
      <c r="D266" s="5">
        <v>0.1</v>
      </c>
      <c r="E266" s="5">
        <v>104</v>
      </c>
      <c r="F266" s="5">
        <v>207.8</v>
      </c>
      <c r="G266" s="5">
        <v>103.6</v>
      </c>
      <c r="H266" s="5">
        <v>103.5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103.9</v>
      </c>
      <c r="D267" s="5">
        <v>0.1</v>
      </c>
      <c r="E267" s="5">
        <v>104</v>
      </c>
      <c r="F267" s="5">
        <v>207.8</v>
      </c>
      <c r="G267" s="5">
        <v>103.6</v>
      </c>
      <c r="H267" s="5">
        <v>103.5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103.9</v>
      </c>
      <c r="D268" s="5">
        <v>0.1</v>
      </c>
      <c r="E268" s="5">
        <v>104</v>
      </c>
      <c r="F268" s="5">
        <v>207.8</v>
      </c>
      <c r="G268" s="5">
        <v>103.6</v>
      </c>
      <c r="H268" s="5">
        <v>103.5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103.9</v>
      </c>
      <c r="D269" s="5">
        <v>0.1</v>
      </c>
      <c r="E269" s="5">
        <v>104</v>
      </c>
      <c r="F269" s="5">
        <v>207.8</v>
      </c>
      <c r="G269" s="5">
        <v>103.6</v>
      </c>
      <c r="H269" s="5">
        <v>103.5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102.2</v>
      </c>
      <c r="D270" s="5">
        <v>0.1</v>
      </c>
      <c r="E270" s="5">
        <v>102.4</v>
      </c>
      <c r="F270" s="5">
        <v>204.4</v>
      </c>
      <c r="G270" s="5">
        <v>102</v>
      </c>
      <c r="H270" s="5">
        <v>101.8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102.2</v>
      </c>
      <c r="D271" s="5">
        <v>0.1</v>
      </c>
      <c r="E271" s="5">
        <v>102.4</v>
      </c>
      <c r="F271" s="5">
        <v>204.4</v>
      </c>
      <c r="G271" s="5">
        <v>102</v>
      </c>
      <c r="H271" s="5">
        <v>101.8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101.5</v>
      </c>
      <c r="D272" s="5">
        <v>0.1</v>
      </c>
      <c r="E272" s="5">
        <v>101.6</v>
      </c>
      <c r="F272" s="5">
        <v>202.8</v>
      </c>
      <c r="G272" s="5">
        <v>101.2</v>
      </c>
      <c r="H272" s="5">
        <v>100.9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101.5</v>
      </c>
      <c r="D273" s="5">
        <v>0.1</v>
      </c>
      <c r="E273" s="5">
        <v>101.6</v>
      </c>
      <c r="F273" s="5">
        <v>202.8</v>
      </c>
      <c r="G273" s="5">
        <v>101.2</v>
      </c>
      <c r="H273" s="5">
        <v>100.9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99.7</v>
      </c>
      <c r="D274" s="5">
        <v>0.1</v>
      </c>
      <c r="E274" s="5">
        <v>99.9</v>
      </c>
      <c r="F274" s="5">
        <v>199.1</v>
      </c>
      <c r="G274" s="5">
        <v>99.4</v>
      </c>
      <c r="H274" s="5">
        <v>99.2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99.7</v>
      </c>
      <c r="D275" s="5">
        <v>0.1</v>
      </c>
      <c r="E275" s="5">
        <v>99.9</v>
      </c>
      <c r="F275" s="5">
        <v>199.1</v>
      </c>
      <c r="G275" s="5">
        <v>99.4</v>
      </c>
      <c r="H275" s="5">
        <v>99.2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101</v>
      </c>
      <c r="D276" s="5">
        <v>0.1</v>
      </c>
      <c r="E276" s="5">
        <v>101.1</v>
      </c>
      <c r="F276" s="5">
        <v>201.5</v>
      </c>
      <c r="G276" s="5">
        <v>100.6</v>
      </c>
      <c r="H276" s="5">
        <v>100.4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101</v>
      </c>
      <c r="D277" s="5">
        <v>0.1</v>
      </c>
      <c r="E277" s="5">
        <v>101.1</v>
      </c>
      <c r="F277" s="5">
        <v>201.5</v>
      </c>
      <c r="G277" s="5">
        <v>100.6</v>
      </c>
      <c r="H277" s="5">
        <v>100.4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101</v>
      </c>
      <c r="D278" s="5">
        <v>0.1</v>
      </c>
      <c r="E278" s="5">
        <v>101.1</v>
      </c>
      <c r="F278" s="5">
        <v>201.5</v>
      </c>
      <c r="G278" s="5">
        <v>100.6</v>
      </c>
      <c r="H278" s="5">
        <v>100.4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101</v>
      </c>
      <c r="D279" s="5">
        <v>0.1</v>
      </c>
      <c r="E279" s="5">
        <v>101.1</v>
      </c>
      <c r="F279" s="5">
        <v>201.5</v>
      </c>
      <c r="G279" s="5">
        <v>100.6</v>
      </c>
      <c r="H279" s="5">
        <v>100.4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100.7</v>
      </c>
      <c r="D280" s="5">
        <v>0.1</v>
      </c>
      <c r="E280" s="5">
        <v>100.8</v>
      </c>
      <c r="F280" s="5">
        <v>200.9</v>
      </c>
      <c r="G280" s="5">
        <v>100.2</v>
      </c>
      <c r="H280" s="5">
        <v>100.1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100.7</v>
      </c>
      <c r="D281" s="5">
        <v>0.1</v>
      </c>
      <c r="E281" s="5">
        <v>100.8</v>
      </c>
      <c r="F281" s="5">
        <v>200.9</v>
      </c>
      <c r="G281" s="5">
        <v>100.2</v>
      </c>
      <c r="H281" s="5">
        <v>100.1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100.4</v>
      </c>
      <c r="D282" s="5">
        <v>0.1</v>
      </c>
      <c r="E282" s="5">
        <v>100.5</v>
      </c>
      <c r="F282" s="5">
        <v>201.1</v>
      </c>
      <c r="G282" s="5">
        <v>100.3</v>
      </c>
      <c r="H282" s="5">
        <v>100.1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100.4</v>
      </c>
      <c r="D283" s="5">
        <v>0.1</v>
      </c>
      <c r="E283" s="5">
        <v>100.5</v>
      </c>
      <c r="F283" s="5">
        <v>201.1</v>
      </c>
      <c r="G283" s="5">
        <v>100.3</v>
      </c>
      <c r="H283" s="5">
        <v>100.1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101.2</v>
      </c>
      <c r="D284" s="5">
        <v>0.1</v>
      </c>
      <c r="E284" s="5">
        <v>101.4</v>
      </c>
      <c r="F284" s="5">
        <v>201.2</v>
      </c>
      <c r="G284" s="5">
        <v>100.4</v>
      </c>
      <c r="H284" s="5">
        <v>100.3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101.2</v>
      </c>
      <c r="D285" s="5">
        <v>0.1</v>
      </c>
      <c r="E285" s="5">
        <v>101.4</v>
      </c>
      <c r="F285" s="5">
        <v>201.2</v>
      </c>
      <c r="G285" s="5">
        <v>100.4</v>
      </c>
      <c r="H285" s="5">
        <v>100.3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100.5</v>
      </c>
      <c r="D286" s="5">
        <v>0.1</v>
      </c>
      <c r="E286" s="5">
        <v>100.6</v>
      </c>
      <c r="F286" s="5">
        <v>200.4</v>
      </c>
      <c r="G286" s="5">
        <v>100</v>
      </c>
      <c r="H286" s="5">
        <v>99.9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100.5</v>
      </c>
      <c r="D287" s="5">
        <v>0.1</v>
      </c>
      <c r="E287" s="5">
        <v>100.6</v>
      </c>
      <c r="F287" s="5">
        <v>200.4</v>
      </c>
      <c r="G287" s="5">
        <v>100</v>
      </c>
      <c r="H287" s="5">
        <v>99.9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100.5</v>
      </c>
      <c r="D288" s="5">
        <v>0.1</v>
      </c>
      <c r="E288" s="5">
        <v>100.6</v>
      </c>
      <c r="F288" s="5">
        <v>200.4</v>
      </c>
      <c r="G288" s="5">
        <v>100</v>
      </c>
      <c r="H288" s="5">
        <v>99.9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100.5</v>
      </c>
      <c r="D289" s="5">
        <v>0.1</v>
      </c>
      <c r="E289" s="5">
        <v>100.6</v>
      </c>
      <c r="F289" s="5">
        <v>200.4</v>
      </c>
      <c r="G289" s="5">
        <v>100</v>
      </c>
      <c r="H289" s="5">
        <v>99.9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101.9</v>
      </c>
      <c r="D290" s="5">
        <v>0.1</v>
      </c>
      <c r="E290" s="5">
        <v>102.1</v>
      </c>
      <c r="F290" s="5">
        <v>203.8</v>
      </c>
      <c r="G290" s="5">
        <v>101.6</v>
      </c>
      <c r="H290" s="5">
        <v>101.4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101.9</v>
      </c>
      <c r="D291" s="5">
        <v>0.1</v>
      </c>
      <c r="E291" s="5">
        <v>102.1</v>
      </c>
      <c r="F291" s="5">
        <v>203.8</v>
      </c>
      <c r="G291" s="5">
        <v>101.6</v>
      </c>
      <c r="H291" s="5">
        <v>101.4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103.9</v>
      </c>
      <c r="D292" s="5">
        <v>0.1</v>
      </c>
      <c r="E292" s="5">
        <v>104</v>
      </c>
      <c r="F292" s="5">
        <v>207.5</v>
      </c>
      <c r="G292" s="5">
        <v>103.5</v>
      </c>
      <c r="H292" s="5">
        <v>103.3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103.9</v>
      </c>
      <c r="D293" s="5">
        <v>0.1</v>
      </c>
      <c r="E293" s="5">
        <v>104</v>
      </c>
      <c r="F293" s="5">
        <v>207.5</v>
      </c>
      <c r="G293" s="5">
        <v>103.5</v>
      </c>
      <c r="H293" s="5">
        <v>103.3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104</v>
      </c>
      <c r="D294" s="5">
        <v>0.1</v>
      </c>
      <c r="E294" s="5">
        <v>104.1</v>
      </c>
      <c r="F294" s="5">
        <v>207.1</v>
      </c>
      <c r="G294" s="5">
        <v>103.3</v>
      </c>
      <c r="H294" s="5">
        <v>103.1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104</v>
      </c>
      <c r="D295" s="5">
        <v>0.1</v>
      </c>
      <c r="E295" s="5">
        <v>104.1</v>
      </c>
      <c r="F295" s="5">
        <v>207.1</v>
      </c>
      <c r="G295" s="5">
        <v>103.3</v>
      </c>
      <c r="H295" s="5">
        <v>103.1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103.9</v>
      </c>
      <c r="D296" s="5">
        <v>0.1</v>
      </c>
      <c r="E296" s="5">
        <v>104</v>
      </c>
      <c r="F296" s="5">
        <v>207.3</v>
      </c>
      <c r="G296" s="5">
        <v>103.4</v>
      </c>
      <c r="H296" s="5">
        <v>103.2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103.9</v>
      </c>
      <c r="D297" s="5">
        <v>0.1</v>
      </c>
      <c r="E297" s="5">
        <v>104</v>
      </c>
      <c r="F297" s="5">
        <v>207.3</v>
      </c>
      <c r="G297" s="5">
        <v>103.4</v>
      </c>
      <c r="H297" s="5">
        <v>103.2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103.9</v>
      </c>
      <c r="D298" s="5">
        <v>0.1</v>
      </c>
      <c r="E298" s="5">
        <v>104</v>
      </c>
      <c r="F298" s="5">
        <v>207.3</v>
      </c>
      <c r="G298" s="5">
        <v>103.4</v>
      </c>
      <c r="H298" s="5">
        <v>103.2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103.9</v>
      </c>
      <c r="D299" s="5">
        <v>0.1</v>
      </c>
      <c r="E299" s="5">
        <v>104</v>
      </c>
      <c r="F299" s="5">
        <v>207.3</v>
      </c>
      <c r="G299" s="5">
        <v>103.4</v>
      </c>
      <c r="H299" s="5">
        <v>103.2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102.7</v>
      </c>
      <c r="D300" s="5">
        <v>0.1</v>
      </c>
      <c r="E300" s="5">
        <v>102.9</v>
      </c>
      <c r="F300" s="5">
        <v>207.3</v>
      </c>
      <c r="G300" s="5">
        <v>103.8</v>
      </c>
      <c r="H300" s="5">
        <v>103.4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102.7</v>
      </c>
      <c r="D301" s="5">
        <v>0.1</v>
      </c>
      <c r="E301" s="5">
        <v>102.9</v>
      </c>
      <c r="F301" s="5">
        <v>207.3</v>
      </c>
      <c r="G301" s="5">
        <v>103.8</v>
      </c>
      <c r="H301" s="5">
        <v>103.4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102.8</v>
      </c>
      <c r="D302" s="5">
        <v>0.1</v>
      </c>
      <c r="E302" s="5">
        <v>103</v>
      </c>
      <c r="F302" s="5">
        <v>208.1</v>
      </c>
      <c r="G302" s="5">
        <v>103.8</v>
      </c>
      <c r="H302" s="5">
        <v>103.5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102.8</v>
      </c>
      <c r="D303" s="5">
        <v>0.1</v>
      </c>
      <c r="E303" s="5">
        <v>103</v>
      </c>
      <c r="F303" s="5">
        <v>208.1</v>
      </c>
      <c r="G303" s="5">
        <v>103.8</v>
      </c>
      <c r="H303" s="5">
        <v>103.5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104.3</v>
      </c>
      <c r="D304" s="5">
        <v>0.1</v>
      </c>
      <c r="E304" s="5">
        <v>104.4</v>
      </c>
      <c r="F304" s="5">
        <v>205.6</v>
      </c>
      <c r="G304" s="5">
        <v>102.4</v>
      </c>
      <c r="H304" s="5">
        <v>102.4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104.3</v>
      </c>
      <c r="D305" s="5">
        <v>0.1</v>
      </c>
      <c r="E305" s="5">
        <v>104.4</v>
      </c>
      <c r="F305" s="5">
        <v>205.6</v>
      </c>
      <c r="G305" s="5">
        <v>102.4</v>
      </c>
      <c r="H305" s="5">
        <v>102.4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102.8</v>
      </c>
      <c r="D306" s="5">
        <v>0.1</v>
      </c>
      <c r="E306" s="5">
        <v>102.9</v>
      </c>
      <c r="F306" s="5">
        <v>206.1</v>
      </c>
      <c r="G306" s="5">
        <v>102.8</v>
      </c>
      <c r="H306" s="5">
        <v>102.6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102.8</v>
      </c>
      <c r="D307" s="5">
        <v>0.1</v>
      </c>
      <c r="E307" s="5">
        <v>102.9</v>
      </c>
      <c r="F307" s="5">
        <v>206.1</v>
      </c>
      <c r="G307" s="5">
        <v>102.8</v>
      </c>
      <c r="H307" s="5">
        <v>102.6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102.8</v>
      </c>
      <c r="D308" s="5">
        <v>0.1</v>
      </c>
      <c r="E308" s="5">
        <v>102.9</v>
      </c>
      <c r="F308" s="5">
        <v>206.1</v>
      </c>
      <c r="G308" s="5">
        <v>102.8</v>
      </c>
      <c r="H308" s="5">
        <v>102.6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102.8</v>
      </c>
      <c r="D309" s="5">
        <v>0.1</v>
      </c>
      <c r="E309" s="5">
        <v>102.9</v>
      </c>
      <c r="F309" s="5">
        <v>206.1</v>
      </c>
      <c r="G309" s="5">
        <v>102.8</v>
      </c>
      <c r="H309" s="5">
        <v>102.6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102.5</v>
      </c>
      <c r="D310" s="5">
        <v>0.1</v>
      </c>
      <c r="E310" s="5">
        <v>102.7</v>
      </c>
      <c r="F310" s="5">
        <v>204.8</v>
      </c>
      <c r="G310" s="5">
        <v>102.2</v>
      </c>
      <c r="H310" s="5">
        <v>102.1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102.5</v>
      </c>
      <c r="D311" s="5">
        <v>0.1</v>
      </c>
      <c r="E311" s="5">
        <v>102.7</v>
      </c>
      <c r="F311" s="5">
        <v>204.8</v>
      </c>
      <c r="G311" s="5">
        <v>102.2</v>
      </c>
      <c r="H311" s="5">
        <v>102.1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102.4</v>
      </c>
      <c r="D312" s="5">
        <v>0.1</v>
      </c>
      <c r="E312" s="5">
        <v>102.5</v>
      </c>
      <c r="F312" s="5">
        <v>203.6</v>
      </c>
      <c r="G312" s="5">
        <v>101.6</v>
      </c>
      <c r="H312" s="5">
        <v>101.5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102.4</v>
      </c>
      <c r="D313" s="5">
        <v>0.1</v>
      </c>
      <c r="E313" s="5">
        <v>102.5</v>
      </c>
      <c r="F313" s="5">
        <v>203.6</v>
      </c>
      <c r="G313" s="5">
        <v>101.6</v>
      </c>
      <c r="H313" s="5">
        <v>101.5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103.1</v>
      </c>
      <c r="D314" s="5">
        <v>0.1</v>
      </c>
      <c r="E314" s="5">
        <v>103.3</v>
      </c>
      <c r="F314" s="5">
        <v>205.9</v>
      </c>
      <c r="G314" s="5">
        <v>102.7</v>
      </c>
      <c r="H314" s="5">
        <v>102.6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103.1</v>
      </c>
      <c r="D315" s="5">
        <v>0.1</v>
      </c>
      <c r="E315" s="5">
        <v>103.3</v>
      </c>
      <c r="F315" s="5">
        <v>205.9</v>
      </c>
      <c r="G315" s="5">
        <v>102.7</v>
      </c>
      <c r="H315" s="5">
        <v>102.6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103.4</v>
      </c>
      <c r="D316" s="5">
        <v>0.1</v>
      </c>
      <c r="E316" s="5">
        <v>103.6</v>
      </c>
      <c r="F316" s="5">
        <v>206.3</v>
      </c>
      <c r="G316" s="5">
        <v>102.9</v>
      </c>
      <c r="H316" s="5">
        <v>102.9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103.4</v>
      </c>
      <c r="D317" s="5">
        <v>0.1</v>
      </c>
      <c r="E317" s="5">
        <v>103.6</v>
      </c>
      <c r="F317" s="5">
        <v>206.3</v>
      </c>
      <c r="G317" s="5">
        <v>102.9</v>
      </c>
      <c r="H317" s="5">
        <v>102.9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103.4</v>
      </c>
      <c r="D318" s="5">
        <v>0.1</v>
      </c>
      <c r="E318" s="5">
        <v>103.6</v>
      </c>
      <c r="F318" s="5">
        <v>206.3</v>
      </c>
      <c r="G318" s="5">
        <v>102.9</v>
      </c>
      <c r="H318" s="5">
        <v>102.9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103.5</v>
      </c>
      <c r="D319" s="5">
        <v>0.1</v>
      </c>
      <c r="E319" s="5">
        <v>103.6</v>
      </c>
      <c r="F319" s="5">
        <v>206.2</v>
      </c>
      <c r="G319" s="5">
        <v>102.9</v>
      </c>
      <c r="H319" s="5">
        <v>102.7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103.5</v>
      </c>
      <c r="D320" s="5">
        <v>0.1</v>
      </c>
      <c r="E320" s="5">
        <v>103.6</v>
      </c>
      <c r="F320" s="5">
        <v>206.2</v>
      </c>
      <c r="G320" s="5">
        <v>102.9</v>
      </c>
      <c r="H320" s="5">
        <v>102.7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103.4</v>
      </c>
      <c r="D321" s="5">
        <v>0.1</v>
      </c>
      <c r="E321" s="5">
        <v>103.5</v>
      </c>
      <c r="F321" s="5">
        <v>206.4</v>
      </c>
      <c r="G321" s="5">
        <v>103</v>
      </c>
      <c r="H321" s="5">
        <v>102.9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103.4</v>
      </c>
      <c r="D322" s="5">
        <v>0.1</v>
      </c>
      <c r="E322" s="5">
        <v>103.5</v>
      </c>
      <c r="F322" s="5">
        <v>206.4</v>
      </c>
      <c r="G322" s="5">
        <v>103</v>
      </c>
      <c r="H322" s="5">
        <v>102.9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103.2</v>
      </c>
      <c r="D323" s="5">
        <v>0.1</v>
      </c>
      <c r="E323" s="5">
        <v>103.4</v>
      </c>
      <c r="F323" s="5">
        <v>206</v>
      </c>
      <c r="G323" s="5">
        <v>102.8</v>
      </c>
      <c r="H323" s="5">
        <v>102.5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103.2</v>
      </c>
      <c r="D324" s="5">
        <v>0.1</v>
      </c>
      <c r="E324" s="5">
        <v>103.4</v>
      </c>
      <c r="F324" s="5">
        <v>206</v>
      </c>
      <c r="G324" s="5">
        <v>102.8</v>
      </c>
      <c r="H324" s="5">
        <v>102.5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103.2</v>
      </c>
      <c r="D325" s="5">
        <v>0.1</v>
      </c>
      <c r="E325" s="5">
        <v>103</v>
      </c>
      <c r="F325" s="5">
        <v>205.8</v>
      </c>
      <c r="G325" s="5">
        <v>102.7</v>
      </c>
      <c r="H325" s="5">
        <v>102.6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102.8</v>
      </c>
      <c r="D326" s="5">
        <v>0.1</v>
      </c>
      <c r="E326" s="5">
        <v>103</v>
      </c>
      <c r="F326" s="5">
        <v>205.8</v>
      </c>
      <c r="G326" s="5">
        <v>102.7</v>
      </c>
      <c r="H326" s="5">
        <v>102.6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102.8</v>
      </c>
      <c r="D327" s="5">
        <v>0.1</v>
      </c>
      <c r="E327" s="5">
        <v>103</v>
      </c>
      <c r="F327" s="5">
        <v>205.8</v>
      </c>
      <c r="G327" s="5">
        <v>102.7</v>
      </c>
      <c r="H327" s="5">
        <v>102.6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102.8</v>
      </c>
      <c r="D328" s="5">
        <v>0.1</v>
      </c>
      <c r="E328" s="5">
        <v>103</v>
      </c>
      <c r="F328" s="5">
        <v>205.8</v>
      </c>
      <c r="G328" s="5">
        <v>102.7</v>
      </c>
      <c r="H328" s="5">
        <v>102.6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103.1</v>
      </c>
      <c r="D329" s="5">
        <v>0.1</v>
      </c>
      <c r="E329" s="5">
        <v>103.2</v>
      </c>
      <c r="F329" s="5">
        <v>206.4</v>
      </c>
      <c r="G329" s="5">
        <v>103</v>
      </c>
      <c r="H329" s="5">
        <v>102.8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103.1</v>
      </c>
      <c r="D330" s="5">
        <v>0.1</v>
      </c>
      <c r="E330" s="5">
        <v>103.2</v>
      </c>
      <c r="F330" s="5">
        <v>206.4</v>
      </c>
      <c r="G330" s="5">
        <v>103</v>
      </c>
      <c r="H330" s="5">
        <v>102.8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103.4</v>
      </c>
      <c r="D331" s="5">
        <v>0.1</v>
      </c>
      <c r="E331" s="5">
        <v>103.5</v>
      </c>
      <c r="F331" s="5">
        <v>206.9</v>
      </c>
      <c r="G331" s="5">
        <v>103</v>
      </c>
      <c r="H331" s="5">
        <v>102.8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103.4</v>
      </c>
      <c r="D332" s="5">
        <v>0.1</v>
      </c>
      <c r="E332" s="5">
        <v>103.5</v>
      </c>
      <c r="F332" s="5">
        <v>206.9</v>
      </c>
      <c r="G332" s="5">
        <v>103.2</v>
      </c>
      <c r="H332" s="5">
        <v>103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103.7</v>
      </c>
      <c r="D333" s="5">
        <v>0.1</v>
      </c>
      <c r="E333" s="5">
        <v>103.5</v>
      </c>
      <c r="F333" s="5">
        <v>206.9</v>
      </c>
      <c r="G333" s="5">
        <v>103.2</v>
      </c>
      <c r="H333" s="5">
        <v>103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103.7</v>
      </c>
      <c r="D334" s="5">
        <v>0.1</v>
      </c>
      <c r="E334" s="5">
        <v>103.7</v>
      </c>
      <c r="F334" s="5">
        <v>207.1</v>
      </c>
      <c r="G334" s="5">
        <v>103.3</v>
      </c>
      <c r="H334" s="5">
        <v>103.2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103.7</v>
      </c>
      <c r="D335" s="5">
        <v>0.1</v>
      </c>
      <c r="E335" s="5">
        <v>103.7</v>
      </c>
      <c r="F335" s="5">
        <v>207.1</v>
      </c>
      <c r="G335" s="5">
        <v>103.3</v>
      </c>
      <c r="H335" s="5">
        <v>103.2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101.9</v>
      </c>
      <c r="D336" s="5">
        <v>0.1</v>
      </c>
      <c r="E336" s="5">
        <v>102</v>
      </c>
      <c r="F336" s="5">
        <v>208.5</v>
      </c>
      <c r="G336" s="5">
        <v>104</v>
      </c>
      <c r="H336" s="5">
        <v>103.8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101.9</v>
      </c>
      <c r="D337" s="5">
        <v>0.1</v>
      </c>
      <c r="E337" s="5">
        <v>102</v>
      </c>
      <c r="F337" s="5">
        <v>208.5</v>
      </c>
      <c r="G337" s="5">
        <v>104</v>
      </c>
      <c r="H337" s="5">
        <v>103.8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101.9</v>
      </c>
      <c r="D338" s="5">
        <v>0.1</v>
      </c>
      <c r="E338" s="5">
        <v>102</v>
      </c>
      <c r="F338" s="5">
        <v>208.5</v>
      </c>
      <c r="G338" s="5">
        <v>104</v>
      </c>
      <c r="H338" s="5">
        <v>103.8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101.9</v>
      </c>
      <c r="D339" s="5">
        <v>0.1</v>
      </c>
      <c r="E339" s="5">
        <v>102</v>
      </c>
      <c r="F339" s="5">
        <v>208.5</v>
      </c>
      <c r="G339" s="5">
        <v>104</v>
      </c>
      <c r="H339" s="5">
        <v>103.8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102.8</v>
      </c>
      <c r="D340" s="5">
        <v>0.1</v>
      </c>
      <c r="E340" s="5">
        <v>103</v>
      </c>
      <c r="F340" s="5">
        <v>205.7</v>
      </c>
      <c r="G340" s="5">
        <v>102.7</v>
      </c>
      <c r="H340" s="5">
        <v>102.5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102.8</v>
      </c>
      <c r="D341" s="5">
        <v>0.1</v>
      </c>
      <c r="E341" s="5">
        <v>103</v>
      </c>
      <c r="F341" s="5">
        <v>205.7</v>
      </c>
      <c r="G341" s="5">
        <v>102.7</v>
      </c>
      <c r="H341" s="5">
        <v>102.5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101.3</v>
      </c>
      <c r="D342" s="5">
        <v>0.1</v>
      </c>
      <c r="E342" s="5">
        <v>101.5</v>
      </c>
      <c r="F342" s="5">
        <v>203.2</v>
      </c>
      <c r="G342" s="5">
        <v>101.4</v>
      </c>
      <c r="H342" s="5">
        <v>101.3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101.3</v>
      </c>
      <c r="D343" s="5">
        <v>0.1</v>
      </c>
      <c r="E343" s="5">
        <v>101.5</v>
      </c>
      <c r="F343" s="5">
        <v>203.2</v>
      </c>
      <c r="G343" s="5">
        <v>101.4</v>
      </c>
      <c r="H343" s="5">
        <v>101.3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100.7</v>
      </c>
      <c r="D344" s="5">
        <v>0.1</v>
      </c>
      <c r="E344" s="5">
        <v>100.8</v>
      </c>
      <c r="F344" s="5">
        <v>202.3</v>
      </c>
      <c r="G344" s="5">
        <v>100.9</v>
      </c>
      <c r="H344" s="5">
        <v>100.7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100.7</v>
      </c>
      <c r="D345" s="5">
        <v>0.1</v>
      </c>
      <c r="E345" s="5">
        <v>100.8</v>
      </c>
      <c r="F345" s="5">
        <v>202.3</v>
      </c>
      <c r="G345" s="5">
        <v>100.9</v>
      </c>
      <c r="H345" s="5">
        <v>100.7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102.1</v>
      </c>
      <c r="D346" s="5">
        <v>0.1</v>
      </c>
      <c r="E346" s="5">
        <v>102.2</v>
      </c>
      <c r="F346" s="5">
        <v>204.3</v>
      </c>
      <c r="G346" s="5">
        <v>101.9</v>
      </c>
      <c r="H346" s="5">
        <v>101.8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102.1</v>
      </c>
      <c r="D347" s="5">
        <v>0.1</v>
      </c>
      <c r="E347" s="5">
        <v>102.2</v>
      </c>
      <c r="F347" s="5">
        <v>204.3</v>
      </c>
      <c r="G347" s="5">
        <v>101.9</v>
      </c>
      <c r="H347" s="5">
        <v>101.8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102.1</v>
      </c>
      <c r="D348" s="5">
        <v>0.1</v>
      </c>
      <c r="E348" s="5">
        <v>102.2</v>
      </c>
      <c r="F348" s="5">
        <v>204.3</v>
      </c>
      <c r="G348" s="5">
        <v>101.9</v>
      </c>
      <c r="H348" s="5">
        <v>101.8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102.1</v>
      </c>
      <c r="D349" s="5">
        <v>0.1</v>
      </c>
      <c r="E349" s="5">
        <v>102.7</v>
      </c>
      <c r="F349" s="5">
        <v>205</v>
      </c>
      <c r="G349" s="5">
        <v>102.2</v>
      </c>
      <c r="H349" s="5">
        <v>102.1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102.7</v>
      </c>
      <c r="D350" s="5">
        <v>0.1</v>
      </c>
      <c r="E350" s="5">
        <v>102.7</v>
      </c>
      <c r="F350" s="5">
        <v>205</v>
      </c>
      <c r="G350" s="5">
        <v>102.2</v>
      </c>
      <c r="H350" s="5">
        <v>102.1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102.7</v>
      </c>
      <c r="D351" s="5">
        <v>0.1</v>
      </c>
      <c r="E351" s="5">
        <v>102.9</v>
      </c>
      <c r="F351" s="5">
        <v>205.1</v>
      </c>
      <c r="G351" s="5">
        <v>102.3</v>
      </c>
      <c r="H351" s="5">
        <v>102.1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102.7</v>
      </c>
      <c r="D352" s="5">
        <v>0.1</v>
      </c>
      <c r="E352" s="5">
        <v>102.9</v>
      </c>
      <c r="F352" s="5">
        <v>205.1</v>
      </c>
      <c r="G352" s="5">
        <v>102.3</v>
      </c>
      <c r="H352" s="5">
        <v>102.1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102.7</v>
      </c>
      <c r="D353" s="5">
        <v>0.1</v>
      </c>
      <c r="E353" s="5">
        <v>102.9</v>
      </c>
      <c r="F353" s="5">
        <v>204.1</v>
      </c>
      <c r="G353" s="5">
        <v>101.9</v>
      </c>
      <c r="H353" s="5">
        <v>101.8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102.7</v>
      </c>
      <c r="D354" s="5">
        <v>0.1</v>
      </c>
      <c r="E354" s="5">
        <v>102.9</v>
      </c>
      <c r="F354" s="5">
        <v>204.1</v>
      </c>
      <c r="G354" s="5">
        <v>101.9</v>
      </c>
      <c r="H354" s="5">
        <v>101.8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102.7</v>
      </c>
      <c r="D355" s="5">
        <v>0.1</v>
      </c>
      <c r="E355" s="5">
        <v>102.9</v>
      </c>
      <c r="F355" s="5">
        <v>204.1</v>
      </c>
      <c r="G355" s="5">
        <v>101.3</v>
      </c>
      <c r="H355" s="5">
        <v>101.1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102.2</v>
      </c>
      <c r="D356" s="5">
        <v>0.1</v>
      </c>
      <c r="E356" s="5">
        <v>102.4</v>
      </c>
      <c r="F356" s="5">
        <v>202.9</v>
      </c>
      <c r="G356" s="5">
        <v>101.3</v>
      </c>
      <c r="H356" s="5">
        <v>101.1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102.2</v>
      </c>
      <c r="D357" s="5">
        <v>0.1</v>
      </c>
      <c r="E357" s="5">
        <v>102.4</v>
      </c>
      <c r="F357" s="5">
        <v>202.9</v>
      </c>
      <c r="G357" s="5">
        <v>101.3</v>
      </c>
      <c r="H357" s="5">
        <v>101.1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102.2</v>
      </c>
      <c r="D358" s="5">
        <v>0.1</v>
      </c>
      <c r="E358" s="5">
        <v>102.4</v>
      </c>
      <c r="F358" s="5">
        <v>202.9</v>
      </c>
      <c r="G358" s="5">
        <v>101.3</v>
      </c>
      <c r="H358" s="5">
        <v>101.1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103.2</v>
      </c>
      <c r="D359" s="5">
        <v>0.1</v>
      </c>
      <c r="E359" s="5">
        <v>103.4</v>
      </c>
      <c r="F359" s="5">
        <v>205.5</v>
      </c>
      <c r="G359" s="5">
        <v>102.6</v>
      </c>
      <c r="H359" s="5">
        <v>102.5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103.2</v>
      </c>
      <c r="D360" s="5">
        <v>0.1</v>
      </c>
      <c r="E360" s="5">
        <v>103.4</v>
      </c>
      <c r="F360" s="5">
        <v>205.5</v>
      </c>
      <c r="G360" s="5">
        <v>102.6</v>
      </c>
      <c r="H360" s="5">
        <v>102.5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103.1</v>
      </c>
      <c r="D361" s="5">
        <v>0.1</v>
      </c>
      <c r="E361" s="5">
        <v>103.3</v>
      </c>
      <c r="F361" s="5">
        <v>205.8</v>
      </c>
      <c r="G361" s="5">
        <v>102.7</v>
      </c>
      <c r="H361" s="5">
        <v>102.6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103.1</v>
      </c>
      <c r="D362" s="5">
        <v>0.1</v>
      </c>
      <c r="E362" s="5">
        <v>103.3</v>
      </c>
      <c r="F362" s="5">
        <v>205.8</v>
      </c>
      <c r="G362" s="5">
        <v>102.7</v>
      </c>
      <c r="H362" s="5">
        <v>102.6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103</v>
      </c>
      <c r="D363" s="5">
        <v>0.1</v>
      </c>
      <c r="E363" s="5">
        <v>103.1</v>
      </c>
      <c r="F363" s="5">
        <v>206.1</v>
      </c>
      <c r="G363" s="5">
        <v>102.8</v>
      </c>
      <c r="H363" s="5">
        <v>102.6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103</v>
      </c>
      <c r="D364" s="5">
        <v>0.1</v>
      </c>
      <c r="E364" s="5">
        <v>103.1</v>
      </c>
      <c r="F364" s="5">
        <v>206.1</v>
      </c>
      <c r="G364" s="5">
        <v>102.8</v>
      </c>
      <c r="H364" s="5">
        <v>102.6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101.8</v>
      </c>
      <c r="D365" s="5">
        <v>0.1</v>
      </c>
      <c r="E365" s="5">
        <v>101.9</v>
      </c>
      <c r="F365" s="5">
        <v>202.8</v>
      </c>
      <c r="G365" s="5">
        <v>101.2</v>
      </c>
      <c r="H365" s="5">
        <v>101.1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101.8</v>
      </c>
      <c r="D366" s="5">
        <v>0.1</v>
      </c>
      <c r="E366" s="5">
        <v>101.9</v>
      </c>
      <c r="F366" s="5">
        <v>202.8</v>
      </c>
      <c r="G366" s="5">
        <v>101.2</v>
      </c>
      <c r="H366" s="5">
        <v>101.1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101.8</v>
      </c>
      <c r="D367" s="5">
        <v>0.1</v>
      </c>
      <c r="E367" s="5">
        <v>101.9</v>
      </c>
      <c r="F367" s="5">
        <v>202.8</v>
      </c>
      <c r="G367" s="5">
        <v>101.2</v>
      </c>
      <c r="H367" s="5">
        <v>101.1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101.8</v>
      </c>
      <c r="D368" s="5">
        <v>0.1</v>
      </c>
      <c r="E368" s="5">
        <v>101.9</v>
      </c>
      <c r="F368" s="5">
        <v>202.8</v>
      </c>
      <c r="G368" s="5">
        <v>101.2</v>
      </c>
      <c r="H368" s="5">
        <v>101.1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101.2</v>
      </c>
      <c r="D369" s="5">
        <v>0.1</v>
      </c>
      <c r="E369" s="5">
        <v>101.4</v>
      </c>
      <c r="F369" s="5">
        <v>202.8</v>
      </c>
      <c r="G369" s="5">
        <v>101.1</v>
      </c>
      <c r="H369" s="5">
        <v>101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101.2</v>
      </c>
      <c r="D370" s="5">
        <v>0.1</v>
      </c>
      <c r="E370" s="5">
        <v>101.4</v>
      </c>
      <c r="F370" s="5">
        <v>202.8</v>
      </c>
      <c r="G370" s="5">
        <v>101.1</v>
      </c>
      <c r="H370" s="5">
        <v>101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101.1</v>
      </c>
      <c r="D371" s="5">
        <v>0.1</v>
      </c>
      <c r="E371" s="5">
        <v>101.2</v>
      </c>
      <c r="F371" s="5">
        <v>201.7</v>
      </c>
      <c r="G371" s="5">
        <v>100.6</v>
      </c>
      <c r="H371" s="5">
        <v>100.5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101.1</v>
      </c>
      <c r="D372" s="5">
        <v>0.1</v>
      </c>
      <c r="E372" s="5">
        <v>101.2</v>
      </c>
      <c r="F372" s="5">
        <v>201.7</v>
      </c>
      <c r="G372" s="5">
        <v>100.6</v>
      </c>
      <c r="H372" s="5">
        <v>100.5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103.7</v>
      </c>
      <c r="D373" s="5">
        <v>0.1</v>
      </c>
      <c r="E373" s="5">
        <v>103.9</v>
      </c>
      <c r="F373" s="5">
        <v>203.7</v>
      </c>
      <c r="G373" s="5">
        <v>101.6</v>
      </c>
      <c r="H373" s="5">
        <v>101.6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103.7</v>
      </c>
      <c r="D374" s="5">
        <v>0.1</v>
      </c>
      <c r="E374" s="5">
        <v>103.9</v>
      </c>
      <c r="F374" s="5">
        <v>203.7</v>
      </c>
      <c r="G374" s="5">
        <v>101.6</v>
      </c>
      <c r="H374" s="5">
        <v>101.6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102.7</v>
      </c>
      <c r="D375" s="5">
        <v>0.1</v>
      </c>
      <c r="E375" s="5">
        <v>102.9</v>
      </c>
      <c r="F375" s="5">
        <v>204.5</v>
      </c>
      <c r="G375" s="5">
        <v>102.1</v>
      </c>
      <c r="H375" s="5">
        <v>102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102.7</v>
      </c>
      <c r="D376" s="5">
        <v>0.1</v>
      </c>
      <c r="E376" s="5">
        <v>102.9</v>
      </c>
      <c r="F376" s="5">
        <v>204.5</v>
      </c>
      <c r="G376" s="5">
        <v>102.1</v>
      </c>
      <c r="H376" s="5">
        <v>102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102.7</v>
      </c>
      <c r="D377" s="5">
        <v>0.1</v>
      </c>
      <c r="E377" s="5">
        <v>102.9</v>
      </c>
      <c r="F377" s="5">
        <v>204.5</v>
      </c>
      <c r="G377" s="5">
        <v>102.1</v>
      </c>
      <c r="H377" s="5">
        <v>102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102.7</v>
      </c>
      <c r="D378" s="5">
        <v>0.1</v>
      </c>
      <c r="E378" s="5">
        <v>102.9</v>
      </c>
      <c r="F378" s="5">
        <v>204.5</v>
      </c>
      <c r="G378" s="5">
        <v>102.1</v>
      </c>
      <c r="H378" s="5">
        <v>102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101</v>
      </c>
      <c r="D379" s="5">
        <v>0.1</v>
      </c>
      <c r="E379" s="5">
        <v>101.1</v>
      </c>
      <c r="F379" s="5">
        <v>202.4</v>
      </c>
      <c r="G379" s="5">
        <v>101</v>
      </c>
      <c r="H379" s="5">
        <v>100.8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101</v>
      </c>
      <c r="D380" s="5">
        <v>0.1</v>
      </c>
      <c r="E380" s="5">
        <v>101.1</v>
      </c>
      <c r="F380" s="5">
        <v>202.4</v>
      </c>
      <c r="G380" s="5">
        <v>101</v>
      </c>
      <c r="H380" s="5">
        <v>100.8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103.7</v>
      </c>
      <c r="D381" s="5">
        <v>0.1</v>
      </c>
      <c r="E381" s="5">
        <v>103.9</v>
      </c>
      <c r="F381" s="5">
        <v>206.2</v>
      </c>
      <c r="G381" s="5">
        <v>103</v>
      </c>
      <c r="H381" s="5">
        <v>102.9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103.7</v>
      </c>
      <c r="D382" s="5">
        <v>0.1</v>
      </c>
      <c r="E382" s="5">
        <v>103.9</v>
      </c>
      <c r="F382" s="5">
        <v>206.2</v>
      </c>
      <c r="G382" s="5">
        <v>103</v>
      </c>
      <c r="H382" s="5">
        <v>102.9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104</v>
      </c>
      <c r="D383" s="5">
        <v>0.1</v>
      </c>
      <c r="E383" s="5">
        <v>104.1</v>
      </c>
      <c r="F383" s="5">
        <v>208.6</v>
      </c>
      <c r="G383" s="5">
        <v>104</v>
      </c>
      <c r="H383" s="5">
        <v>103.8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104</v>
      </c>
      <c r="D384" s="5">
        <v>0.1</v>
      </c>
      <c r="E384" s="5">
        <v>104.1</v>
      </c>
      <c r="F384" s="5">
        <v>208.6</v>
      </c>
      <c r="G384" s="5">
        <v>104</v>
      </c>
      <c r="H384" s="5">
        <v>103.8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103.3</v>
      </c>
      <c r="D385" s="5">
        <v>0.1</v>
      </c>
      <c r="E385" s="5">
        <v>103.4</v>
      </c>
      <c r="F385" s="5">
        <v>206.6</v>
      </c>
      <c r="G385" s="5">
        <v>103.1</v>
      </c>
      <c r="H385" s="5">
        <v>103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103.3</v>
      </c>
      <c r="D386" s="5">
        <v>0.1</v>
      </c>
      <c r="E386" s="5">
        <v>103.4</v>
      </c>
      <c r="F386" s="5">
        <v>206.6</v>
      </c>
      <c r="G386" s="5">
        <v>103.1</v>
      </c>
      <c r="H386" s="5">
        <v>103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103.3</v>
      </c>
      <c r="D387" s="5">
        <v>0.1</v>
      </c>
      <c r="E387" s="5">
        <v>103.4</v>
      </c>
      <c r="F387" s="5">
        <v>206.6</v>
      </c>
      <c r="G387" s="5">
        <v>103.1</v>
      </c>
      <c r="H387" s="5">
        <v>103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103.3</v>
      </c>
      <c r="D388" s="5">
        <v>0.1</v>
      </c>
      <c r="E388" s="5">
        <v>103.4</v>
      </c>
      <c r="F388" s="5">
        <v>206.6</v>
      </c>
      <c r="G388" s="5">
        <v>103.1</v>
      </c>
      <c r="H388" s="5">
        <v>103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102.5</v>
      </c>
      <c r="D389" s="5">
        <v>0.1</v>
      </c>
      <c r="E389" s="5">
        <v>102.6</v>
      </c>
      <c r="F389" s="5">
        <v>204.6</v>
      </c>
      <c r="G389" s="5">
        <v>102</v>
      </c>
      <c r="H389" s="5">
        <v>101.9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102.5</v>
      </c>
      <c r="D390" s="5">
        <v>0.1</v>
      </c>
      <c r="E390" s="5">
        <v>102.6</v>
      </c>
      <c r="F390" s="5">
        <v>204.6</v>
      </c>
      <c r="G390" s="5">
        <v>102</v>
      </c>
      <c r="H390" s="5">
        <v>101.9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100.3</v>
      </c>
      <c r="D391" s="5">
        <v>0.1</v>
      </c>
      <c r="E391" s="5">
        <v>100.5</v>
      </c>
      <c r="F391" s="5">
        <v>199.5</v>
      </c>
      <c r="G391" s="5">
        <v>99.5</v>
      </c>
      <c r="H391" s="5">
        <v>99.4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100.3</v>
      </c>
      <c r="D392" s="5">
        <v>0.1</v>
      </c>
      <c r="E392" s="5">
        <v>100.5</v>
      </c>
      <c r="F392" s="5">
        <v>199.5</v>
      </c>
      <c r="G392" s="5">
        <v>99.5</v>
      </c>
      <c r="H392" s="5">
        <v>99.4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99.5</v>
      </c>
      <c r="D393" s="5">
        <v>0.1</v>
      </c>
      <c r="E393" s="5">
        <v>99.5</v>
      </c>
      <c r="F393" s="5">
        <v>199.8</v>
      </c>
      <c r="G393" s="5">
        <v>99.6</v>
      </c>
      <c r="H393" s="5">
        <v>99.4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99.5</v>
      </c>
      <c r="D394" s="5">
        <v>0.1</v>
      </c>
      <c r="E394" s="5">
        <v>99.5</v>
      </c>
      <c r="F394" s="5">
        <v>199.8</v>
      </c>
      <c r="G394" s="5">
        <v>99.6</v>
      </c>
      <c r="H394" s="5">
        <v>99.4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100.1</v>
      </c>
      <c r="D395" s="5">
        <v>0.1</v>
      </c>
      <c r="E395" s="5">
        <v>100.2</v>
      </c>
      <c r="F395" s="5">
        <v>200.5</v>
      </c>
      <c r="G395" s="5">
        <v>100</v>
      </c>
      <c r="H395" s="5">
        <v>99.8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100.1</v>
      </c>
      <c r="D396" s="5">
        <v>0.1</v>
      </c>
      <c r="E396" s="5">
        <v>100.2</v>
      </c>
      <c r="F396" s="5">
        <v>200.5</v>
      </c>
      <c r="G396" s="5">
        <v>100</v>
      </c>
      <c r="H396" s="5">
        <v>99.8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100.1</v>
      </c>
      <c r="D397" s="5">
        <v>0.1</v>
      </c>
      <c r="E397" s="5">
        <v>100.2</v>
      </c>
      <c r="F397" s="5">
        <v>200.5</v>
      </c>
      <c r="G397" s="5">
        <v>100</v>
      </c>
      <c r="H397" s="5">
        <v>99.8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100.1</v>
      </c>
      <c r="D398" s="5">
        <v>0.1</v>
      </c>
      <c r="E398" s="5">
        <v>100.2</v>
      </c>
      <c r="F398" s="5">
        <v>200.5</v>
      </c>
      <c r="G398" s="5">
        <v>100</v>
      </c>
      <c r="H398" s="5">
        <v>99.8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100.7</v>
      </c>
      <c r="D399" s="5">
        <v>0.1</v>
      </c>
      <c r="E399" s="5">
        <v>100.8</v>
      </c>
      <c r="F399" s="5">
        <v>201.3</v>
      </c>
      <c r="G399" s="5">
        <v>100.5</v>
      </c>
      <c r="H399" s="5">
        <v>100.3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100.7</v>
      </c>
      <c r="D400" s="5">
        <v>0.1</v>
      </c>
      <c r="E400" s="5">
        <v>100.8</v>
      </c>
      <c r="F400" s="5">
        <v>201.3</v>
      </c>
      <c r="G400" s="5">
        <v>100.5</v>
      </c>
      <c r="H400" s="5">
        <v>100.3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99.9</v>
      </c>
      <c r="D401" s="5">
        <v>0.1</v>
      </c>
      <c r="E401" s="5">
        <v>100</v>
      </c>
      <c r="F401" s="5">
        <v>199.8</v>
      </c>
      <c r="G401" s="5">
        <v>99.7</v>
      </c>
      <c r="H401" s="5">
        <v>99.5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99.9</v>
      </c>
      <c r="D402" s="5">
        <v>0.1</v>
      </c>
      <c r="E402" s="5">
        <v>100</v>
      </c>
      <c r="F402" s="5">
        <v>199.8</v>
      </c>
      <c r="G402" s="5">
        <v>99.7</v>
      </c>
      <c r="H402" s="5">
        <v>99.5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99.9</v>
      </c>
      <c r="D403" s="5">
        <v>0.1</v>
      </c>
      <c r="E403" s="5">
        <v>99.9</v>
      </c>
      <c r="F403" s="5">
        <v>199.1</v>
      </c>
      <c r="G403" s="5">
        <v>99.4</v>
      </c>
      <c r="H403" s="5">
        <v>99.2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99.9</v>
      </c>
      <c r="D404" s="5">
        <v>0.1</v>
      </c>
      <c r="E404" s="5">
        <v>99.9</v>
      </c>
      <c r="F404" s="5">
        <v>199.1</v>
      </c>
      <c r="G404" s="5">
        <v>99.4</v>
      </c>
      <c r="H404" s="5">
        <v>99.2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101.6</v>
      </c>
      <c r="D405" s="5">
        <v>0.1</v>
      </c>
      <c r="E405" s="5">
        <v>101.8</v>
      </c>
      <c r="F405" s="5">
        <v>202.1</v>
      </c>
      <c r="G405" s="5">
        <v>100.9</v>
      </c>
      <c r="H405" s="5">
        <v>100.7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101.6</v>
      </c>
      <c r="D406" s="5">
        <v>0.1</v>
      </c>
      <c r="E406" s="5">
        <v>101.8</v>
      </c>
      <c r="F406" s="5">
        <v>202.1</v>
      </c>
      <c r="G406" s="5">
        <v>100.9</v>
      </c>
      <c r="H406" s="5">
        <v>100.7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101.6</v>
      </c>
      <c r="D407" s="5">
        <v>0.1</v>
      </c>
      <c r="E407" s="5">
        <v>101.8</v>
      </c>
      <c r="F407" s="5">
        <v>202.1</v>
      </c>
      <c r="G407" s="5">
        <v>100.9</v>
      </c>
      <c r="H407" s="5">
        <v>100.7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101.6</v>
      </c>
      <c r="D408" s="5">
        <v>0.1</v>
      </c>
      <c r="E408" s="5">
        <v>101.8</v>
      </c>
      <c r="F408" s="5">
        <v>202.1</v>
      </c>
      <c r="G408" s="5">
        <v>100.9</v>
      </c>
      <c r="H408" s="5">
        <v>100.7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101.1</v>
      </c>
      <c r="D409" s="5">
        <v>0.1</v>
      </c>
      <c r="E409" s="5">
        <v>101.2</v>
      </c>
      <c r="F409" s="5">
        <v>201.7</v>
      </c>
      <c r="G409" s="5">
        <v>100.6</v>
      </c>
      <c r="H409" s="5">
        <v>100.5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101.1</v>
      </c>
      <c r="D410" s="5">
        <v>0.1</v>
      </c>
      <c r="E410" s="5">
        <v>101.2</v>
      </c>
      <c r="F410" s="5">
        <v>201.7</v>
      </c>
      <c r="G410" s="5">
        <v>100.6</v>
      </c>
      <c r="H410" s="5">
        <v>100.5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100.9</v>
      </c>
      <c r="D411" s="5">
        <v>0.1</v>
      </c>
      <c r="E411" s="5">
        <v>101.1</v>
      </c>
      <c r="F411" s="5">
        <v>201.8</v>
      </c>
      <c r="G411" s="5">
        <v>100.7</v>
      </c>
      <c r="H411" s="5">
        <v>100.5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100.9</v>
      </c>
      <c r="D412" s="5">
        <v>0.1</v>
      </c>
      <c r="E412" s="5">
        <v>101.1</v>
      </c>
      <c r="F412" s="5">
        <v>201.8</v>
      </c>
      <c r="G412" s="5">
        <v>100.7</v>
      </c>
      <c r="H412" s="5">
        <v>100.5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100.5</v>
      </c>
      <c r="D413" s="5">
        <v>0.1</v>
      </c>
      <c r="E413" s="5">
        <v>100.5</v>
      </c>
      <c r="F413" s="5">
        <v>200.9</v>
      </c>
      <c r="G413" s="5">
        <v>100.2</v>
      </c>
      <c r="H413" s="5">
        <v>100.1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100.5</v>
      </c>
      <c r="D414" s="5">
        <v>0.1</v>
      </c>
      <c r="E414" s="5">
        <v>100.5</v>
      </c>
      <c r="F414" s="5">
        <v>200.9</v>
      </c>
      <c r="G414" s="5">
        <v>100.2</v>
      </c>
      <c r="H414" s="5">
        <v>100.1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101.2</v>
      </c>
      <c r="D415" s="5">
        <v>0.1</v>
      </c>
      <c r="E415" s="5">
        <v>101.4</v>
      </c>
      <c r="F415" s="5">
        <v>202.1</v>
      </c>
      <c r="G415" s="5">
        <v>100.9</v>
      </c>
      <c r="H415" s="5">
        <v>100.8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101.2</v>
      </c>
      <c r="D416" s="5">
        <v>0.1</v>
      </c>
      <c r="E416" s="5">
        <v>101.4</v>
      </c>
      <c r="F416" s="5">
        <v>202.1</v>
      </c>
      <c r="G416" s="5">
        <v>100.9</v>
      </c>
      <c r="H416" s="5">
        <v>100.8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101.2</v>
      </c>
      <c r="D417" s="5">
        <v>0.1</v>
      </c>
      <c r="E417" s="5">
        <v>101.4</v>
      </c>
      <c r="F417" s="5">
        <v>202.1</v>
      </c>
      <c r="G417" s="5">
        <v>100.9</v>
      </c>
      <c r="H417" s="5">
        <v>100.8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101.2</v>
      </c>
      <c r="D418" s="5">
        <v>0.1</v>
      </c>
      <c r="E418" s="5">
        <v>101.4</v>
      </c>
      <c r="F418" s="5">
        <v>202.1</v>
      </c>
      <c r="G418" s="5">
        <v>100.9</v>
      </c>
      <c r="H418" s="5">
        <v>100.8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100.2</v>
      </c>
      <c r="D419" s="5">
        <v>0.1</v>
      </c>
      <c r="E419" s="5">
        <v>100.3</v>
      </c>
      <c r="F419" s="5">
        <v>199.5</v>
      </c>
      <c r="G419" s="5">
        <v>99.5</v>
      </c>
      <c r="H419" s="5">
        <v>99.3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100.2</v>
      </c>
      <c r="D420" s="5">
        <v>0.1</v>
      </c>
      <c r="E420" s="5">
        <v>100.3</v>
      </c>
      <c r="F420" s="5">
        <v>199.5</v>
      </c>
      <c r="G420" s="5">
        <v>99.5</v>
      </c>
      <c r="H420" s="5">
        <v>99.3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100.4</v>
      </c>
      <c r="D421" s="5">
        <v>0.1</v>
      </c>
      <c r="E421" s="5">
        <v>100.5</v>
      </c>
      <c r="F421" s="5">
        <v>200.9</v>
      </c>
      <c r="G421" s="5">
        <v>100.1</v>
      </c>
      <c r="H421" s="5">
        <v>99.8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100.4</v>
      </c>
      <c r="D422" s="5">
        <v>0.1</v>
      </c>
      <c r="E422" s="5">
        <v>100.5</v>
      </c>
      <c r="F422" s="5">
        <v>200.9</v>
      </c>
      <c r="G422" s="5">
        <v>100.1</v>
      </c>
      <c r="H422" s="5">
        <v>99.8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96.5</v>
      </c>
      <c r="D423" s="5">
        <v>0.1</v>
      </c>
      <c r="E423" s="5">
        <v>96.7</v>
      </c>
      <c r="F423" s="5">
        <v>194.3</v>
      </c>
      <c r="G423" s="5">
        <v>96.7</v>
      </c>
      <c r="H423" s="5">
        <v>96.3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96.5</v>
      </c>
      <c r="D424" s="5">
        <v>0.1</v>
      </c>
      <c r="E424" s="5">
        <v>96.7</v>
      </c>
      <c r="F424" s="5">
        <v>194.3</v>
      </c>
      <c r="G424" s="5">
        <v>96.7</v>
      </c>
      <c r="H424" s="5">
        <v>96.3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99.5</v>
      </c>
      <c r="D425" s="5">
        <v>0.1</v>
      </c>
      <c r="E425" s="5">
        <v>99.7</v>
      </c>
      <c r="F425" s="5">
        <v>197.1</v>
      </c>
      <c r="G425" s="5">
        <v>98.5</v>
      </c>
      <c r="H425" s="5">
        <v>98.4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99.5</v>
      </c>
      <c r="D426" s="5">
        <v>0.1</v>
      </c>
      <c r="E426" s="5">
        <v>99.7</v>
      </c>
      <c r="F426" s="5">
        <v>197.1</v>
      </c>
      <c r="G426" s="5">
        <v>98.5</v>
      </c>
      <c r="H426" s="5">
        <v>98.4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99.5</v>
      </c>
      <c r="D427" s="5">
        <v>0.1</v>
      </c>
      <c r="E427" s="5">
        <v>99.7</v>
      </c>
      <c r="F427" s="5">
        <v>197.1</v>
      </c>
      <c r="G427" s="5">
        <v>98.5</v>
      </c>
      <c r="H427" s="5">
        <v>98.4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99.5</v>
      </c>
      <c r="D428" s="5">
        <v>0.1</v>
      </c>
      <c r="E428" s="5">
        <v>99.7</v>
      </c>
      <c r="F428" s="5">
        <v>197.1</v>
      </c>
      <c r="G428" s="5">
        <v>98.5</v>
      </c>
      <c r="H428" s="5">
        <v>98.4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96.2</v>
      </c>
      <c r="D429" s="5">
        <v>0.1</v>
      </c>
      <c r="E429" s="5">
        <v>96.3</v>
      </c>
      <c r="F429" s="5">
        <v>194.9</v>
      </c>
      <c r="G429" s="5">
        <v>96.6</v>
      </c>
      <c r="H429" s="5">
        <v>96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96.2</v>
      </c>
      <c r="D430" s="5">
        <v>0.1</v>
      </c>
      <c r="E430" s="5">
        <v>96.3</v>
      </c>
      <c r="F430" s="5">
        <v>194.9</v>
      </c>
      <c r="G430" s="5">
        <v>96.6</v>
      </c>
      <c r="H430" s="5">
        <v>96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98.6</v>
      </c>
      <c r="D431" s="5">
        <v>0.1</v>
      </c>
      <c r="E431" s="5">
        <v>98.7</v>
      </c>
      <c r="F431" s="5">
        <v>196.1</v>
      </c>
      <c r="G431" s="5">
        <v>97.8</v>
      </c>
      <c r="H431" s="5">
        <v>97.7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98.6</v>
      </c>
      <c r="D432" s="5">
        <v>0.1</v>
      </c>
      <c r="E432" s="5">
        <v>98.7</v>
      </c>
      <c r="F432" s="5">
        <v>196.1</v>
      </c>
      <c r="G432" s="5">
        <v>97.8</v>
      </c>
      <c r="H432" s="5">
        <v>97.7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98.3</v>
      </c>
      <c r="D433" s="5">
        <v>0.1</v>
      </c>
      <c r="E433" s="5">
        <v>98.4</v>
      </c>
      <c r="F433" s="5">
        <v>198.6</v>
      </c>
      <c r="G433" s="5">
        <v>97.9</v>
      </c>
      <c r="H433" s="5">
        <v>97.5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98.3</v>
      </c>
      <c r="D434" s="5">
        <v>0.1</v>
      </c>
      <c r="E434" s="5">
        <v>98.4</v>
      </c>
      <c r="F434" s="5">
        <v>198.6</v>
      </c>
      <c r="G434" s="5">
        <v>97.9</v>
      </c>
      <c r="H434" s="5">
        <v>97.5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99.5</v>
      </c>
      <c r="D435" s="5">
        <v>0.1</v>
      </c>
      <c r="E435" s="5">
        <v>99.7</v>
      </c>
      <c r="F435" s="5">
        <v>199.2</v>
      </c>
      <c r="G435" s="5">
        <v>99.5</v>
      </c>
      <c r="H435" s="5">
        <v>99.3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99.5</v>
      </c>
      <c r="D436" s="5">
        <v>0.1</v>
      </c>
      <c r="E436" s="5">
        <v>99.7</v>
      </c>
      <c r="F436" s="5">
        <v>199.2</v>
      </c>
      <c r="G436" s="5">
        <v>99.5</v>
      </c>
      <c r="H436" s="5">
        <v>99.3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99.5</v>
      </c>
      <c r="D437" s="5">
        <v>0.1</v>
      </c>
      <c r="E437" s="5">
        <v>99.7</v>
      </c>
      <c r="F437" s="5">
        <v>199.2</v>
      </c>
      <c r="G437" s="5">
        <v>99.5</v>
      </c>
      <c r="H437" s="5">
        <v>99.3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99.5</v>
      </c>
      <c r="D438" s="5">
        <v>0.1</v>
      </c>
      <c r="E438" s="5">
        <v>99.7</v>
      </c>
      <c r="F438" s="5">
        <v>199.2</v>
      </c>
      <c r="G438" s="5">
        <v>99.5</v>
      </c>
      <c r="H438" s="5">
        <v>99.3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100.3</v>
      </c>
      <c r="D439" s="5">
        <v>0.1</v>
      </c>
      <c r="E439" s="5">
        <v>100.5</v>
      </c>
      <c r="F439" s="5">
        <v>199.2</v>
      </c>
      <c r="G439" s="5">
        <v>99.4</v>
      </c>
      <c r="H439" s="5">
        <v>99.3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100.3</v>
      </c>
      <c r="D440" s="5">
        <v>0.1</v>
      </c>
      <c r="E440" s="5">
        <v>100.5</v>
      </c>
      <c r="F440" s="5">
        <v>199.2</v>
      </c>
      <c r="G440" s="5">
        <v>99.4</v>
      </c>
      <c r="H440" s="5">
        <v>99.3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99.9</v>
      </c>
      <c r="D441" s="5">
        <v>0.1</v>
      </c>
      <c r="E441" s="5">
        <v>100.1</v>
      </c>
      <c r="F441" s="5">
        <v>198.1</v>
      </c>
      <c r="G441" s="5">
        <v>98.9</v>
      </c>
      <c r="H441" s="5">
        <v>98.8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99.9</v>
      </c>
      <c r="D442" s="5">
        <v>0.1</v>
      </c>
      <c r="E442" s="5">
        <v>100.1</v>
      </c>
      <c r="F442" s="5">
        <v>198.1</v>
      </c>
      <c r="G442" s="5">
        <v>98.9</v>
      </c>
      <c r="H442" s="5">
        <v>98.8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99.9</v>
      </c>
      <c r="D443" s="5">
        <v>0.1</v>
      </c>
      <c r="E443" s="5">
        <v>100.1</v>
      </c>
      <c r="F443" s="5">
        <v>198.1</v>
      </c>
      <c r="G443" s="5">
        <v>98.9</v>
      </c>
      <c r="H443" s="5">
        <v>98.8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99.9</v>
      </c>
      <c r="D444" s="5">
        <v>0.1</v>
      </c>
      <c r="E444" s="5">
        <v>100.1</v>
      </c>
      <c r="F444" s="5">
        <v>198.1</v>
      </c>
      <c r="G444" s="5">
        <v>98.9</v>
      </c>
      <c r="H444" s="5">
        <v>98.8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100.4</v>
      </c>
      <c r="D445" s="5">
        <v>0.1</v>
      </c>
      <c r="E445" s="5">
        <v>100.5</v>
      </c>
      <c r="F445" s="5">
        <v>200.5</v>
      </c>
      <c r="G445" s="5">
        <v>100</v>
      </c>
      <c r="H445" s="5">
        <v>99.8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100.4</v>
      </c>
      <c r="D446" s="5">
        <v>0.1</v>
      </c>
      <c r="E446" s="5">
        <v>100.5</v>
      </c>
      <c r="F446" s="5">
        <v>200.5</v>
      </c>
      <c r="G446" s="5">
        <v>100</v>
      </c>
      <c r="H446" s="5">
        <v>99.8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100.4</v>
      </c>
      <c r="D447" s="5">
        <v>0.1</v>
      </c>
      <c r="E447" s="5">
        <v>100.5</v>
      </c>
      <c r="F447" s="5">
        <v>200.5</v>
      </c>
      <c r="G447" s="5">
        <v>100</v>
      </c>
      <c r="H447" s="5">
        <v>99.8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99.7</v>
      </c>
      <c r="D448" s="5">
        <v>0.1</v>
      </c>
      <c r="E448" s="5">
        <v>99.9</v>
      </c>
      <c r="F448" s="5">
        <v>199.6</v>
      </c>
      <c r="G448" s="5">
        <v>99.6</v>
      </c>
      <c r="H448" s="5">
        <v>99.4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99.7</v>
      </c>
      <c r="D449" s="5">
        <v>0.1</v>
      </c>
      <c r="E449" s="5">
        <v>99.9</v>
      </c>
      <c r="F449" s="5">
        <v>199.6</v>
      </c>
      <c r="G449" s="5">
        <v>99.6</v>
      </c>
      <c r="H449" s="5">
        <v>99.4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100.2</v>
      </c>
      <c r="D450" s="5">
        <v>0.1</v>
      </c>
      <c r="E450" s="5">
        <v>100.3</v>
      </c>
      <c r="F450" s="5">
        <v>199.9</v>
      </c>
      <c r="G450" s="5">
        <v>99.7</v>
      </c>
      <c r="H450" s="5">
        <v>99.6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100.2</v>
      </c>
      <c r="D451" s="5">
        <v>0.1</v>
      </c>
      <c r="E451" s="5">
        <v>100.3</v>
      </c>
      <c r="F451" s="5">
        <v>199.9</v>
      </c>
      <c r="G451" s="5">
        <v>99.7</v>
      </c>
      <c r="H451" s="5">
        <v>99.6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99.6</v>
      </c>
      <c r="D452" s="5">
        <v>0.1</v>
      </c>
      <c r="E452" s="5">
        <v>99.8</v>
      </c>
      <c r="F452" s="5">
        <v>199.2</v>
      </c>
      <c r="G452" s="5">
        <v>99.4</v>
      </c>
      <c r="H452" s="5">
        <v>99.4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99.6</v>
      </c>
      <c r="D453" s="5">
        <v>0.1</v>
      </c>
      <c r="E453" s="5">
        <v>99.8</v>
      </c>
      <c r="F453" s="5">
        <v>199.2</v>
      </c>
      <c r="G453" s="5">
        <v>99.4</v>
      </c>
      <c r="H453" s="5">
        <v>99.4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101.1</v>
      </c>
      <c r="D454" s="5">
        <v>0.1</v>
      </c>
      <c r="E454" s="5">
        <v>101.1</v>
      </c>
      <c r="F454" s="5">
        <v>201.7</v>
      </c>
      <c r="G454" s="5">
        <v>100.6</v>
      </c>
      <c r="H454" s="5">
        <v>100.5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101.1</v>
      </c>
      <c r="D455" s="5">
        <v>0.1</v>
      </c>
      <c r="E455" s="5">
        <v>101.1</v>
      </c>
      <c r="F455" s="5">
        <v>201.7</v>
      </c>
      <c r="G455" s="5">
        <v>100.6</v>
      </c>
      <c r="H455" s="5">
        <v>100.5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101.1</v>
      </c>
      <c r="D456" s="5">
        <v>0.1</v>
      </c>
      <c r="E456" s="5">
        <v>101.1</v>
      </c>
      <c r="F456" s="5">
        <v>201.7</v>
      </c>
      <c r="G456" s="5">
        <v>100.6</v>
      </c>
      <c r="H456" s="5">
        <v>100.5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101.1</v>
      </c>
      <c r="D457" s="5">
        <v>0.1</v>
      </c>
      <c r="E457" s="5">
        <v>101.1</v>
      </c>
      <c r="F457" s="5">
        <v>201.7</v>
      </c>
      <c r="G457" s="5">
        <v>100.6</v>
      </c>
      <c r="H457" s="5">
        <v>100.5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101.1</v>
      </c>
      <c r="D458" s="5">
        <v>0.1</v>
      </c>
      <c r="E458" s="5">
        <v>101.1</v>
      </c>
      <c r="F458" s="5">
        <v>201.7</v>
      </c>
      <c r="G458" s="5">
        <v>100.6</v>
      </c>
      <c r="H458" s="5">
        <v>100.5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101.1</v>
      </c>
      <c r="D459" s="5">
        <v>0.1</v>
      </c>
      <c r="E459" s="5">
        <v>101.2</v>
      </c>
      <c r="F459" s="5">
        <v>201.6</v>
      </c>
      <c r="G459" s="5">
        <v>100.6</v>
      </c>
      <c r="H459" s="5">
        <v>100.5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101.1</v>
      </c>
      <c r="D460" s="5">
        <v>0.1</v>
      </c>
      <c r="E460" s="5">
        <v>101.2</v>
      </c>
      <c r="F460" s="5">
        <v>201.6</v>
      </c>
      <c r="G460" s="5">
        <v>100.6</v>
      </c>
      <c r="H460" s="5">
        <v>100.5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101.1</v>
      </c>
      <c r="D461" s="5">
        <v>0.1</v>
      </c>
      <c r="E461" s="5">
        <v>101.2</v>
      </c>
      <c r="F461" s="5">
        <v>201.3</v>
      </c>
      <c r="G461" s="5">
        <v>100.4</v>
      </c>
      <c r="H461" s="5">
        <v>100.3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101.1</v>
      </c>
      <c r="D462" s="5">
        <v>0.1</v>
      </c>
      <c r="E462" s="5">
        <v>101.2</v>
      </c>
      <c r="F462" s="5">
        <v>201.3</v>
      </c>
      <c r="G462" s="5">
        <v>100.4</v>
      </c>
      <c r="H462" s="5">
        <v>100.3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101.1</v>
      </c>
      <c r="D463" s="5">
        <v>0.1</v>
      </c>
      <c r="E463" s="5">
        <v>101.3</v>
      </c>
      <c r="F463" s="5">
        <v>202</v>
      </c>
      <c r="G463" s="5">
        <v>100.8</v>
      </c>
      <c r="H463" s="5">
        <v>100.7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101.1</v>
      </c>
      <c r="D464" s="5">
        <v>0.1</v>
      </c>
      <c r="E464" s="5">
        <v>101.3</v>
      </c>
      <c r="F464" s="5">
        <v>202</v>
      </c>
      <c r="G464" s="5">
        <v>100.8</v>
      </c>
      <c r="H464" s="5">
        <v>100.7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101.1</v>
      </c>
      <c r="D465" s="5">
        <v>0.1</v>
      </c>
      <c r="E465" s="5">
        <v>101.2</v>
      </c>
      <c r="F465" s="5">
        <v>201.5</v>
      </c>
      <c r="G465" s="5">
        <v>100.5</v>
      </c>
      <c r="H465" s="5">
        <v>100.4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101.1</v>
      </c>
      <c r="D466" s="5">
        <v>0.1</v>
      </c>
      <c r="E466" s="5">
        <v>101.2</v>
      </c>
      <c r="F466" s="5">
        <v>201.5</v>
      </c>
      <c r="G466" s="5">
        <v>100.5</v>
      </c>
      <c r="H466" s="5">
        <v>100.4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101.1</v>
      </c>
      <c r="D467" s="5">
        <v>0.1</v>
      </c>
      <c r="E467" s="5">
        <v>101.2</v>
      </c>
      <c r="F467" s="5">
        <v>201.5</v>
      </c>
      <c r="G467" s="5">
        <v>100.5</v>
      </c>
      <c r="H467" s="5">
        <v>100.4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101.1</v>
      </c>
      <c r="D468" s="5">
        <v>0.1</v>
      </c>
      <c r="E468" s="5">
        <v>101.2</v>
      </c>
      <c r="F468" s="5">
        <v>201.5</v>
      </c>
      <c r="G468" s="5">
        <v>100.5</v>
      </c>
      <c r="H468" s="5">
        <v>100.4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101</v>
      </c>
      <c r="D469" s="5">
        <v>0.1</v>
      </c>
      <c r="E469" s="5">
        <v>101.1</v>
      </c>
      <c r="F469" s="5">
        <v>201.9</v>
      </c>
      <c r="G469" s="5">
        <v>100.7</v>
      </c>
      <c r="H469" s="5">
        <v>100.5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101</v>
      </c>
      <c r="D470" s="5">
        <v>0.1</v>
      </c>
      <c r="E470" s="5">
        <v>101.1</v>
      </c>
      <c r="F470" s="5">
        <v>201.9</v>
      </c>
      <c r="G470" s="5">
        <v>100.7</v>
      </c>
      <c r="H470" s="5">
        <v>100.5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101.4</v>
      </c>
      <c r="D471" s="5">
        <v>0.1</v>
      </c>
      <c r="E471" s="5">
        <v>101.5</v>
      </c>
      <c r="F471" s="5">
        <v>202.5</v>
      </c>
      <c r="G471" s="5">
        <v>101</v>
      </c>
      <c r="H471" s="5">
        <v>100.9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101.4</v>
      </c>
      <c r="D472" s="5">
        <v>0.1</v>
      </c>
      <c r="E472" s="5">
        <v>101.5</v>
      </c>
      <c r="F472" s="5">
        <v>202.5</v>
      </c>
      <c r="G472" s="5">
        <v>101</v>
      </c>
      <c r="H472" s="5">
        <v>100.9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100.7</v>
      </c>
      <c r="D473" s="5">
        <v>0.1</v>
      </c>
      <c r="E473" s="5">
        <v>100.8</v>
      </c>
      <c r="F473" s="5">
        <v>200.1</v>
      </c>
      <c r="G473" s="5">
        <v>100</v>
      </c>
      <c r="H473" s="5">
        <v>100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100.7</v>
      </c>
      <c r="D474" s="5">
        <v>0.1</v>
      </c>
      <c r="E474" s="5">
        <v>100.8</v>
      </c>
      <c r="F474" s="5">
        <v>200.1</v>
      </c>
      <c r="G474" s="5">
        <v>100</v>
      </c>
      <c r="H474" s="5">
        <v>100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98.8</v>
      </c>
      <c r="D475" s="5">
        <v>0.1</v>
      </c>
      <c r="E475" s="5">
        <v>98.9</v>
      </c>
      <c r="F475" s="5">
        <v>197</v>
      </c>
      <c r="G475" s="5">
        <v>98.4</v>
      </c>
      <c r="H475" s="5">
        <v>98.4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98.8</v>
      </c>
      <c r="D476" s="5">
        <v>0.1</v>
      </c>
      <c r="E476" s="5">
        <v>98.9</v>
      </c>
      <c r="F476" s="5">
        <v>197</v>
      </c>
      <c r="G476" s="5">
        <v>98.4</v>
      </c>
      <c r="H476" s="5">
        <v>98.4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98.8</v>
      </c>
      <c r="D477" s="5">
        <v>0.1</v>
      </c>
      <c r="E477" s="5">
        <v>98.9</v>
      </c>
      <c r="F477" s="5">
        <v>197</v>
      </c>
      <c r="G477" s="5">
        <v>98.4</v>
      </c>
      <c r="H477" s="5">
        <v>98.4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99.2</v>
      </c>
      <c r="D478" s="5">
        <v>0.1</v>
      </c>
      <c r="E478" s="5">
        <v>99.4</v>
      </c>
      <c r="F478" s="5">
        <v>198.8</v>
      </c>
      <c r="G478" s="5">
        <v>99.1</v>
      </c>
      <c r="H478" s="5">
        <v>98.9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99.2</v>
      </c>
      <c r="D479" s="5">
        <v>0.1</v>
      </c>
      <c r="E479" s="5">
        <v>99.4</v>
      </c>
      <c r="F479" s="5">
        <v>198.8</v>
      </c>
      <c r="G479" s="5">
        <v>99.1</v>
      </c>
      <c r="H479" s="5">
        <v>98.9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100.2</v>
      </c>
      <c r="D480" s="5">
        <v>0.1</v>
      </c>
      <c r="E480" s="5">
        <v>100.3</v>
      </c>
      <c r="F480" s="5">
        <v>197.5</v>
      </c>
      <c r="G480" s="5">
        <v>98.6</v>
      </c>
      <c r="H480" s="5">
        <v>98.4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100.2</v>
      </c>
      <c r="D481" s="5">
        <v>0.1</v>
      </c>
      <c r="E481" s="5">
        <v>100.3</v>
      </c>
      <c r="F481" s="5">
        <v>197.5</v>
      </c>
      <c r="G481" s="5">
        <v>98.6</v>
      </c>
      <c r="H481" s="5">
        <v>98.4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101.4</v>
      </c>
      <c r="D482" s="5">
        <v>0.1</v>
      </c>
      <c r="E482" s="5">
        <v>101.5</v>
      </c>
      <c r="F482" s="5">
        <v>202.2</v>
      </c>
      <c r="G482" s="5">
        <v>100.9</v>
      </c>
      <c r="H482" s="5">
        <v>100.8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101.4</v>
      </c>
      <c r="D483" s="5">
        <v>0.1</v>
      </c>
      <c r="E483" s="5">
        <v>101.5</v>
      </c>
      <c r="F483" s="5">
        <v>202.2</v>
      </c>
      <c r="G483" s="5">
        <v>100.9</v>
      </c>
      <c r="H483" s="5">
        <v>100.8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100.8</v>
      </c>
      <c r="D484" s="5">
        <v>0.1</v>
      </c>
      <c r="E484" s="5">
        <v>100.9</v>
      </c>
      <c r="F484" s="5">
        <v>201</v>
      </c>
      <c r="G484" s="5">
        <v>100.3</v>
      </c>
      <c r="H484" s="5">
        <v>100.1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100.8</v>
      </c>
      <c r="D485" s="5">
        <v>0.1</v>
      </c>
      <c r="E485" s="5">
        <v>100.9</v>
      </c>
      <c r="F485" s="5">
        <v>201</v>
      </c>
      <c r="G485" s="5">
        <v>100.3</v>
      </c>
      <c r="H485" s="5">
        <v>100.1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100.8</v>
      </c>
      <c r="D486" s="5">
        <v>0.1</v>
      </c>
      <c r="E486" s="5">
        <v>100.9</v>
      </c>
      <c r="F486" s="5">
        <v>201</v>
      </c>
      <c r="G486" s="5">
        <v>100.3</v>
      </c>
      <c r="H486" s="5">
        <v>100.1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100.8</v>
      </c>
      <c r="D487" s="5">
        <v>0.1</v>
      </c>
      <c r="E487" s="5">
        <v>100.9</v>
      </c>
      <c r="F487" s="5">
        <v>201</v>
      </c>
      <c r="G487" s="5">
        <v>100.3</v>
      </c>
      <c r="H487" s="5">
        <v>100.1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100.5</v>
      </c>
      <c r="D488" s="5">
        <v>0.1</v>
      </c>
      <c r="E488" s="5">
        <v>100.6</v>
      </c>
      <c r="F488" s="5">
        <v>200.6</v>
      </c>
      <c r="G488" s="5">
        <v>100.1</v>
      </c>
      <c r="H488" s="5">
        <v>99.9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100.5</v>
      </c>
      <c r="D489" s="5">
        <v>0.1</v>
      </c>
      <c r="E489" s="5">
        <v>100.6</v>
      </c>
      <c r="F489" s="5">
        <v>200.6</v>
      </c>
      <c r="G489" s="5">
        <v>100.1</v>
      </c>
      <c r="H489" s="5">
        <v>99.9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100.5</v>
      </c>
      <c r="D490" s="5">
        <v>0.1</v>
      </c>
      <c r="E490" s="5">
        <v>100.7</v>
      </c>
      <c r="F490" s="5">
        <v>200.4</v>
      </c>
      <c r="G490" s="5">
        <v>100</v>
      </c>
      <c r="H490" s="5">
        <v>99.9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100.5</v>
      </c>
      <c r="D491" s="5">
        <v>0.1</v>
      </c>
      <c r="E491" s="5">
        <v>100.7</v>
      </c>
      <c r="F491" s="5">
        <v>200.4</v>
      </c>
      <c r="G491" s="5">
        <v>100</v>
      </c>
      <c r="H491" s="5">
        <v>99.9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100.6</v>
      </c>
      <c r="D492" s="5">
        <v>0.1</v>
      </c>
      <c r="E492" s="5">
        <v>100.8</v>
      </c>
      <c r="F492" s="5">
        <v>200.5</v>
      </c>
      <c r="G492" s="5">
        <v>100.1</v>
      </c>
      <c r="H492" s="5">
        <v>99.9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100.6</v>
      </c>
      <c r="D493" s="5">
        <v>0.1</v>
      </c>
      <c r="E493" s="5">
        <v>100.8</v>
      </c>
      <c r="F493" s="5">
        <v>200.5</v>
      </c>
      <c r="G493" s="5">
        <v>100.1</v>
      </c>
      <c r="H493" s="5">
        <v>99.9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95.8</v>
      </c>
      <c r="D494" s="5">
        <v>0.1</v>
      </c>
      <c r="E494" s="5">
        <v>95.9</v>
      </c>
      <c r="F494" s="5">
        <v>190.4</v>
      </c>
      <c r="G494" s="5">
        <v>95</v>
      </c>
      <c r="H494" s="5">
        <v>94.9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95.8</v>
      </c>
      <c r="D495" s="5">
        <v>0.1</v>
      </c>
      <c r="E495" s="5">
        <v>95.9</v>
      </c>
      <c r="F495" s="5">
        <v>190.4</v>
      </c>
      <c r="G495" s="5">
        <v>95</v>
      </c>
      <c r="H495" s="5">
        <v>94.9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95.8</v>
      </c>
      <c r="D496" s="5">
        <v>0.1</v>
      </c>
      <c r="E496" s="5">
        <v>95.9</v>
      </c>
      <c r="F496" s="5">
        <v>190.4</v>
      </c>
      <c r="G496" s="5">
        <v>95</v>
      </c>
      <c r="H496" s="5">
        <v>94.9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95.8</v>
      </c>
      <c r="D497" s="5">
        <v>0.1</v>
      </c>
      <c r="E497" s="5">
        <v>95.9</v>
      </c>
      <c r="F497" s="5">
        <v>190.4</v>
      </c>
      <c r="G497" s="5">
        <v>95</v>
      </c>
      <c r="H497" s="5">
        <v>94.9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101</v>
      </c>
      <c r="D498" s="5">
        <v>0.1</v>
      </c>
      <c r="E498" s="5">
        <v>101.1</v>
      </c>
      <c r="F498" s="5">
        <v>200.6</v>
      </c>
      <c r="G498" s="5">
        <v>100.2</v>
      </c>
      <c r="H498" s="5">
        <v>100.1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101</v>
      </c>
      <c r="D499" s="5">
        <v>0.1</v>
      </c>
      <c r="E499" s="5">
        <v>101.1</v>
      </c>
      <c r="F499" s="5">
        <v>200.6</v>
      </c>
      <c r="G499" s="5">
        <v>100.2</v>
      </c>
      <c r="H499" s="5">
        <v>100.1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99.8</v>
      </c>
      <c r="D500" s="5">
        <v>0.1</v>
      </c>
      <c r="E500" s="5">
        <v>99.9</v>
      </c>
      <c r="F500" s="5">
        <v>198.3</v>
      </c>
      <c r="G500" s="5">
        <v>99</v>
      </c>
      <c r="H500" s="5">
        <v>98.9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99.8</v>
      </c>
      <c r="D501" s="5">
        <v>0.1</v>
      </c>
      <c r="E501" s="5">
        <v>99.9</v>
      </c>
      <c r="F501" s="5">
        <v>198.3</v>
      </c>
      <c r="G501" s="5">
        <v>99</v>
      </c>
      <c r="H501" s="5">
        <v>98.9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97.5</v>
      </c>
      <c r="D502" s="5">
        <v>0.1</v>
      </c>
      <c r="E502" s="5">
        <v>99.9</v>
      </c>
      <c r="F502" s="5">
        <v>198.3</v>
      </c>
      <c r="G502" s="5">
        <v>97.5</v>
      </c>
      <c r="H502" s="5">
        <v>97.3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97.5</v>
      </c>
      <c r="D503" s="5">
        <v>0.1</v>
      </c>
      <c r="E503" s="5">
        <v>97.6</v>
      </c>
      <c r="F503" s="5">
        <v>195.8</v>
      </c>
      <c r="G503" s="5">
        <v>97.5</v>
      </c>
      <c r="H503" s="5">
        <v>97.3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98.9</v>
      </c>
      <c r="D504" s="5">
        <v>0.1</v>
      </c>
      <c r="E504" s="5">
        <v>97.6</v>
      </c>
      <c r="F504" s="5">
        <v>195.8</v>
      </c>
      <c r="G504" s="5">
        <v>97.5</v>
      </c>
      <c r="H504" s="5">
        <v>97.3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98.9</v>
      </c>
      <c r="D505" s="5">
        <v>0.1</v>
      </c>
      <c r="E505" s="5">
        <v>99</v>
      </c>
      <c r="F505" s="5">
        <v>195.9</v>
      </c>
      <c r="G505" s="5">
        <v>97.7</v>
      </c>
      <c r="H505" s="5">
        <v>97.6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98.9</v>
      </c>
      <c r="D506" s="5">
        <v>0.1</v>
      </c>
      <c r="E506" s="5">
        <v>99</v>
      </c>
      <c r="F506" s="5">
        <v>195.9</v>
      </c>
      <c r="G506" s="5">
        <v>97.7</v>
      </c>
      <c r="H506" s="5">
        <v>97.6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98.9</v>
      </c>
      <c r="D507" s="5">
        <v>0.1</v>
      </c>
      <c r="E507" s="5">
        <v>99</v>
      </c>
      <c r="F507" s="5">
        <v>195.9</v>
      </c>
      <c r="G507" s="5">
        <v>97.7</v>
      </c>
      <c r="H507" s="5">
        <v>97.6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98.5</v>
      </c>
      <c r="D508" s="5">
        <v>0.1</v>
      </c>
      <c r="E508" s="5">
        <v>98.6</v>
      </c>
      <c r="F508" s="5">
        <v>197.1</v>
      </c>
      <c r="G508" s="5">
        <v>98.3</v>
      </c>
      <c r="H508" s="5">
        <v>98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98.5</v>
      </c>
      <c r="D509" s="5">
        <v>0.1</v>
      </c>
      <c r="E509" s="5">
        <v>98.6</v>
      </c>
      <c r="F509" s="5">
        <v>197.1</v>
      </c>
      <c r="G509" s="5">
        <v>98.3</v>
      </c>
      <c r="H509" s="5">
        <v>98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98.3</v>
      </c>
      <c r="D510" s="5">
        <v>0.1</v>
      </c>
      <c r="E510" s="5">
        <v>98.4</v>
      </c>
      <c r="F510" s="5">
        <v>196.6</v>
      </c>
      <c r="G510" s="5">
        <v>98</v>
      </c>
      <c r="H510" s="5">
        <v>97.9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98.3</v>
      </c>
      <c r="D511" s="5">
        <v>0.1</v>
      </c>
      <c r="E511" s="5">
        <v>98.4</v>
      </c>
      <c r="F511" s="5">
        <v>196.6</v>
      </c>
      <c r="G511" s="5">
        <v>98</v>
      </c>
      <c r="H511" s="5">
        <v>97.9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97.7</v>
      </c>
      <c r="D512" s="5">
        <v>0.1</v>
      </c>
      <c r="E512" s="5">
        <v>97.8</v>
      </c>
      <c r="F512" s="5">
        <v>196.1</v>
      </c>
      <c r="G512" s="5">
        <v>97.7</v>
      </c>
      <c r="H512" s="5">
        <v>97.5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97.7</v>
      </c>
      <c r="D513" s="5">
        <v>0.1</v>
      </c>
      <c r="E513" s="5">
        <v>97.8</v>
      </c>
      <c r="F513" s="5">
        <v>196.1</v>
      </c>
      <c r="G513" s="5">
        <v>97.7</v>
      </c>
      <c r="H513" s="5">
        <v>97.5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98.3</v>
      </c>
      <c r="D514" s="5">
        <v>0.1</v>
      </c>
      <c r="E514" s="5">
        <v>98.5</v>
      </c>
      <c r="F514" s="5">
        <v>197.1</v>
      </c>
      <c r="G514" s="5">
        <v>98.3</v>
      </c>
      <c r="H514" s="5">
        <v>98.1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98.3</v>
      </c>
      <c r="D515" s="5">
        <v>0.1</v>
      </c>
      <c r="E515" s="5">
        <v>98.5</v>
      </c>
      <c r="F515" s="5">
        <v>197.1</v>
      </c>
      <c r="G515" s="5">
        <v>98.3</v>
      </c>
      <c r="H515" s="5">
        <v>98.1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98.3</v>
      </c>
      <c r="D516" s="5">
        <v>0.1</v>
      </c>
      <c r="E516" s="5">
        <v>98.5</v>
      </c>
      <c r="F516" s="5">
        <v>197.1</v>
      </c>
      <c r="G516" s="5">
        <v>98.3</v>
      </c>
      <c r="H516" s="5">
        <v>98.1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98.3</v>
      </c>
      <c r="D517" s="5">
        <v>0.1</v>
      </c>
      <c r="E517" s="5">
        <v>98.5</v>
      </c>
      <c r="F517" s="5">
        <v>197.1</v>
      </c>
      <c r="G517" s="5">
        <v>98.3</v>
      </c>
      <c r="H517" s="5">
        <v>98.1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98.3</v>
      </c>
      <c r="D518" s="5">
        <v>0.1</v>
      </c>
      <c r="E518" s="5">
        <v>98.4</v>
      </c>
      <c r="F518" s="5">
        <v>193.7</v>
      </c>
      <c r="G518" s="5">
        <v>96.8</v>
      </c>
      <c r="H518" s="5">
        <v>96.9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98.3</v>
      </c>
      <c r="D519" s="5">
        <v>0.1</v>
      </c>
      <c r="E519" s="5">
        <v>98.4</v>
      </c>
      <c r="F519" s="5">
        <v>193.7</v>
      </c>
      <c r="G519" s="5">
        <v>96.8</v>
      </c>
      <c r="H519" s="5">
        <v>96.9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98.1</v>
      </c>
      <c r="D520" s="5">
        <v>0.1</v>
      </c>
      <c r="E520" s="5">
        <v>98.2</v>
      </c>
      <c r="F520" s="5">
        <v>196.6</v>
      </c>
      <c r="G520" s="5">
        <v>98</v>
      </c>
      <c r="H520" s="5">
        <v>97.8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98.1</v>
      </c>
      <c r="D521" s="5">
        <v>0.1</v>
      </c>
      <c r="E521" s="5">
        <v>98.2</v>
      </c>
      <c r="F521" s="5">
        <v>196.6</v>
      </c>
      <c r="G521" s="5">
        <v>98</v>
      </c>
      <c r="H521" s="5">
        <v>97.8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99.6</v>
      </c>
      <c r="D522" s="5">
        <v>0.1</v>
      </c>
      <c r="E522" s="5">
        <v>99.7</v>
      </c>
      <c r="F522" s="5">
        <v>198.2</v>
      </c>
      <c r="G522" s="5">
        <v>98.9</v>
      </c>
      <c r="H522" s="5">
        <v>98.8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99.6</v>
      </c>
      <c r="D523" s="5">
        <v>0.1</v>
      </c>
      <c r="E523" s="5">
        <v>99.7</v>
      </c>
      <c r="F523" s="5">
        <v>198.2</v>
      </c>
      <c r="G523" s="5">
        <v>98.9</v>
      </c>
      <c r="H523" s="5">
        <v>98.8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99.2</v>
      </c>
      <c r="D524" s="5">
        <v>0.1</v>
      </c>
      <c r="E524" s="5">
        <v>99.3</v>
      </c>
      <c r="F524" s="5">
        <v>197.4</v>
      </c>
      <c r="G524" s="5">
        <v>98.5</v>
      </c>
      <c r="H524" s="5">
        <v>98.4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99.2</v>
      </c>
      <c r="D525" s="5">
        <v>0.1</v>
      </c>
      <c r="E525" s="5">
        <v>99.3</v>
      </c>
      <c r="F525" s="5">
        <v>197.4</v>
      </c>
      <c r="G525" s="5">
        <v>98.5</v>
      </c>
      <c r="H525" s="5">
        <v>98.4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99.2</v>
      </c>
      <c r="D526" s="5">
        <v>0.1</v>
      </c>
      <c r="E526" s="5">
        <v>99.3</v>
      </c>
      <c r="F526" s="5">
        <v>197.4</v>
      </c>
      <c r="G526" s="5">
        <v>98.5</v>
      </c>
      <c r="H526" s="5">
        <v>98.4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99.2</v>
      </c>
      <c r="D527" s="5">
        <v>0.1</v>
      </c>
      <c r="E527" s="5">
        <v>99.3</v>
      </c>
      <c r="F527" s="5">
        <v>197.4</v>
      </c>
      <c r="G527" s="5">
        <v>98.5</v>
      </c>
      <c r="H527" s="5">
        <v>98.4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99.1</v>
      </c>
      <c r="D528" s="5">
        <v>0.1</v>
      </c>
      <c r="E528" s="5">
        <v>99.2</v>
      </c>
      <c r="F528" s="5">
        <v>198.4</v>
      </c>
      <c r="G528" s="5">
        <v>99</v>
      </c>
      <c r="H528" s="5">
        <v>98.9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99.1</v>
      </c>
      <c r="D529" s="5">
        <v>0.1</v>
      </c>
      <c r="E529" s="5">
        <v>99.2</v>
      </c>
      <c r="F529" s="5">
        <v>198.4</v>
      </c>
      <c r="G529" s="5">
        <v>99</v>
      </c>
      <c r="H529" s="5">
        <v>98.9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101.1</v>
      </c>
      <c r="D530" s="5">
        <v>0.1</v>
      </c>
      <c r="E530" s="5">
        <v>101.2</v>
      </c>
      <c r="F530" s="5">
        <v>201.8</v>
      </c>
      <c r="G530" s="5">
        <v>100.6</v>
      </c>
      <c r="H530" s="5">
        <v>100.4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101.1</v>
      </c>
      <c r="D531" s="5">
        <v>0.1</v>
      </c>
      <c r="E531" s="5">
        <v>101.2</v>
      </c>
      <c r="F531" s="5">
        <v>201.8</v>
      </c>
      <c r="G531" s="5">
        <v>100.6</v>
      </c>
      <c r="H531" s="5">
        <v>100.4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101.1</v>
      </c>
      <c r="D532" s="5">
        <v>0.1</v>
      </c>
      <c r="E532" s="5">
        <v>101.2</v>
      </c>
      <c r="F532" s="5">
        <v>201.8</v>
      </c>
      <c r="G532" s="5">
        <v>100.6</v>
      </c>
      <c r="H532" s="5">
        <v>100.4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101.1</v>
      </c>
      <c r="D533" s="5">
        <v>0.1</v>
      </c>
      <c r="E533" s="5">
        <v>101.2</v>
      </c>
      <c r="F533" s="5">
        <v>201.8</v>
      </c>
      <c r="G533" s="5">
        <v>100.6</v>
      </c>
      <c r="H533" s="5">
        <v>100.4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101.7</v>
      </c>
      <c r="D534" s="5">
        <v>0.1</v>
      </c>
      <c r="E534" s="5">
        <v>101.8</v>
      </c>
      <c r="F534" s="5">
        <v>202.9</v>
      </c>
      <c r="G534" s="5">
        <v>101.2</v>
      </c>
      <c r="H534" s="5">
        <v>101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101.7</v>
      </c>
      <c r="D535" s="5">
        <v>0.1</v>
      </c>
      <c r="E535" s="5">
        <v>101.8</v>
      </c>
      <c r="F535" s="5">
        <v>202.9</v>
      </c>
      <c r="G535" s="5">
        <v>101.2</v>
      </c>
      <c r="H535" s="5">
        <v>101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101.7</v>
      </c>
      <c r="D536" s="5">
        <v>0.1</v>
      </c>
      <c r="E536" s="5">
        <v>101.8</v>
      </c>
      <c r="F536" s="5">
        <v>202.9</v>
      </c>
      <c r="G536" s="5">
        <v>101.2</v>
      </c>
      <c r="H536" s="5">
        <v>101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101.7</v>
      </c>
      <c r="D537" s="5">
        <v>0.1</v>
      </c>
      <c r="E537" s="5">
        <v>101.8</v>
      </c>
      <c r="F537" s="5">
        <v>202.9</v>
      </c>
      <c r="G537" s="5">
        <v>101.2</v>
      </c>
      <c r="H537" s="5">
        <v>101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100.5</v>
      </c>
      <c r="D538" s="5">
        <v>0.1</v>
      </c>
      <c r="E538" s="5">
        <v>100.6</v>
      </c>
      <c r="F538" s="5">
        <v>201.1</v>
      </c>
      <c r="G538" s="5">
        <v>100.3</v>
      </c>
      <c r="H538" s="5">
        <v>100.1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100.5</v>
      </c>
      <c r="D539" s="5">
        <v>0.1</v>
      </c>
      <c r="E539" s="5">
        <v>100.6</v>
      </c>
      <c r="F539" s="5">
        <v>201.1</v>
      </c>
      <c r="G539" s="5">
        <v>100.3</v>
      </c>
      <c r="H539" s="5">
        <v>100.1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100.8</v>
      </c>
      <c r="D540" s="5">
        <v>0.1</v>
      </c>
      <c r="E540" s="5">
        <v>101</v>
      </c>
      <c r="F540" s="5">
        <v>200.8</v>
      </c>
      <c r="G540" s="5">
        <v>100.2</v>
      </c>
      <c r="H540" s="5">
        <v>100.1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100.8</v>
      </c>
      <c r="D541" s="5">
        <v>0.1</v>
      </c>
      <c r="E541" s="5">
        <v>101</v>
      </c>
      <c r="F541" s="5">
        <v>200.8</v>
      </c>
      <c r="G541" s="5">
        <v>100.2</v>
      </c>
      <c r="H541" s="5">
        <v>100.1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101.1</v>
      </c>
      <c r="D542" s="5">
        <v>0.1</v>
      </c>
      <c r="E542" s="5">
        <v>101.2</v>
      </c>
      <c r="F542" s="5">
        <v>201.2</v>
      </c>
      <c r="G542" s="5">
        <v>100.4</v>
      </c>
      <c r="H542" s="5">
        <v>100.3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101.1</v>
      </c>
      <c r="D543" s="5">
        <v>0.1</v>
      </c>
      <c r="E543" s="5">
        <v>101.2</v>
      </c>
      <c r="F543" s="5">
        <v>201.2</v>
      </c>
      <c r="G543" s="5">
        <v>100.4</v>
      </c>
      <c r="H543" s="5">
        <v>100.3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101.5</v>
      </c>
      <c r="D544" s="5">
        <v>0.1</v>
      </c>
      <c r="E544" s="5">
        <v>101.6</v>
      </c>
      <c r="F544" s="5">
        <v>201.3</v>
      </c>
      <c r="G544" s="5">
        <v>100.5</v>
      </c>
      <c r="H544" s="5">
        <v>100.4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101.5</v>
      </c>
      <c r="D545" s="5">
        <v>0.1</v>
      </c>
      <c r="E545" s="5">
        <v>101.6</v>
      </c>
      <c r="F545" s="5">
        <v>201.3</v>
      </c>
      <c r="G545" s="5">
        <v>100.5</v>
      </c>
      <c r="H545" s="5">
        <v>100.4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101.5</v>
      </c>
      <c r="D546" s="5">
        <v>0.1</v>
      </c>
      <c r="E546" s="5">
        <v>101.6</v>
      </c>
      <c r="F546" s="5">
        <v>201.3</v>
      </c>
      <c r="G546" s="5">
        <v>100.5</v>
      </c>
      <c r="H546" s="5">
        <v>100.4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101.5</v>
      </c>
      <c r="D547" s="5">
        <v>0.1</v>
      </c>
      <c r="E547" s="5">
        <v>101.6</v>
      </c>
      <c r="F547" s="5">
        <v>201.3</v>
      </c>
      <c r="G547" s="5">
        <v>100.5</v>
      </c>
      <c r="H547" s="5">
        <v>100.4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100.8</v>
      </c>
      <c r="D548" s="5">
        <v>0.1</v>
      </c>
      <c r="E548" s="5">
        <v>100.9</v>
      </c>
      <c r="F548" s="5">
        <v>201.4</v>
      </c>
      <c r="G548" s="5">
        <v>100.4</v>
      </c>
      <c r="H548" s="5">
        <v>100.2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100.8</v>
      </c>
      <c r="D549" s="5">
        <v>0.1</v>
      </c>
      <c r="E549" s="5">
        <v>100.9</v>
      </c>
      <c r="F549" s="5">
        <v>201.4</v>
      </c>
      <c r="G549" s="5">
        <v>100.4</v>
      </c>
      <c r="H549" s="5">
        <v>100.2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100.9</v>
      </c>
      <c r="D550" s="5">
        <v>0.1</v>
      </c>
      <c r="E550" s="5">
        <v>101</v>
      </c>
      <c r="F550" s="5">
        <v>201.8</v>
      </c>
      <c r="G550" s="5">
        <v>100.7</v>
      </c>
      <c r="H550" s="5">
        <v>100.5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100.9</v>
      </c>
      <c r="D551" s="5">
        <v>0.1</v>
      </c>
      <c r="E551" s="5">
        <v>101</v>
      </c>
      <c r="F551" s="5">
        <v>201.8</v>
      </c>
      <c r="G551" s="5">
        <v>100.7</v>
      </c>
      <c r="H551" s="5">
        <v>100.5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100.8</v>
      </c>
      <c r="D552" s="5">
        <v>0.1</v>
      </c>
      <c r="E552" s="5">
        <v>101</v>
      </c>
      <c r="F552" s="5">
        <v>201.7</v>
      </c>
      <c r="G552" s="5">
        <v>100.6</v>
      </c>
      <c r="H552" s="5">
        <v>100.5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100.8</v>
      </c>
      <c r="D553" s="5">
        <v>0.1</v>
      </c>
      <c r="E553" s="5">
        <v>101</v>
      </c>
      <c r="F553" s="5">
        <v>201.7</v>
      </c>
      <c r="G553" s="5">
        <v>100.6</v>
      </c>
      <c r="H553" s="5">
        <v>100.5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99.9</v>
      </c>
      <c r="D554" s="5">
        <v>0.1</v>
      </c>
      <c r="E554" s="5">
        <v>100</v>
      </c>
      <c r="F554" s="5">
        <v>199.8</v>
      </c>
      <c r="G554" s="5">
        <v>99.7</v>
      </c>
      <c r="H554" s="5">
        <v>99.6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99.9</v>
      </c>
      <c r="D555" s="5">
        <v>0.1</v>
      </c>
      <c r="E555" s="5">
        <v>100</v>
      </c>
      <c r="F555" s="5">
        <v>199.8</v>
      </c>
      <c r="G555" s="5">
        <v>99.7</v>
      </c>
      <c r="H555" s="5">
        <v>99.6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99.9</v>
      </c>
      <c r="D556" s="5">
        <v>0.1</v>
      </c>
      <c r="E556" s="5">
        <v>100</v>
      </c>
      <c r="F556" s="5">
        <v>199.8</v>
      </c>
      <c r="G556" s="5">
        <v>99.7</v>
      </c>
      <c r="H556" s="5">
        <v>99.6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99.9</v>
      </c>
      <c r="D557" s="5">
        <v>0.1</v>
      </c>
      <c r="E557" s="5">
        <v>100</v>
      </c>
      <c r="F557" s="5">
        <v>199.8</v>
      </c>
      <c r="G557" s="5">
        <v>99.7</v>
      </c>
      <c r="H557" s="5">
        <v>99.6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101.1</v>
      </c>
      <c r="D558" s="5">
        <v>0.1</v>
      </c>
      <c r="E558" s="5">
        <v>101.3</v>
      </c>
      <c r="F558" s="5">
        <v>201.5</v>
      </c>
      <c r="G558" s="5">
        <v>100.5</v>
      </c>
      <c r="H558" s="5">
        <v>100.4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101.1</v>
      </c>
      <c r="D559" s="5">
        <v>0.1</v>
      </c>
      <c r="E559" s="5">
        <v>101.3</v>
      </c>
      <c r="F559" s="5">
        <v>201.5</v>
      </c>
      <c r="G559" s="5">
        <v>100.5</v>
      </c>
      <c r="H559" s="5">
        <v>100.4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101</v>
      </c>
      <c r="D560" s="5">
        <v>0.1</v>
      </c>
      <c r="E560" s="5">
        <v>101.1</v>
      </c>
      <c r="F560" s="5">
        <v>201.8</v>
      </c>
      <c r="G560" s="5">
        <v>100.6</v>
      </c>
      <c r="H560" s="5">
        <v>100.4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101</v>
      </c>
      <c r="D561" s="5">
        <v>0.1</v>
      </c>
      <c r="E561" s="5">
        <v>101.1</v>
      </c>
      <c r="F561" s="5">
        <v>201.8</v>
      </c>
      <c r="G561" s="5">
        <v>100.6</v>
      </c>
      <c r="H561" s="5">
        <v>100.4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99.8</v>
      </c>
      <c r="D562" s="5">
        <v>0.1</v>
      </c>
      <c r="E562" s="5">
        <v>99.9</v>
      </c>
      <c r="F562" s="5">
        <v>199.6</v>
      </c>
      <c r="G562" s="5">
        <v>99.3</v>
      </c>
      <c r="H562" s="5">
        <v>99.2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99.8</v>
      </c>
      <c r="D563" s="5">
        <v>0.1</v>
      </c>
      <c r="E563" s="5">
        <v>99.9</v>
      </c>
      <c r="F563" s="5">
        <v>199.6</v>
      </c>
      <c r="G563" s="5">
        <v>99.3</v>
      </c>
      <c r="H563" s="5">
        <v>99.2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99.8</v>
      </c>
      <c r="D564" s="5">
        <v>0.1</v>
      </c>
      <c r="E564" s="5">
        <v>99.9</v>
      </c>
      <c r="F564" s="5">
        <v>198.5</v>
      </c>
      <c r="G564" s="5">
        <v>99.1</v>
      </c>
      <c r="H564" s="5">
        <v>99.2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99.8</v>
      </c>
      <c r="D565" s="5">
        <v>0.1</v>
      </c>
      <c r="E565" s="5">
        <v>99.9</v>
      </c>
      <c r="F565" s="5">
        <v>198.5</v>
      </c>
      <c r="G565" s="5">
        <v>99.1</v>
      </c>
      <c r="H565" s="5">
        <v>99.2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99.8</v>
      </c>
      <c r="D566" s="5">
        <v>0.1</v>
      </c>
      <c r="E566" s="5">
        <v>99.9</v>
      </c>
      <c r="F566" s="5">
        <v>198.5</v>
      </c>
      <c r="G566" s="5">
        <v>99.1</v>
      </c>
      <c r="H566" s="5">
        <v>99.2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100.5</v>
      </c>
      <c r="D567" s="5">
        <v>0.1</v>
      </c>
      <c r="E567" s="5">
        <v>99.9</v>
      </c>
      <c r="F567" s="5">
        <v>198.5</v>
      </c>
      <c r="G567" s="5">
        <v>99.1</v>
      </c>
      <c r="H567" s="5">
        <v>99.2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100.5</v>
      </c>
      <c r="D568" s="5">
        <v>0.1</v>
      </c>
      <c r="E568" s="5">
        <v>100.5</v>
      </c>
      <c r="F568" s="5">
        <v>199.6</v>
      </c>
      <c r="G568" s="5">
        <v>99.6</v>
      </c>
      <c r="H568" s="5">
        <v>99.5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100.5</v>
      </c>
      <c r="D569" s="5">
        <v>0.1</v>
      </c>
      <c r="E569" s="5">
        <v>100.5</v>
      </c>
      <c r="F569" s="5">
        <v>199.6</v>
      </c>
      <c r="G569" s="5">
        <v>99.6</v>
      </c>
      <c r="H569" s="5">
        <v>99.5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100.2</v>
      </c>
      <c r="D570" s="5">
        <v>0.1</v>
      </c>
      <c r="E570" s="5">
        <v>100.3</v>
      </c>
      <c r="F570" s="5">
        <v>199.8</v>
      </c>
      <c r="G570" s="5">
        <v>99.6</v>
      </c>
      <c r="H570" s="5">
        <v>99.4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100.2</v>
      </c>
      <c r="D571" s="5">
        <v>0.1</v>
      </c>
      <c r="E571" s="5">
        <v>100.3</v>
      </c>
      <c r="F571" s="5">
        <v>199.8</v>
      </c>
      <c r="G571" s="5">
        <v>99.6</v>
      </c>
      <c r="H571" s="5">
        <v>99.4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100.2</v>
      </c>
      <c r="D572" s="5">
        <v>0.1</v>
      </c>
      <c r="E572" s="5">
        <v>100.3</v>
      </c>
      <c r="F572" s="5">
        <v>199.8</v>
      </c>
      <c r="G572" s="5">
        <v>99.6</v>
      </c>
      <c r="H572" s="5">
        <v>99.4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100.2</v>
      </c>
      <c r="D573" s="5">
        <v>0.1</v>
      </c>
      <c r="E573" s="5">
        <v>100.3</v>
      </c>
      <c r="F573" s="5">
        <v>199.8</v>
      </c>
      <c r="G573" s="5">
        <v>99.6</v>
      </c>
      <c r="H573" s="5">
        <v>99.4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100.4</v>
      </c>
      <c r="D574" s="5">
        <v>0.1</v>
      </c>
      <c r="E574" s="5">
        <v>100.5</v>
      </c>
      <c r="F574" s="5">
        <v>201.7</v>
      </c>
      <c r="G574" s="5">
        <v>100.6</v>
      </c>
      <c r="H574" s="5">
        <v>100.4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100.4</v>
      </c>
      <c r="D575" s="5">
        <v>0.1</v>
      </c>
      <c r="E575" s="5">
        <v>100.5</v>
      </c>
      <c r="F575" s="5">
        <v>201.7</v>
      </c>
      <c r="G575" s="5">
        <v>100.6</v>
      </c>
      <c r="H575" s="5">
        <v>100.4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100.4</v>
      </c>
      <c r="D576" s="5">
        <v>0.1</v>
      </c>
      <c r="E576" s="5">
        <v>100.5</v>
      </c>
      <c r="F576" s="5">
        <v>201.7</v>
      </c>
      <c r="G576" s="5">
        <v>100.6</v>
      </c>
      <c r="H576" s="5">
        <v>100.4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100.4</v>
      </c>
      <c r="D577" s="5">
        <v>0.1</v>
      </c>
      <c r="E577" s="5">
        <v>100.5</v>
      </c>
      <c r="F577" s="5">
        <v>201.7</v>
      </c>
      <c r="G577" s="5">
        <v>100.6</v>
      </c>
      <c r="H577" s="5">
        <v>100.4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100.6</v>
      </c>
      <c r="D578" s="5">
        <v>0.1</v>
      </c>
      <c r="E578" s="5">
        <v>100.8</v>
      </c>
      <c r="F578" s="5">
        <v>200.5</v>
      </c>
      <c r="G578" s="5">
        <v>100</v>
      </c>
      <c r="H578" s="5">
        <v>99.9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100.6</v>
      </c>
      <c r="D579" s="5">
        <v>0.1</v>
      </c>
      <c r="E579" s="5">
        <v>100.8</v>
      </c>
      <c r="F579" s="5">
        <v>200.5</v>
      </c>
      <c r="G579" s="5">
        <v>100</v>
      </c>
      <c r="H579" s="5">
        <v>99.9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101.1</v>
      </c>
      <c r="D580" s="5">
        <v>0.1</v>
      </c>
      <c r="E580" s="5">
        <v>101.1</v>
      </c>
      <c r="F580" s="5">
        <v>201.4</v>
      </c>
      <c r="G580" s="5">
        <v>100.5</v>
      </c>
      <c r="H580" s="5">
        <v>100.4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101.1</v>
      </c>
      <c r="D581" s="5">
        <v>0.1</v>
      </c>
      <c r="E581" s="5">
        <v>101.1</v>
      </c>
      <c r="F581" s="5">
        <v>201.4</v>
      </c>
      <c r="G581" s="5">
        <v>100.5</v>
      </c>
      <c r="H581" s="5">
        <v>100.4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100.6</v>
      </c>
      <c r="D582" s="5">
        <v>0.1</v>
      </c>
      <c r="E582" s="5">
        <v>100.8</v>
      </c>
      <c r="F582" s="5">
        <v>200.9</v>
      </c>
      <c r="G582" s="5">
        <v>100.2</v>
      </c>
      <c r="H582" s="5">
        <v>100.1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100.6</v>
      </c>
      <c r="D583" s="5">
        <v>0.1</v>
      </c>
      <c r="E583" s="5">
        <v>100.8</v>
      </c>
      <c r="F583" s="5">
        <v>200.9</v>
      </c>
      <c r="G583" s="5">
        <v>100.2</v>
      </c>
      <c r="H583" s="5">
        <v>100.1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100.3</v>
      </c>
      <c r="D584" s="5">
        <v>0.1</v>
      </c>
      <c r="E584" s="5">
        <v>100.5</v>
      </c>
      <c r="F584" s="5">
        <v>200.4</v>
      </c>
      <c r="G584" s="5">
        <v>100</v>
      </c>
      <c r="H584" s="5">
        <v>99.9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100.3</v>
      </c>
      <c r="D585" s="5">
        <v>0.1</v>
      </c>
      <c r="E585" s="5">
        <v>100.5</v>
      </c>
      <c r="F585" s="5">
        <v>200.4</v>
      </c>
      <c r="G585" s="5">
        <v>100</v>
      </c>
      <c r="H585" s="5">
        <v>99.9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100.3</v>
      </c>
      <c r="D586" s="5">
        <v>0.1</v>
      </c>
      <c r="E586" s="5">
        <v>100.5</v>
      </c>
      <c r="F586" s="5">
        <v>200.4</v>
      </c>
      <c r="G586" s="5">
        <v>100</v>
      </c>
      <c r="H586" s="5">
        <v>99.9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100.3</v>
      </c>
      <c r="D587" s="5">
        <v>0.1</v>
      </c>
      <c r="E587" s="5">
        <v>100.5</v>
      </c>
      <c r="F587" s="5">
        <v>200.4</v>
      </c>
      <c r="G587" s="5">
        <v>100</v>
      </c>
      <c r="H587" s="5">
        <v>99.9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100.8</v>
      </c>
      <c r="D588" s="5">
        <v>0.1</v>
      </c>
      <c r="E588" s="5">
        <v>101</v>
      </c>
      <c r="F588" s="5">
        <v>201.3</v>
      </c>
      <c r="G588" s="5">
        <v>100.4</v>
      </c>
      <c r="H588" s="5">
        <v>100.2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100.8</v>
      </c>
      <c r="D589" s="5">
        <v>0.1</v>
      </c>
      <c r="E589" s="5">
        <v>101</v>
      </c>
      <c r="F589" s="5">
        <v>201.3</v>
      </c>
      <c r="G589" s="5">
        <v>100.4</v>
      </c>
      <c r="H589" s="5">
        <v>100.2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101.3</v>
      </c>
      <c r="D590" s="5">
        <v>0.1</v>
      </c>
      <c r="E590" s="5">
        <v>101.5</v>
      </c>
      <c r="F590" s="5">
        <v>201.2</v>
      </c>
      <c r="G590" s="5">
        <v>100.4</v>
      </c>
      <c r="H590" s="5">
        <v>100.2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101.3</v>
      </c>
      <c r="D591" s="5">
        <v>0.1</v>
      </c>
      <c r="E591" s="5">
        <v>101.5</v>
      </c>
      <c r="F591" s="5">
        <v>201.2</v>
      </c>
      <c r="G591" s="5">
        <v>100.4</v>
      </c>
      <c r="H591" s="5">
        <v>100.2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101.4</v>
      </c>
      <c r="D592" s="5">
        <v>0.1</v>
      </c>
      <c r="E592" s="5">
        <v>101.5</v>
      </c>
      <c r="F592" s="5">
        <v>202.1</v>
      </c>
      <c r="G592" s="5">
        <v>100.8</v>
      </c>
      <c r="H592" s="5">
        <v>100.7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101.4</v>
      </c>
      <c r="D593" s="5">
        <v>0.1</v>
      </c>
      <c r="E593" s="5">
        <v>101.5</v>
      </c>
      <c r="F593" s="5">
        <v>202.1</v>
      </c>
      <c r="G593" s="5">
        <v>100.8</v>
      </c>
      <c r="H593" s="5">
        <v>100.7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100.4</v>
      </c>
      <c r="D594" s="5">
        <v>0.1</v>
      </c>
      <c r="E594" s="5">
        <v>100.5</v>
      </c>
      <c r="F594" s="5">
        <v>201.3</v>
      </c>
      <c r="G594" s="5">
        <v>100.3</v>
      </c>
      <c r="H594" s="5">
        <v>100.1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100.4</v>
      </c>
      <c r="D595" s="5">
        <v>0.1</v>
      </c>
      <c r="E595" s="5">
        <v>100.5</v>
      </c>
      <c r="F595" s="5">
        <v>201.3</v>
      </c>
      <c r="G595" s="5">
        <v>100.3</v>
      </c>
      <c r="H595" s="5">
        <v>100.1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100.4</v>
      </c>
      <c r="D596" s="5">
        <v>0.1</v>
      </c>
      <c r="E596" s="5">
        <v>100.5</v>
      </c>
      <c r="F596" s="5">
        <v>201.3</v>
      </c>
      <c r="G596" s="5">
        <v>100.3</v>
      </c>
      <c r="H596" s="5">
        <v>100.1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101.1</v>
      </c>
      <c r="D597" s="5">
        <v>0.1</v>
      </c>
      <c r="E597" s="5">
        <v>101.3</v>
      </c>
      <c r="F597" s="5">
        <v>201.4</v>
      </c>
      <c r="G597" s="5">
        <v>100.4</v>
      </c>
      <c r="H597" s="5">
        <v>100.2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101.1</v>
      </c>
      <c r="D598" s="5">
        <v>0.1</v>
      </c>
      <c r="E598" s="5">
        <v>101.3</v>
      </c>
      <c r="F598" s="5">
        <v>201.4</v>
      </c>
      <c r="G598" s="5">
        <v>100.4</v>
      </c>
      <c r="H598" s="5">
        <v>100.2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101.1</v>
      </c>
      <c r="D599" s="5">
        <v>0.1</v>
      </c>
      <c r="E599" s="5">
        <v>101.2</v>
      </c>
      <c r="F599" s="5">
        <v>201.9</v>
      </c>
      <c r="G599" s="5">
        <v>100.7</v>
      </c>
      <c r="H599" s="5">
        <v>100.5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101.1</v>
      </c>
      <c r="D600" s="5">
        <v>0.1</v>
      </c>
      <c r="E600" s="5">
        <v>101.2</v>
      </c>
      <c r="F600" s="5">
        <v>201.9</v>
      </c>
      <c r="G600" s="5">
        <v>100.7</v>
      </c>
      <c r="H600" s="5">
        <v>100.5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101.7</v>
      </c>
      <c r="D601" s="5">
        <v>0.1</v>
      </c>
      <c r="E601" s="5">
        <v>101.8</v>
      </c>
      <c r="F601" s="5">
        <v>203.1</v>
      </c>
      <c r="G601" s="5">
        <v>101.3</v>
      </c>
      <c r="H601" s="5">
        <v>101.1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101.7</v>
      </c>
      <c r="D602" s="5">
        <v>0.1</v>
      </c>
      <c r="E602" s="5">
        <v>101.8</v>
      </c>
      <c r="F602" s="5">
        <v>203.1</v>
      </c>
      <c r="G602" s="5">
        <v>101.3</v>
      </c>
      <c r="H602" s="5">
        <v>101.1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101.7</v>
      </c>
      <c r="D603" s="5">
        <v>0.1</v>
      </c>
      <c r="E603" s="5">
        <v>101.1</v>
      </c>
      <c r="F603" s="5">
        <v>201.8</v>
      </c>
      <c r="G603" s="5">
        <v>100.7</v>
      </c>
      <c r="H603" s="5">
        <v>100.5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101</v>
      </c>
      <c r="D604" s="5">
        <v>0.1</v>
      </c>
      <c r="E604" s="5">
        <v>101.1</v>
      </c>
      <c r="F604" s="5">
        <v>201.8</v>
      </c>
      <c r="G604" s="5">
        <v>100.7</v>
      </c>
      <c r="H604" s="5">
        <v>100.5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101</v>
      </c>
      <c r="D605" s="5">
        <v>0.1</v>
      </c>
      <c r="E605" s="5">
        <v>101.1</v>
      </c>
      <c r="F605" s="5">
        <v>201.8</v>
      </c>
      <c r="G605" s="5">
        <v>100.7</v>
      </c>
      <c r="H605" s="5">
        <v>100.5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101</v>
      </c>
      <c r="D606" s="5">
        <v>0.1</v>
      </c>
      <c r="E606" s="5">
        <v>101.1</v>
      </c>
      <c r="F606" s="5">
        <v>201.8</v>
      </c>
      <c r="G606" s="5">
        <v>100.7</v>
      </c>
      <c r="H606" s="5">
        <v>100.5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101.2</v>
      </c>
      <c r="D607" s="5">
        <v>0.1</v>
      </c>
      <c r="E607" s="5">
        <v>101.4</v>
      </c>
      <c r="F607" s="5">
        <v>202.8</v>
      </c>
      <c r="G607" s="5">
        <v>101.1</v>
      </c>
      <c r="H607" s="5">
        <v>100.9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101.2</v>
      </c>
      <c r="D608" s="5">
        <v>0.1</v>
      </c>
      <c r="E608" s="5">
        <v>101.4</v>
      </c>
      <c r="F608" s="5">
        <v>202.8</v>
      </c>
      <c r="G608" s="5">
        <v>101.1</v>
      </c>
      <c r="H608" s="5">
        <v>100.9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101.5</v>
      </c>
      <c r="D609" s="5">
        <v>0.1</v>
      </c>
      <c r="E609" s="5">
        <v>101.7</v>
      </c>
      <c r="F609" s="5">
        <v>202</v>
      </c>
      <c r="G609" s="5">
        <v>100.8</v>
      </c>
      <c r="H609" s="5">
        <v>100.7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101.5</v>
      </c>
      <c r="D610" s="5">
        <v>0.1</v>
      </c>
      <c r="E610" s="5">
        <v>101.7</v>
      </c>
      <c r="F610" s="5">
        <v>202</v>
      </c>
      <c r="G610" s="5">
        <v>100.8</v>
      </c>
      <c r="H610" s="5">
        <v>100.7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100.9</v>
      </c>
      <c r="D611" s="5">
        <v>0.1</v>
      </c>
      <c r="E611" s="5">
        <v>101.1</v>
      </c>
      <c r="F611" s="5">
        <v>202</v>
      </c>
      <c r="G611" s="5">
        <v>100.8</v>
      </c>
      <c r="H611" s="5">
        <v>100.6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100.9</v>
      </c>
      <c r="D612" s="5">
        <v>0.1</v>
      </c>
      <c r="E612" s="5">
        <v>101.1</v>
      </c>
      <c r="F612" s="5">
        <v>202</v>
      </c>
      <c r="G612" s="5">
        <v>100.8</v>
      </c>
      <c r="H612" s="5">
        <v>100.6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101.6</v>
      </c>
      <c r="D613" s="5">
        <v>0.1</v>
      </c>
      <c r="E613" s="5">
        <v>101.8</v>
      </c>
      <c r="F613" s="5">
        <v>202.4</v>
      </c>
      <c r="G613" s="5">
        <v>101</v>
      </c>
      <c r="H613" s="5">
        <v>100.9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101.6</v>
      </c>
      <c r="D614" s="5">
        <v>0.1</v>
      </c>
      <c r="E614" s="5">
        <v>101.8</v>
      </c>
      <c r="F614" s="5">
        <v>202.4</v>
      </c>
      <c r="G614" s="5">
        <v>101</v>
      </c>
      <c r="H614" s="5">
        <v>100.9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101.6</v>
      </c>
      <c r="D615" s="5">
        <v>0.1</v>
      </c>
      <c r="E615" s="5">
        <v>101.8</v>
      </c>
      <c r="F615" s="5">
        <v>202.4</v>
      </c>
      <c r="G615" s="5">
        <v>101</v>
      </c>
      <c r="H615" s="5">
        <v>100.9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101.6</v>
      </c>
      <c r="D616" s="5">
        <v>0.1</v>
      </c>
      <c r="E616" s="5">
        <v>101.8</v>
      </c>
      <c r="F616" s="5">
        <v>202.4</v>
      </c>
      <c r="G616" s="5">
        <v>101</v>
      </c>
      <c r="H616" s="5">
        <v>100.9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100</v>
      </c>
      <c r="D617" s="5">
        <v>0.1</v>
      </c>
      <c r="E617" s="5">
        <v>100.2</v>
      </c>
      <c r="F617" s="5">
        <v>200.5</v>
      </c>
      <c r="G617" s="5">
        <v>100</v>
      </c>
      <c r="H617" s="5">
        <v>100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100</v>
      </c>
      <c r="D618" s="5">
        <v>0.1</v>
      </c>
      <c r="E618" s="5">
        <v>100.2</v>
      </c>
      <c r="F618" s="5">
        <v>200.5</v>
      </c>
      <c r="G618" s="5">
        <v>100</v>
      </c>
      <c r="H618" s="5">
        <v>100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100.5</v>
      </c>
      <c r="D619" s="5">
        <v>0.1</v>
      </c>
      <c r="E619" s="5">
        <v>100.7</v>
      </c>
      <c r="F619" s="5">
        <v>201</v>
      </c>
      <c r="G619" s="5">
        <v>100.3</v>
      </c>
      <c r="H619" s="5">
        <v>100.1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100.5</v>
      </c>
      <c r="D620" s="5">
        <v>0.1</v>
      </c>
      <c r="E620" s="5">
        <v>100.7</v>
      </c>
      <c r="F620" s="5">
        <v>201</v>
      </c>
      <c r="G620" s="5">
        <v>100.3</v>
      </c>
      <c r="H620" s="5">
        <v>100.1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101.3</v>
      </c>
      <c r="D621" s="5">
        <v>0.1</v>
      </c>
      <c r="E621" s="5">
        <v>101.5</v>
      </c>
      <c r="F621" s="5">
        <v>201.6</v>
      </c>
      <c r="G621" s="5">
        <v>100.6</v>
      </c>
      <c r="H621" s="5">
        <v>100.5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101.3</v>
      </c>
      <c r="D622" s="5">
        <v>0.1</v>
      </c>
      <c r="E622" s="5">
        <v>101.5</v>
      </c>
      <c r="F622" s="5">
        <v>201.6</v>
      </c>
      <c r="G622" s="5">
        <v>100.6</v>
      </c>
      <c r="H622" s="5">
        <v>100.5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101.2</v>
      </c>
      <c r="D623" s="5">
        <v>0.1</v>
      </c>
      <c r="E623" s="5">
        <v>101.4</v>
      </c>
      <c r="F623" s="5">
        <v>201.5</v>
      </c>
      <c r="G623" s="5">
        <v>100.6</v>
      </c>
      <c r="H623" s="5">
        <v>100.5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101.2</v>
      </c>
      <c r="D624" s="5">
        <v>0.1</v>
      </c>
      <c r="E624" s="5">
        <v>101.4</v>
      </c>
      <c r="F624" s="5">
        <v>201.5</v>
      </c>
      <c r="G624" s="5">
        <v>100.6</v>
      </c>
      <c r="H624" s="5">
        <v>100.5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101.2</v>
      </c>
      <c r="D625" s="5">
        <v>0.1</v>
      </c>
      <c r="E625" s="5">
        <v>101.4</v>
      </c>
      <c r="F625" s="5">
        <v>201.5</v>
      </c>
      <c r="G625" s="5">
        <v>100.6</v>
      </c>
      <c r="H625" s="5">
        <v>100.5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101.2</v>
      </c>
      <c r="D626" s="5">
        <v>0.1</v>
      </c>
      <c r="E626" s="5">
        <v>101.4</v>
      </c>
      <c r="F626" s="5">
        <v>201.5</v>
      </c>
      <c r="G626" s="5">
        <v>100.6</v>
      </c>
      <c r="H626" s="5">
        <v>100.5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100.5</v>
      </c>
      <c r="D627" s="5">
        <v>0.1</v>
      </c>
      <c r="E627" s="5">
        <v>100.7</v>
      </c>
      <c r="F627" s="5">
        <v>199.8</v>
      </c>
      <c r="G627" s="5">
        <v>99.7</v>
      </c>
      <c r="H627" s="5">
        <v>99.6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100.5</v>
      </c>
      <c r="D628" s="5">
        <v>0.1</v>
      </c>
      <c r="E628" s="5">
        <v>100.7</v>
      </c>
      <c r="F628" s="5">
        <v>199.8</v>
      </c>
      <c r="G628" s="5">
        <v>99.7</v>
      </c>
      <c r="H628" s="5">
        <v>99.6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100.2</v>
      </c>
      <c r="D629" s="5">
        <v>0.1</v>
      </c>
      <c r="E629" s="5">
        <v>100.3</v>
      </c>
      <c r="F629" s="5">
        <v>200.3</v>
      </c>
      <c r="G629" s="5">
        <v>99.9</v>
      </c>
      <c r="H629" s="5">
        <v>99.8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100.2</v>
      </c>
      <c r="D630" s="5">
        <v>0.1</v>
      </c>
      <c r="E630" s="5">
        <v>100.3</v>
      </c>
      <c r="F630" s="5">
        <v>200.3</v>
      </c>
      <c r="G630" s="5">
        <v>99.9</v>
      </c>
      <c r="H630" s="5">
        <v>99.8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98.7</v>
      </c>
      <c r="D631" s="5">
        <v>0.1</v>
      </c>
      <c r="E631" s="5">
        <v>98.9</v>
      </c>
      <c r="F631" s="5">
        <v>197</v>
      </c>
      <c r="G631" s="5">
        <v>98.3</v>
      </c>
      <c r="H631" s="5">
        <v>98.2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98.7</v>
      </c>
      <c r="D632" s="5">
        <v>0.1</v>
      </c>
      <c r="E632" s="5">
        <v>98.9</v>
      </c>
      <c r="F632" s="5">
        <v>197</v>
      </c>
      <c r="G632" s="5">
        <v>98.3</v>
      </c>
      <c r="H632" s="5">
        <v>98.2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98.4</v>
      </c>
      <c r="D633" s="5">
        <v>0.1</v>
      </c>
      <c r="E633" s="5">
        <v>98.6</v>
      </c>
      <c r="F633" s="5">
        <v>197</v>
      </c>
      <c r="G633" s="5">
        <v>98.3</v>
      </c>
      <c r="H633" s="5">
        <v>98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98.4</v>
      </c>
      <c r="D634" s="5">
        <v>0.1</v>
      </c>
      <c r="E634" s="5">
        <v>98.6</v>
      </c>
      <c r="F634" s="5">
        <v>196.9</v>
      </c>
      <c r="G634" s="5">
        <v>98.2</v>
      </c>
      <c r="H634" s="5">
        <v>98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98.4</v>
      </c>
      <c r="D635" s="5">
        <v>0.1</v>
      </c>
      <c r="E635" s="5">
        <v>98.6</v>
      </c>
      <c r="F635" s="5">
        <v>196.9</v>
      </c>
      <c r="G635" s="5">
        <v>98.2</v>
      </c>
      <c r="H635" s="5">
        <v>98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98.4</v>
      </c>
      <c r="D636" s="5">
        <v>0.1</v>
      </c>
      <c r="E636" s="5">
        <v>98.6</v>
      </c>
      <c r="F636" s="5">
        <v>196.9</v>
      </c>
      <c r="G636" s="5">
        <v>98.2</v>
      </c>
      <c r="H636" s="5">
        <v>98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99.2</v>
      </c>
      <c r="D637" s="5">
        <v>0.1</v>
      </c>
      <c r="E637" s="5">
        <v>99.3</v>
      </c>
      <c r="F637" s="5">
        <v>198.4</v>
      </c>
      <c r="G637" s="5">
        <v>98.9</v>
      </c>
      <c r="H637" s="5">
        <v>98.6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99.2</v>
      </c>
      <c r="D638" s="5">
        <v>0.1</v>
      </c>
      <c r="E638" s="5">
        <v>99.3</v>
      </c>
      <c r="F638" s="5">
        <v>198.4</v>
      </c>
      <c r="G638" s="5">
        <v>98.9</v>
      </c>
      <c r="H638" s="5">
        <v>98.6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100.2</v>
      </c>
      <c r="D639" s="5">
        <v>0.1</v>
      </c>
      <c r="E639" s="5">
        <v>100.4</v>
      </c>
      <c r="F639" s="5">
        <v>199.8</v>
      </c>
      <c r="G639" s="5">
        <v>99.6</v>
      </c>
      <c r="H639" s="5">
        <v>99.4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100.2</v>
      </c>
      <c r="D640" s="5">
        <v>0.1</v>
      </c>
      <c r="E640" s="5">
        <v>100.4</v>
      </c>
      <c r="F640" s="5">
        <v>199.8</v>
      </c>
      <c r="G640" s="5">
        <v>99.6</v>
      </c>
      <c r="H640" s="5">
        <v>99.4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99.6</v>
      </c>
      <c r="D641" s="5">
        <v>0.1</v>
      </c>
      <c r="E641" s="5">
        <v>99.8</v>
      </c>
      <c r="F641" s="5">
        <v>199</v>
      </c>
      <c r="G641" s="5">
        <v>99.4</v>
      </c>
      <c r="H641" s="5">
        <v>99.3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99.6</v>
      </c>
      <c r="D642" s="5">
        <v>0.1</v>
      </c>
      <c r="E642" s="5">
        <v>99.8</v>
      </c>
      <c r="F642" s="5">
        <v>199</v>
      </c>
      <c r="G642" s="5">
        <v>99.4</v>
      </c>
      <c r="H642" s="5">
        <v>99.3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100.7</v>
      </c>
      <c r="D643" s="5">
        <v>0.1</v>
      </c>
      <c r="E643" s="5">
        <v>100.8</v>
      </c>
      <c r="F643" s="5">
        <v>201.7</v>
      </c>
      <c r="G643" s="5">
        <v>100.6</v>
      </c>
      <c r="H643" s="5">
        <v>100.4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100.7</v>
      </c>
      <c r="D644" s="5">
        <v>0.1</v>
      </c>
      <c r="E644" s="5">
        <v>100.8</v>
      </c>
      <c r="F644" s="5">
        <v>201.7</v>
      </c>
      <c r="G644" s="5">
        <v>100.6</v>
      </c>
      <c r="H644" s="5">
        <v>100.4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100.7</v>
      </c>
      <c r="D645" s="5">
        <v>0.1</v>
      </c>
      <c r="E645" s="5">
        <v>100.8</v>
      </c>
      <c r="F645" s="5">
        <v>201.7</v>
      </c>
      <c r="G645" s="5">
        <v>100.6</v>
      </c>
      <c r="H645" s="5">
        <v>100.4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100.7</v>
      </c>
      <c r="D646" s="5">
        <v>0.1</v>
      </c>
      <c r="E646" s="5">
        <v>100.8</v>
      </c>
      <c r="F646" s="5">
        <v>201.7</v>
      </c>
      <c r="G646" s="5">
        <v>100.6</v>
      </c>
      <c r="H646" s="5">
        <v>100.4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101.4</v>
      </c>
      <c r="D647" s="5">
        <v>0.1</v>
      </c>
      <c r="E647" s="5">
        <v>101.5</v>
      </c>
      <c r="F647" s="5">
        <v>202.9</v>
      </c>
      <c r="G647" s="5">
        <v>101.2</v>
      </c>
      <c r="H647" s="5">
        <v>101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101.4</v>
      </c>
      <c r="D648" s="5">
        <v>0.1</v>
      </c>
      <c r="E648" s="5">
        <v>101.5</v>
      </c>
      <c r="F648" s="5">
        <v>202.9</v>
      </c>
      <c r="G648" s="5">
        <v>101.2</v>
      </c>
      <c r="H648" s="5">
        <v>101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102.1</v>
      </c>
      <c r="D649" s="5">
        <v>0.1</v>
      </c>
      <c r="E649" s="5">
        <v>102.3</v>
      </c>
      <c r="F649" s="5">
        <v>203.3</v>
      </c>
      <c r="G649" s="5">
        <v>101.4</v>
      </c>
      <c r="H649" s="5">
        <v>101.3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102.1</v>
      </c>
      <c r="D650" s="5">
        <v>0.1</v>
      </c>
      <c r="E650" s="5">
        <v>102.3</v>
      </c>
      <c r="F650" s="5">
        <v>203.3</v>
      </c>
      <c r="G650" s="5">
        <v>101.4</v>
      </c>
      <c r="H650" s="5">
        <v>101.3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102.1</v>
      </c>
      <c r="D651" s="5">
        <v>0.1</v>
      </c>
      <c r="E651" s="5">
        <v>102.1</v>
      </c>
      <c r="F651" s="5">
        <v>203.9</v>
      </c>
      <c r="G651" s="5">
        <v>101.6</v>
      </c>
      <c r="H651" s="5">
        <v>101.5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102.1</v>
      </c>
      <c r="D652" s="5">
        <v>0.1</v>
      </c>
      <c r="E652" s="5">
        <v>102.1</v>
      </c>
      <c r="F652" s="5">
        <v>203.9</v>
      </c>
      <c r="G652" s="5">
        <v>101.6</v>
      </c>
      <c r="H652" s="5">
        <v>101.5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100.8</v>
      </c>
      <c r="D653" s="5">
        <v>0.1</v>
      </c>
      <c r="E653" s="5">
        <v>100.9</v>
      </c>
      <c r="F653" s="5">
        <v>201.7</v>
      </c>
      <c r="G653" s="5">
        <v>100.5</v>
      </c>
      <c r="H653" s="5">
        <v>100.3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100.8</v>
      </c>
      <c r="D654" s="5">
        <v>0.1</v>
      </c>
      <c r="E654" s="5">
        <v>100.9</v>
      </c>
      <c r="F654" s="5">
        <v>201.7</v>
      </c>
      <c r="G654" s="5">
        <v>100.5</v>
      </c>
      <c r="H654" s="5">
        <v>100.3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100.8</v>
      </c>
      <c r="D655" s="5">
        <v>0.1</v>
      </c>
      <c r="E655" s="5">
        <v>100.9</v>
      </c>
      <c r="F655" s="5">
        <v>201.7</v>
      </c>
      <c r="G655" s="5">
        <v>100.5</v>
      </c>
      <c r="H655" s="5">
        <v>100.3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100.8</v>
      </c>
      <c r="D656" s="5">
        <v>0.1</v>
      </c>
      <c r="E656" s="5">
        <v>100.9</v>
      </c>
      <c r="F656" s="5">
        <v>201.7</v>
      </c>
      <c r="G656" s="5">
        <v>100.5</v>
      </c>
      <c r="H656" s="5">
        <v>100.3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102.7</v>
      </c>
      <c r="D657" s="5">
        <v>0.1</v>
      </c>
      <c r="E657" s="5">
        <v>102.9</v>
      </c>
      <c r="F657" s="5">
        <v>204.7</v>
      </c>
      <c r="G657" s="5">
        <v>102.1</v>
      </c>
      <c r="H657" s="5">
        <v>102.1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102.7</v>
      </c>
      <c r="D658" s="5">
        <v>0.1</v>
      </c>
      <c r="E658" s="5">
        <v>102.9</v>
      </c>
      <c r="F658" s="5">
        <v>204.7</v>
      </c>
      <c r="G658" s="5">
        <v>102.1</v>
      </c>
      <c r="H658" s="5">
        <v>102.1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102.2</v>
      </c>
      <c r="D659" s="5">
        <v>0.1</v>
      </c>
      <c r="E659" s="5">
        <v>102.4</v>
      </c>
      <c r="F659" s="5">
        <v>204.2</v>
      </c>
      <c r="G659" s="5">
        <v>101.8</v>
      </c>
      <c r="H659" s="5">
        <v>101.6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102.2</v>
      </c>
      <c r="D660" s="5">
        <v>0.1</v>
      </c>
      <c r="E660" s="5">
        <v>102.4</v>
      </c>
      <c r="F660" s="5">
        <v>204.2</v>
      </c>
      <c r="G660" s="5">
        <v>101.8</v>
      </c>
      <c r="H660" s="5">
        <v>101.6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101.9</v>
      </c>
      <c r="D661" s="5">
        <v>0.1</v>
      </c>
      <c r="E661" s="5">
        <v>102.1</v>
      </c>
      <c r="F661" s="5">
        <v>203.1</v>
      </c>
      <c r="G661" s="5">
        <v>101.2</v>
      </c>
      <c r="H661" s="5">
        <v>101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101.9</v>
      </c>
      <c r="D662" s="5">
        <v>0.1</v>
      </c>
      <c r="E662" s="5">
        <v>102.1</v>
      </c>
      <c r="F662" s="5">
        <v>203.1</v>
      </c>
      <c r="G662" s="5">
        <v>101.2</v>
      </c>
      <c r="H662" s="5">
        <v>101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101.8</v>
      </c>
      <c r="D663" s="5">
        <v>0.1</v>
      </c>
      <c r="E663" s="5">
        <v>102</v>
      </c>
      <c r="F663" s="5">
        <v>202.8</v>
      </c>
      <c r="G663" s="5">
        <v>101.2</v>
      </c>
      <c r="H663" s="5">
        <v>101.1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101.8</v>
      </c>
      <c r="D664" s="5">
        <v>0.1</v>
      </c>
      <c r="E664" s="5">
        <v>102</v>
      </c>
      <c r="F664" s="5">
        <v>202.8</v>
      </c>
      <c r="G664" s="5">
        <v>101.2</v>
      </c>
      <c r="H664" s="5">
        <v>101.1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101.8</v>
      </c>
      <c r="D665" s="5">
        <v>0.1</v>
      </c>
      <c r="E665" s="5">
        <v>102</v>
      </c>
      <c r="F665" s="5">
        <v>202.8</v>
      </c>
      <c r="G665" s="5">
        <v>101.2</v>
      </c>
      <c r="H665" s="5">
        <v>101.1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101.8</v>
      </c>
      <c r="D666" s="5">
        <v>0.1</v>
      </c>
      <c r="E666" s="5">
        <v>102</v>
      </c>
      <c r="F666" s="5">
        <v>202.8</v>
      </c>
      <c r="G666" s="5">
        <v>101.2</v>
      </c>
      <c r="H666" s="5">
        <v>101.1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102.1</v>
      </c>
      <c r="D667" s="5">
        <v>0.1</v>
      </c>
      <c r="E667" s="5">
        <v>102.3</v>
      </c>
      <c r="F667" s="5">
        <v>203.9</v>
      </c>
      <c r="G667" s="5">
        <v>101.7</v>
      </c>
      <c r="H667" s="5">
        <v>101.5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102.1</v>
      </c>
      <c r="D668" s="5">
        <v>0.1</v>
      </c>
      <c r="E668" s="5">
        <v>102.3</v>
      </c>
      <c r="F668" s="5">
        <v>203.9</v>
      </c>
      <c r="G668" s="5">
        <v>101.7</v>
      </c>
      <c r="H668" s="5">
        <v>101.5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100.6</v>
      </c>
      <c r="D669" s="5">
        <v>0.1</v>
      </c>
      <c r="E669" s="5">
        <v>100.8</v>
      </c>
      <c r="F669" s="5">
        <v>201.4</v>
      </c>
      <c r="G669" s="5">
        <v>100.4</v>
      </c>
      <c r="H669" s="5">
        <v>100.3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100.6</v>
      </c>
      <c r="D670" s="5">
        <v>0.1</v>
      </c>
      <c r="E670" s="5">
        <v>100.8</v>
      </c>
      <c r="F670" s="5">
        <v>201.4</v>
      </c>
      <c r="G670" s="5">
        <v>100.4</v>
      </c>
      <c r="H670" s="5">
        <v>100.3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101</v>
      </c>
      <c r="D671" s="5">
        <v>0.1</v>
      </c>
      <c r="E671" s="5">
        <v>101.1</v>
      </c>
      <c r="F671" s="5">
        <v>202.2</v>
      </c>
      <c r="G671" s="5">
        <v>100.8</v>
      </c>
      <c r="H671" s="5">
        <v>100.7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101</v>
      </c>
      <c r="D672" s="5">
        <v>0.1</v>
      </c>
      <c r="E672" s="5">
        <v>101.1</v>
      </c>
      <c r="F672" s="5">
        <v>202.2</v>
      </c>
      <c r="G672" s="5">
        <v>100.8</v>
      </c>
      <c r="H672" s="5">
        <v>100.7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102.2</v>
      </c>
      <c r="D673" s="5">
        <v>0.1</v>
      </c>
      <c r="E673" s="5">
        <v>102.4</v>
      </c>
      <c r="F673" s="5">
        <v>203.8</v>
      </c>
      <c r="G673" s="5">
        <v>101.7</v>
      </c>
      <c r="H673" s="5">
        <v>101.5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102.2</v>
      </c>
      <c r="D674" s="5">
        <v>0.1</v>
      </c>
      <c r="E674" s="5">
        <v>102.4</v>
      </c>
      <c r="F674" s="5">
        <v>203.8</v>
      </c>
      <c r="G674" s="5">
        <v>101.7</v>
      </c>
      <c r="H674" s="5">
        <v>101.5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102.2</v>
      </c>
      <c r="D675" s="5">
        <v>0.1</v>
      </c>
      <c r="E675" s="5">
        <v>102.4</v>
      </c>
      <c r="F675" s="5">
        <v>203.8</v>
      </c>
      <c r="G675" s="5">
        <v>101.7</v>
      </c>
      <c r="H675" s="5">
        <v>101.5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102.2</v>
      </c>
      <c r="D676" s="5">
        <v>0.1</v>
      </c>
      <c r="E676" s="5">
        <v>102.4</v>
      </c>
      <c r="F676" s="5">
        <v>203.8</v>
      </c>
      <c r="G676" s="5">
        <v>101.7</v>
      </c>
      <c r="H676" s="5">
        <v>101.5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101.5</v>
      </c>
      <c r="D677" s="5">
        <v>0.1</v>
      </c>
      <c r="E677" s="5">
        <v>101.5</v>
      </c>
      <c r="F677" s="5">
        <v>202.8</v>
      </c>
      <c r="G677" s="5">
        <v>101.2</v>
      </c>
      <c r="H677" s="5">
        <v>101.1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101.5</v>
      </c>
      <c r="D678" s="5">
        <v>0.1</v>
      </c>
      <c r="E678" s="5">
        <v>101.5</v>
      </c>
      <c r="F678" s="5">
        <v>202.8</v>
      </c>
      <c r="G678" s="5">
        <v>101.2</v>
      </c>
      <c r="H678" s="5">
        <v>101.1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103</v>
      </c>
      <c r="D679" s="5">
        <v>0.1</v>
      </c>
      <c r="E679" s="5">
        <v>103.1</v>
      </c>
      <c r="F679" s="5">
        <v>205.4</v>
      </c>
      <c r="G679" s="5">
        <v>102.5</v>
      </c>
      <c r="H679" s="5">
        <v>102.4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103</v>
      </c>
      <c r="D680" s="5">
        <v>0.1</v>
      </c>
      <c r="E680" s="5">
        <v>103.1</v>
      </c>
      <c r="F680" s="5">
        <v>205.4</v>
      </c>
      <c r="G680" s="5">
        <v>102.5</v>
      </c>
      <c r="H680" s="5">
        <v>102.4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101.8</v>
      </c>
      <c r="D681" s="5">
        <v>0.1</v>
      </c>
      <c r="E681" s="5">
        <v>101.9</v>
      </c>
      <c r="F681" s="5">
        <v>203.7</v>
      </c>
      <c r="G681" s="5">
        <v>101.6</v>
      </c>
      <c r="H681" s="5">
        <v>101.5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101.8</v>
      </c>
      <c r="D682" s="5">
        <v>0.1</v>
      </c>
      <c r="E682" s="5">
        <v>101.9</v>
      </c>
      <c r="F682" s="5">
        <v>203.7</v>
      </c>
      <c r="G682" s="5">
        <v>101.6</v>
      </c>
      <c r="H682" s="5">
        <v>101.5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101.3</v>
      </c>
      <c r="D683" s="5">
        <v>0.1</v>
      </c>
      <c r="E683" s="5">
        <v>101.5</v>
      </c>
      <c r="F683" s="5">
        <v>203.1</v>
      </c>
      <c r="G683" s="5">
        <v>101.3</v>
      </c>
      <c r="H683" s="5">
        <v>101.2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101.3</v>
      </c>
      <c r="D684" s="5">
        <v>0.1</v>
      </c>
      <c r="E684" s="5">
        <v>101.5</v>
      </c>
      <c r="F684" s="5">
        <v>203.1</v>
      </c>
      <c r="G684" s="5">
        <v>101.3</v>
      </c>
      <c r="H684" s="5">
        <v>101.2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101.3</v>
      </c>
      <c r="D685" s="5">
        <v>0.1</v>
      </c>
      <c r="E685" s="5">
        <v>101.5</v>
      </c>
      <c r="F685" s="5">
        <v>203.1</v>
      </c>
      <c r="G685" s="5">
        <v>101.3</v>
      </c>
      <c r="H685" s="5">
        <v>101.2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101.3</v>
      </c>
      <c r="D686" s="5">
        <v>0.1</v>
      </c>
      <c r="E686" s="5">
        <v>101.5</v>
      </c>
      <c r="F686" s="5">
        <v>203.1</v>
      </c>
      <c r="G686" s="5">
        <v>101.8</v>
      </c>
      <c r="H686" s="5">
        <v>101.2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102.1</v>
      </c>
      <c r="D687" s="5">
        <v>0.1</v>
      </c>
      <c r="E687" s="5">
        <v>102.2</v>
      </c>
      <c r="F687" s="5">
        <v>204.3</v>
      </c>
      <c r="G687" s="5">
        <v>101.8</v>
      </c>
      <c r="H687" s="5">
        <v>101.6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102.1</v>
      </c>
      <c r="D688" s="5">
        <v>0.1</v>
      </c>
      <c r="E688" s="5">
        <v>102.2</v>
      </c>
      <c r="F688" s="5">
        <v>204.3</v>
      </c>
      <c r="G688" s="5">
        <v>101.8</v>
      </c>
      <c r="H688" s="5">
        <v>101.6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102.4</v>
      </c>
      <c r="D689" s="5">
        <v>0.1</v>
      </c>
      <c r="E689" s="5">
        <v>102.5</v>
      </c>
      <c r="F689" s="5">
        <v>203.8</v>
      </c>
      <c r="G689" s="5">
        <v>102.2</v>
      </c>
      <c r="H689" s="5">
        <v>101.9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102.4</v>
      </c>
      <c r="D690" s="5">
        <v>0.1</v>
      </c>
      <c r="E690" s="5">
        <v>102.5</v>
      </c>
      <c r="F690" s="5">
        <v>203.8</v>
      </c>
      <c r="G690" s="5">
        <v>102.2</v>
      </c>
      <c r="H690" s="5">
        <v>101.9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101.8</v>
      </c>
      <c r="D691" s="5">
        <v>0.1</v>
      </c>
      <c r="E691" s="5">
        <v>102</v>
      </c>
      <c r="F691" s="5">
        <v>204.6</v>
      </c>
      <c r="G691" s="5">
        <v>101.6</v>
      </c>
      <c r="H691" s="5">
        <v>101.5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101.8</v>
      </c>
      <c r="D692" s="5">
        <v>0.1</v>
      </c>
      <c r="E692" s="5">
        <v>102</v>
      </c>
      <c r="F692" s="5">
        <v>204.6</v>
      </c>
      <c r="G692" s="5">
        <v>101.6</v>
      </c>
      <c r="H692" s="5">
        <v>101.5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103.1</v>
      </c>
      <c r="D693" s="5">
        <v>0.1</v>
      </c>
      <c r="E693" s="5">
        <v>103.3</v>
      </c>
      <c r="F693" s="5">
        <v>205.9</v>
      </c>
      <c r="G693" s="5">
        <v>102.8</v>
      </c>
      <c r="H693" s="5">
        <v>102.7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103.1</v>
      </c>
      <c r="D694" s="5">
        <v>0.1</v>
      </c>
      <c r="E694" s="5">
        <v>103.3</v>
      </c>
      <c r="F694" s="5">
        <v>205.9</v>
      </c>
      <c r="G694" s="5">
        <v>102.8</v>
      </c>
      <c r="H694" s="5">
        <v>102.7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103.1</v>
      </c>
      <c r="D695" s="5">
        <v>0.1</v>
      </c>
      <c r="E695" s="5">
        <v>103.3</v>
      </c>
      <c r="F695" s="5">
        <v>205.9</v>
      </c>
      <c r="G695" s="5">
        <v>102.8</v>
      </c>
      <c r="H695" s="5">
        <v>102.7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103.1</v>
      </c>
      <c r="D696" s="5">
        <v>0.1</v>
      </c>
      <c r="E696" s="5">
        <v>103.3</v>
      </c>
      <c r="F696" s="5">
        <v>205.9</v>
      </c>
      <c r="G696" s="5">
        <v>102.8</v>
      </c>
      <c r="H696" s="5">
        <v>102.7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103.1</v>
      </c>
      <c r="D697" s="5">
        <v>0.1</v>
      </c>
      <c r="E697" s="5">
        <v>103.3</v>
      </c>
      <c r="F697" s="5">
        <v>205.9</v>
      </c>
      <c r="G697" s="5">
        <v>102.8</v>
      </c>
      <c r="H697" s="5">
        <v>102.7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103.1</v>
      </c>
      <c r="D698" s="5">
        <v>0.1</v>
      </c>
      <c r="E698" s="5">
        <v>103.3</v>
      </c>
      <c r="F698" s="5">
        <v>205.9</v>
      </c>
      <c r="G698" s="5">
        <v>102.8</v>
      </c>
      <c r="H698" s="5">
        <v>102.7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103.1</v>
      </c>
      <c r="D699" s="5">
        <v>0.1</v>
      </c>
      <c r="E699" s="5">
        <v>103.3</v>
      </c>
      <c r="F699" s="5">
        <v>205.9</v>
      </c>
      <c r="G699" s="5">
        <v>102.8</v>
      </c>
      <c r="H699" s="5">
        <v>102.7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103.1</v>
      </c>
      <c r="D700" s="5">
        <v>0.1</v>
      </c>
      <c r="E700" s="5">
        <v>103.3</v>
      </c>
      <c r="F700" s="5">
        <v>205.9</v>
      </c>
      <c r="G700" s="5">
        <v>102.8</v>
      </c>
      <c r="H700" s="5">
        <v>102.7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103.1</v>
      </c>
      <c r="D701" s="5">
        <v>0.1</v>
      </c>
      <c r="E701" s="5">
        <v>103.3</v>
      </c>
      <c r="F701" s="5">
        <v>205.9</v>
      </c>
      <c r="G701" s="5">
        <v>102.8</v>
      </c>
      <c r="H701" s="5">
        <v>102.7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103.1</v>
      </c>
      <c r="D702" s="5">
        <v>0.1</v>
      </c>
      <c r="E702" s="5">
        <v>103.3</v>
      </c>
      <c r="F702" s="5">
        <v>205.9</v>
      </c>
      <c r="G702" s="5">
        <v>102.8</v>
      </c>
      <c r="H702" s="5">
        <v>102.7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104</v>
      </c>
      <c r="D703" s="5">
        <v>0.1</v>
      </c>
      <c r="E703" s="5">
        <v>104.1</v>
      </c>
      <c r="F703" s="5">
        <v>207.1</v>
      </c>
      <c r="G703" s="5">
        <v>103.4</v>
      </c>
      <c r="H703" s="5">
        <v>103.2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104</v>
      </c>
      <c r="D704" s="5">
        <v>0.1</v>
      </c>
      <c r="E704" s="5">
        <v>104.1</v>
      </c>
      <c r="F704" s="5">
        <v>207.1</v>
      </c>
      <c r="G704" s="5">
        <v>103.4</v>
      </c>
      <c r="H704" s="5">
        <v>103.2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104</v>
      </c>
      <c r="D705" s="5">
        <v>0.1</v>
      </c>
      <c r="E705" s="5">
        <v>104.1</v>
      </c>
      <c r="F705" s="5">
        <v>207.1</v>
      </c>
      <c r="G705" s="5">
        <v>103.4</v>
      </c>
      <c r="H705" s="5">
        <v>103.2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104</v>
      </c>
      <c r="D706" s="5">
        <v>0.1</v>
      </c>
      <c r="E706" s="5">
        <v>104.1</v>
      </c>
      <c r="F706" s="5">
        <v>207.1</v>
      </c>
      <c r="G706" s="5">
        <v>103.4</v>
      </c>
      <c r="H706" s="5">
        <v>103.2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101.8</v>
      </c>
      <c r="D707" s="5">
        <v>0.1</v>
      </c>
      <c r="E707" s="5">
        <v>102</v>
      </c>
      <c r="F707" s="5">
        <v>203.1</v>
      </c>
      <c r="G707" s="5">
        <v>101.3</v>
      </c>
      <c r="H707" s="5">
        <v>101.2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101.8</v>
      </c>
      <c r="D708" s="5">
        <v>0.1</v>
      </c>
      <c r="E708" s="5">
        <v>102</v>
      </c>
      <c r="F708" s="5">
        <v>203.1</v>
      </c>
      <c r="G708" s="5">
        <v>101.3</v>
      </c>
      <c r="H708" s="5">
        <v>101.2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101.9</v>
      </c>
      <c r="D709" s="5">
        <v>0.1</v>
      </c>
      <c r="E709" s="5">
        <v>102</v>
      </c>
      <c r="F709" s="5">
        <v>202.6</v>
      </c>
      <c r="G709" s="5">
        <v>101.1</v>
      </c>
      <c r="H709" s="5">
        <v>101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101.9</v>
      </c>
      <c r="D710" s="5">
        <v>0.1</v>
      </c>
      <c r="E710" s="5">
        <v>102</v>
      </c>
      <c r="F710" s="5">
        <v>202.6</v>
      </c>
      <c r="G710" s="5">
        <v>101.1</v>
      </c>
      <c r="H710" s="5">
        <v>101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101.9</v>
      </c>
      <c r="D711" s="5">
        <v>0.1</v>
      </c>
      <c r="E711" s="5">
        <v>102.1</v>
      </c>
      <c r="F711" s="5">
        <v>202.7</v>
      </c>
      <c r="G711" s="5">
        <v>101.2</v>
      </c>
      <c r="H711" s="5">
        <v>101.1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101.9</v>
      </c>
      <c r="D712" s="5">
        <v>0.1</v>
      </c>
      <c r="E712" s="5">
        <v>102.1</v>
      </c>
      <c r="F712" s="5">
        <v>202.7</v>
      </c>
      <c r="G712" s="5">
        <v>101.2</v>
      </c>
      <c r="H712" s="5">
        <v>101.1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101.7</v>
      </c>
      <c r="D713" s="5">
        <v>0.1</v>
      </c>
      <c r="E713" s="5">
        <v>101.8</v>
      </c>
      <c r="F713" s="5">
        <v>203.7</v>
      </c>
      <c r="G713" s="5">
        <v>101.6</v>
      </c>
      <c r="H713" s="5">
        <v>101.5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101.7</v>
      </c>
      <c r="D714" s="5">
        <v>0.1</v>
      </c>
      <c r="E714" s="5">
        <v>101.8</v>
      </c>
      <c r="F714" s="5">
        <v>203.7</v>
      </c>
      <c r="G714" s="5">
        <v>101.6</v>
      </c>
      <c r="H714" s="5">
        <v>101.5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101.7</v>
      </c>
      <c r="D715" s="5">
        <v>0.1</v>
      </c>
      <c r="E715" s="5">
        <v>101.8</v>
      </c>
      <c r="F715" s="5">
        <v>203.7</v>
      </c>
      <c r="G715" s="5">
        <v>101.6</v>
      </c>
      <c r="H715" s="5">
        <v>101.5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101.7</v>
      </c>
      <c r="D716" s="5">
        <v>0.1</v>
      </c>
      <c r="E716" s="5">
        <v>101.8</v>
      </c>
      <c r="F716" s="5">
        <v>203.7</v>
      </c>
      <c r="G716" s="5">
        <v>101.4</v>
      </c>
      <c r="H716" s="5">
        <v>101.3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101.7</v>
      </c>
      <c r="D717" s="5">
        <v>0.1</v>
      </c>
      <c r="E717" s="5">
        <v>101.8</v>
      </c>
      <c r="F717" s="5">
        <v>203.2</v>
      </c>
      <c r="G717" s="5">
        <v>101.4</v>
      </c>
      <c r="H717" s="5">
        <v>101.3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101.7</v>
      </c>
      <c r="D718" s="5">
        <v>0.1</v>
      </c>
      <c r="E718" s="5">
        <v>101.8</v>
      </c>
      <c r="F718" s="5">
        <v>203.2</v>
      </c>
      <c r="G718" s="5">
        <v>101.4</v>
      </c>
      <c r="H718" s="5">
        <v>102.2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103.5</v>
      </c>
      <c r="D719" s="5">
        <v>0.1</v>
      </c>
      <c r="E719" s="5">
        <v>103.7</v>
      </c>
      <c r="F719" s="5">
        <v>204.6</v>
      </c>
      <c r="G719" s="5">
        <v>102.2</v>
      </c>
      <c r="H719" s="5">
        <v>102.2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103.5</v>
      </c>
      <c r="D720" s="5">
        <v>0.1</v>
      </c>
      <c r="E720" s="5">
        <v>103.7</v>
      </c>
      <c r="F720" s="5">
        <v>204.6</v>
      </c>
      <c r="G720" s="5">
        <v>102.2</v>
      </c>
      <c r="H720" s="5">
        <v>101.5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102.4</v>
      </c>
      <c r="D721" s="5">
        <v>0.1</v>
      </c>
      <c r="E721" s="5">
        <v>102.6</v>
      </c>
      <c r="F721" s="5">
        <v>203.8</v>
      </c>
      <c r="G721" s="5">
        <v>101.7</v>
      </c>
      <c r="H721" s="5">
        <v>101.5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102.4</v>
      </c>
      <c r="D722" s="5">
        <v>0.1</v>
      </c>
      <c r="E722" s="5">
        <v>102.6</v>
      </c>
      <c r="F722" s="5">
        <v>203.8</v>
      </c>
      <c r="G722" s="5">
        <v>101.7</v>
      </c>
      <c r="H722" s="5">
        <v>101.5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101.9</v>
      </c>
      <c r="D723" s="5">
        <v>0.1</v>
      </c>
      <c r="E723" s="5">
        <v>102.1</v>
      </c>
      <c r="F723" s="5">
        <v>203.3</v>
      </c>
      <c r="G723" s="5">
        <v>101.4</v>
      </c>
      <c r="H723" s="5">
        <v>101.3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101.9</v>
      </c>
      <c r="D724" s="5">
        <v>0.1</v>
      </c>
      <c r="E724" s="5">
        <v>102.1</v>
      </c>
      <c r="F724" s="5">
        <v>203.3</v>
      </c>
      <c r="G724" s="5">
        <v>101.4</v>
      </c>
      <c r="H724" s="5">
        <v>101.3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101.9</v>
      </c>
      <c r="D725" s="5">
        <v>0.1</v>
      </c>
      <c r="E725" s="5">
        <v>102.1</v>
      </c>
      <c r="F725" s="5">
        <v>203.3</v>
      </c>
      <c r="G725" s="5">
        <v>101.4</v>
      </c>
      <c r="H725" s="5">
        <v>101.3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102.1</v>
      </c>
      <c r="D726" s="5">
        <v>0.1</v>
      </c>
      <c r="E726" s="5">
        <v>102.3</v>
      </c>
      <c r="F726" s="5">
        <v>203.5</v>
      </c>
      <c r="G726" s="5">
        <v>101.6</v>
      </c>
      <c r="H726" s="5">
        <v>101.5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102.1</v>
      </c>
      <c r="D727" s="5">
        <v>0.1</v>
      </c>
      <c r="E727" s="5">
        <v>102.3</v>
      </c>
      <c r="F727" s="5">
        <v>203.5</v>
      </c>
      <c r="G727" s="5">
        <v>101.6</v>
      </c>
      <c r="H727" s="5">
        <v>101.5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101.8</v>
      </c>
      <c r="D728" s="5">
        <v>0.1</v>
      </c>
      <c r="E728" s="5">
        <v>102</v>
      </c>
      <c r="F728" s="5">
        <v>203.3</v>
      </c>
      <c r="G728" s="5">
        <v>101.5</v>
      </c>
      <c r="H728" s="5">
        <v>101.3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101.8</v>
      </c>
      <c r="D729" s="5">
        <v>0.1</v>
      </c>
      <c r="E729" s="5">
        <v>102</v>
      </c>
      <c r="F729" s="5">
        <v>203.3</v>
      </c>
      <c r="G729" s="5">
        <v>101.5</v>
      </c>
      <c r="H729" s="5">
        <v>101.3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101.9</v>
      </c>
      <c r="D730" s="5">
        <v>0.1</v>
      </c>
      <c r="E730" s="5">
        <v>102.1</v>
      </c>
      <c r="F730" s="5">
        <v>202.6</v>
      </c>
      <c r="G730" s="5">
        <v>101.1</v>
      </c>
      <c r="H730" s="5">
        <v>101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101.9</v>
      </c>
      <c r="D731" s="5">
        <v>0.1</v>
      </c>
      <c r="E731" s="5">
        <v>102.1</v>
      </c>
      <c r="F731" s="5">
        <v>202.6</v>
      </c>
      <c r="G731" s="5">
        <v>101.1</v>
      </c>
      <c r="H731" s="5">
        <v>101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101.9</v>
      </c>
      <c r="D732" s="5">
        <v>0.1</v>
      </c>
      <c r="E732" s="5">
        <v>102</v>
      </c>
      <c r="F732" s="5">
        <v>202.6</v>
      </c>
      <c r="G732" s="5">
        <v>101.1</v>
      </c>
      <c r="H732" s="5">
        <v>101.1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101.9</v>
      </c>
      <c r="D733" s="5">
        <v>0.1</v>
      </c>
      <c r="E733" s="5">
        <v>102</v>
      </c>
      <c r="F733" s="5">
        <v>202.6</v>
      </c>
      <c r="G733" s="5">
        <v>101.1</v>
      </c>
      <c r="H733" s="5">
        <v>101.1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101.9</v>
      </c>
      <c r="D734" s="5">
        <v>0.1</v>
      </c>
      <c r="E734" s="5">
        <v>102</v>
      </c>
      <c r="F734" s="5">
        <v>202.6</v>
      </c>
      <c r="G734" s="5">
        <v>101.1</v>
      </c>
      <c r="H734" s="5">
        <v>101.1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101.9</v>
      </c>
      <c r="D735" s="5">
        <v>0.1</v>
      </c>
      <c r="E735" s="5">
        <v>102</v>
      </c>
      <c r="F735" s="5">
        <v>202.6</v>
      </c>
      <c r="G735" s="5">
        <v>101.1</v>
      </c>
      <c r="H735" s="5">
        <v>101.1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101.9</v>
      </c>
      <c r="D736" s="5">
        <v>0.1</v>
      </c>
      <c r="E736" s="5">
        <v>102.1</v>
      </c>
      <c r="F736" s="5">
        <v>203.7</v>
      </c>
      <c r="G736" s="5">
        <v>101.7</v>
      </c>
      <c r="H736" s="5">
        <v>101.6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101.9</v>
      </c>
      <c r="D737" s="5">
        <v>0.1</v>
      </c>
      <c r="E737" s="5">
        <v>102.1</v>
      </c>
      <c r="F737" s="5">
        <v>203.7</v>
      </c>
      <c r="G737" s="5">
        <v>101.7</v>
      </c>
      <c r="H737" s="5">
        <v>101.6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101.5</v>
      </c>
      <c r="D738" s="5">
        <v>0.1</v>
      </c>
      <c r="E738" s="5">
        <v>101.7</v>
      </c>
      <c r="F738" s="5">
        <v>203.7</v>
      </c>
      <c r="G738" s="5">
        <v>101.7</v>
      </c>
      <c r="H738" s="5">
        <v>101.6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101.5</v>
      </c>
      <c r="D739" s="5">
        <v>0.1</v>
      </c>
      <c r="E739" s="5">
        <v>101.7</v>
      </c>
      <c r="F739" s="5">
        <v>203.1</v>
      </c>
      <c r="G739" s="5">
        <v>101.3</v>
      </c>
      <c r="H739" s="5">
        <v>101.1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101.5</v>
      </c>
      <c r="D740" s="5">
        <v>0.1</v>
      </c>
      <c r="E740" s="5">
        <v>101.7</v>
      </c>
      <c r="F740" s="5">
        <v>203.1</v>
      </c>
      <c r="G740" s="5">
        <v>101.3</v>
      </c>
      <c r="H740" s="5">
        <v>101.1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101.5</v>
      </c>
      <c r="D741" s="5">
        <v>0.1</v>
      </c>
      <c r="E741" s="5">
        <v>101.7</v>
      </c>
      <c r="F741" s="5">
        <v>203.1</v>
      </c>
      <c r="G741" s="5">
        <v>101.3</v>
      </c>
      <c r="H741" s="5">
        <v>101.1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101.5</v>
      </c>
      <c r="D742" s="5">
        <v>0.1</v>
      </c>
      <c r="E742" s="5">
        <v>101.7</v>
      </c>
      <c r="F742" s="5">
        <v>203.1</v>
      </c>
      <c r="G742" s="5">
        <v>101.3</v>
      </c>
      <c r="H742" s="5">
        <v>101.1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100.1</v>
      </c>
      <c r="D743" s="5">
        <v>0.1</v>
      </c>
      <c r="E743" s="5">
        <v>100.2</v>
      </c>
      <c r="F743" s="5">
        <v>202.2</v>
      </c>
      <c r="G743" s="5">
        <v>100.8</v>
      </c>
      <c r="H743" s="5">
        <v>100.5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100.1</v>
      </c>
      <c r="D744" s="5">
        <v>0.1</v>
      </c>
      <c r="E744" s="5">
        <v>100.2</v>
      </c>
      <c r="F744" s="5">
        <v>202.2</v>
      </c>
      <c r="G744" s="5">
        <v>100.8</v>
      </c>
      <c r="H744" s="5">
        <v>100.5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100.1</v>
      </c>
      <c r="D745" s="5">
        <v>0.1</v>
      </c>
      <c r="E745" s="5">
        <v>100.2</v>
      </c>
      <c r="F745" s="5">
        <v>202.2</v>
      </c>
      <c r="G745" s="5">
        <v>100.8</v>
      </c>
      <c r="H745" s="5">
        <v>100.5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100.1</v>
      </c>
      <c r="D746" s="5">
        <v>0.1</v>
      </c>
      <c r="E746" s="5">
        <v>100.2</v>
      </c>
      <c r="F746" s="5">
        <v>202.2</v>
      </c>
      <c r="G746" s="5">
        <v>101.1</v>
      </c>
      <c r="H746" s="5">
        <v>101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101.6</v>
      </c>
      <c r="D747" s="5">
        <v>0.1</v>
      </c>
      <c r="E747" s="5">
        <v>101.8</v>
      </c>
      <c r="F747" s="5">
        <v>202.8</v>
      </c>
      <c r="G747" s="5">
        <v>101.1</v>
      </c>
      <c r="H747" s="5">
        <v>101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101.6</v>
      </c>
      <c r="D748" s="5">
        <v>0.1</v>
      </c>
      <c r="E748" s="5">
        <v>101.8</v>
      </c>
      <c r="F748" s="5">
        <v>202.8</v>
      </c>
      <c r="G748" s="5">
        <v>101.1</v>
      </c>
      <c r="H748" s="5">
        <v>101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101.7</v>
      </c>
      <c r="D749" s="5">
        <v>0.1</v>
      </c>
      <c r="E749" s="5">
        <v>101.8</v>
      </c>
      <c r="F749" s="5">
        <v>202.7</v>
      </c>
      <c r="G749" s="5">
        <v>101.1</v>
      </c>
      <c r="H749" s="5">
        <v>101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101.7</v>
      </c>
      <c r="D750" s="5">
        <v>0.1</v>
      </c>
      <c r="E750" s="5">
        <v>101.8</v>
      </c>
      <c r="F750" s="5">
        <v>202.7</v>
      </c>
      <c r="G750" s="5">
        <v>101.1</v>
      </c>
      <c r="H750" s="5">
        <v>101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101.7</v>
      </c>
      <c r="D751" s="5">
        <v>0.1</v>
      </c>
      <c r="E751" s="5">
        <v>101.8</v>
      </c>
      <c r="F751" s="5">
        <v>203.2</v>
      </c>
      <c r="G751" s="5">
        <v>101.4</v>
      </c>
      <c r="H751" s="5">
        <v>101.3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101.7</v>
      </c>
      <c r="D752" s="5">
        <v>0.1</v>
      </c>
      <c r="E752" s="5">
        <v>101.8</v>
      </c>
      <c r="F752" s="5">
        <v>203.2</v>
      </c>
      <c r="G752" s="5">
        <v>101.4</v>
      </c>
      <c r="H752" s="5">
        <v>101.3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101.7</v>
      </c>
      <c r="D753" s="5">
        <v>0.1</v>
      </c>
      <c r="E753" s="5">
        <v>101.8</v>
      </c>
      <c r="F753" s="5">
        <v>202.7</v>
      </c>
      <c r="G753" s="5">
        <v>101.1</v>
      </c>
      <c r="H753" s="5">
        <v>101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101.7</v>
      </c>
      <c r="D754" s="5">
        <v>0.1</v>
      </c>
      <c r="E754" s="5">
        <v>101.8</v>
      </c>
      <c r="F754" s="5">
        <v>202.7</v>
      </c>
      <c r="G754" s="5">
        <v>101.1</v>
      </c>
      <c r="H754" s="5">
        <v>101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101.7</v>
      </c>
      <c r="D755" s="5">
        <v>0.1</v>
      </c>
      <c r="E755" s="5">
        <v>101.8</v>
      </c>
      <c r="F755" s="5">
        <v>202.7</v>
      </c>
      <c r="G755" s="5">
        <v>101.1</v>
      </c>
      <c r="H755" s="5">
        <v>101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100.5</v>
      </c>
      <c r="D756" s="5">
        <v>0.1</v>
      </c>
      <c r="E756" s="5">
        <v>100.6</v>
      </c>
      <c r="F756" s="5">
        <v>200.6</v>
      </c>
      <c r="G756" s="5">
        <v>100.1</v>
      </c>
      <c r="H756" s="5">
        <v>100.1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100.5</v>
      </c>
      <c r="D757" s="5">
        <v>0.1</v>
      </c>
      <c r="E757" s="5">
        <v>100.6</v>
      </c>
      <c r="F757" s="5">
        <v>200.6</v>
      </c>
      <c r="G757" s="5">
        <v>100.1</v>
      </c>
      <c r="H757" s="5">
        <v>100.1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100.5</v>
      </c>
      <c r="D758" s="5">
        <v>0.1</v>
      </c>
      <c r="E758" s="5">
        <v>100.6</v>
      </c>
      <c r="F758" s="5">
        <v>200.4</v>
      </c>
      <c r="G758" s="5">
        <v>100</v>
      </c>
      <c r="H758" s="5">
        <v>100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100.5</v>
      </c>
      <c r="D759" s="5">
        <v>0.1</v>
      </c>
      <c r="E759" s="5">
        <v>100.6</v>
      </c>
      <c r="F759" s="5">
        <v>200.4</v>
      </c>
      <c r="G759" s="5">
        <v>100</v>
      </c>
      <c r="H759" s="5">
        <v>100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101.6</v>
      </c>
      <c r="D760" s="5">
        <v>0.1</v>
      </c>
      <c r="E760" s="5">
        <v>101.8</v>
      </c>
      <c r="F760" s="5">
        <v>200.7</v>
      </c>
      <c r="G760" s="5">
        <v>100.2</v>
      </c>
      <c r="H760" s="5">
        <v>100.2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101.6</v>
      </c>
      <c r="D761" s="5">
        <v>0.1</v>
      </c>
      <c r="E761" s="5">
        <v>101.8</v>
      </c>
      <c r="F761" s="5">
        <v>200.7</v>
      </c>
      <c r="G761" s="5">
        <v>100.2</v>
      </c>
      <c r="H761" s="5">
        <v>100.2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100.6</v>
      </c>
      <c r="D762" s="5">
        <v>0.1</v>
      </c>
      <c r="E762" s="5">
        <v>100.7</v>
      </c>
      <c r="F762" s="5">
        <v>202.8</v>
      </c>
      <c r="G762" s="5">
        <v>101.1</v>
      </c>
      <c r="H762" s="5">
        <v>100.9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100.6</v>
      </c>
      <c r="D763" s="5">
        <v>0.1</v>
      </c>
      <c r="E763" s="5">
        <v>100.7</v>
      </c>
      <c r="F763" s="5">
        <v>202.8</v>
      </c>
      <c r="G763" s="5">
        <v>101.1</v>
      </c>
      <c r="H763" s="5">
        <v>100.9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100.6</v>
      </c>
      <c r="D764" s="5">
        <v>0.1</v>
      </c>
      <c r="E764" s="5">
        <v>100.7</v>
      </c>
      <c r="F764" s="5">
        <v>202.8</v>
      </c>
      <c r="G764" s="5">
        <v>101.1</v>
      </c>
      <c r="H764" s="5">
        <v>100.9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100.6</v>
      </c>
      <c r="D765" s="5">
        <v>0.1</v>
      </c>
      <c r="E765" s="5">
        <v>100.7</v>
      </c>
      <c r="F765" s="5">
        <v>202.8</v>
      </c>
      <c r="G765" s="5">
        <v>101.1</v>
      </c>
      <c r="H765" s="5">
        <v>100.9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101.6</v>
      </c>
      <c r="D766" s="5">
        <v>0.1</v>
      </c>
      <c r="E766" s="5">
        <v>101.8</v>
      </c>
      <c r="F766" s="5">
        <v>203.6</v>
      </c>
      <c r="G766" s="5">
        <v>101.6</v>
      </c>
      <c r="H766" s="5">
        <v>101.5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101.6</v>
      </c>
      <c r="D767" s="5">
        <v>0.1</v>
      </c>
      <c r="E767" s="5">
        <v>101.8</v>
      </c>
      <c r="F767" s="5">
        <v>203.6</v>
      </c>
      <c r="G767" s="5">
        <v>101.6</v>
      </c>
      <c r="H767" s="5">
        <v>101.5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101.8</v>
      </c>
      <c r="D768" s="5">
        <v>0.1</v>
      </c>
      <c r="E768" s="5">
        <v>101.9</v>
      </c>
      <c r="F768" s="5">
        <v>203.4</v>
      </c>
      <c r="G768" s="5">
        <v>101.5</v>
      </c>
      <c r="H768" s="5">
        <v>101.2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101.8</v>
      </c>
      <c r="D769" s="5">
        <v>0.1</v>
      </c>
      <c r="E769" s="5">
        <v>101.9</v>
      </c>
      <c r="F769" s="5">
        <v>203.4</v>
      </c>
      <c r="G769" s="5">
        <v>101.5</v>
      </c>
      <c r="H769" s="5">
        <v>101.2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101.7</v>
      </c>
      <c r="D770" s="5">
        <v>0.1</v>
      </c>
      <c r="E770" s="5">
        <v>101.8</v>
      </c>
      <c r="F770" s="5">
        <v>202.9</v>
      </c>
      <c r="G770" s="5">
        <v>101.3</v>
      </c>
      <c r="H770" s="5">
        <v>101.3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101.7</v>
      </c>
      <c r="D771" s="5">
        <v>0.1</v>
      </c>
      <c r="E771" s="5">
        <v>101.8</v>
      </c>
      <c r="F771" s="5">
        <v>202.9</v>
      </c>
      <c r="G771" s="5">
        <v>101.3</v>
      </c>
      <c r="H771" s="5">
        <v>101.3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102.2</v>
      </c>
      <c r="D772" s="5">
        <v>0.1</v>
      </c>
      <c r="E772" s="5">
        <v>102.4</v>
      </c>
      <c r="F772" s="5">
        <v>203.8</v>
      </c>
      <c r="G772" s="5">
        <v>101.7</v>
      </c>
      <c r="H772" s="5">
        <v>101.5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102.2</v>
      </c>
      <c r="D773" s="5">
        <v>0.1</v>
      </c>
      <c r="E773" s="5">
        <v>102.4</v>
      </c>
      <c r="F773" s="5">
        <v>203.8</v>
      </c>
      <c r="G773" s="5">
        <v>101.7</v>
      </c>
      <c r="H773" s="5">
        <v>101.5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102.2</v>
      </c>
      <c r="D774" s="5">
        <v>0.1</v>
      </c>
      <c r="E774" s="5">
        <v>102.4</v>
      </c>
      <c r="F774" s="5">
        <v>203.8</v>
      </c>
      <c r="G774" s="5">
        <v>101.7</v>
      </c>
      <c r="H774" s="5">
        <v>101.5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102.2</v>
      </c>
      <c r="D775" s="5">
        <v>0.1</v>
      </c>
      <c r="E775" s="5">
        <v>102.4</v>
      </c>
      <c r="F775" s="5">
        <v>203.8</v>
      </c>
      <c r="G775" s="5">
        <v>101.7</v>
      </c>
      <c r="H775" s="5">
        <v>101.5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102.1</v>
      </c>
      <c r="D776" s="5">
        <v>0.1</v>
      </c>
      <c r="E776" s="5">
        <v>102.2</v>
      </c>
      <c r="F776" s="5">
        <v>204</v>
      </c>
      <c r="G776" s="5">
        <v>101.9</v>
      </c>
      <c r="H776" s="5">
        <v>101.8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102.1</v>
      </c>
      <c r="D777" s="5">
        <v>0.1</v>
      </c>
      <c r="E777" s="5">
        <v>102.2</v>
      </c>
      <c r="F777" s="5">
        <v>204</v>
      </c>
      <c r="G777" s="5">
        <v>101.9</v>
      </c>
      <c r="H777" s="5">
        <v>101.8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102.2</v>
      </c>
      <c r="D778" s="5">
        <v>0.1</v>
      </c>
      <c r="E778" s="5">
        <v>102.4</v>
      </c>
      <c r="F778" s="5">
        <v>203.7</v>
      </c>
      <c r="G778" s="5">
        <v>101.7</v>
      </c>
      <c r="H778" s="5">
        <v>101.6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102.2</v>
      </c>
      <c r="D779" s="5">
        <v>0.1</v>
      </c>
      <c r="E779" s="5">
        <v>102.4</v>
      </c>
      <c r="F779" s="5">
        <v>203.7</v>
      </c>
      <c r="G779" s="5">
        <v>101.7</v>
      </c>
      <c r="H779" s="5">
        <v>101.6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102.1</v>
      </c>
      <c r="D780" s="5">
        <v>0.1</v>
      </c>
      <c r="E780" s="5">
        <v>102.3</v>
      </c>
      <c r="F780" s="5">
        <v>204.8</v>
      </c>
      <c r="G780" s="5">
        <v>102.1</v>
      </c>
      <c r="H780" s="5">
        <v>101.9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102.1</v>
      </c>
      <c r="D781" s="5">
        <v>0.1</v>
      </c>
      <c r="E781" s="5">
        <v>102.3</v>
      </c>
      <c r="F781" s="5">
        <v>204.8</v>
      </c>
      <c r="G781" s="5">
        <v>102.1</v>
      </c>
      <c r="H781" s="5">
        <v>101.9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102.2</v>
      </c>
      <c r="D782" s="5">
        <v>0.1</v>
      </c>
      <c r="E782" s="5">
        <v>102.4</v>
      </c>
      <c r="F782" s="5">
        <v>203.7</v>
      </c>
      <c r="G782" s="5">
        <v>101.6</v>
      </c>
      <c r="H782" s="5">
        <v>101.5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102.2</v>
      </c>
      <c r="D783" s="5">
        <v>0.1</v>
      </c>
      <c r="E783" s="5">
        <v>102.4</v>
      </c>
      <c r="F783" s="5">
        <v>203.7</v>
      </c>
      <c r="G783" s="5">
        <v>101.6</v>
      </c>
      <c r="H783" s="5">
        <v>101.5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102.2</v>
      </c>
      <c r="D784" s="5">
        <v>0.1</v>
      </c>
      <c r="E784" s="5">
        <v>102.4</v>
      </c>
      <c r="F784" s="5">
        <v>203.7</v>
      </c>
      <c r="G784" s="5">
        <v>101.6</v>
      </c>
      <c r="H784" s="5">
        <v>101.5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102.2</v>
      </c>
      <c r="D785" s="5">
        <v>0.1</v>
      </c>
      <c r="E785" s="5">
        <v>102.4</v>
      </c>
      <c r="F785" s="5">
        <v>203.7</v>
      </c>
      <c r="G785" s="5">
        <v>101.6</v>
      </c>
      <c r="H785" s="5">
        <v>101.5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101.8</v>
      </c>
      <c r="D786" s="5">
        <v>0.1</v>
      </c>
      <c r="E786" s="5">
        <v>102</v>
      </c>
      <c r="F786" s="5">
        <v>203.4</v>
      </c>
      <c r="G786" s="5">
        <v>101.5</v>
      </c>
      <c r="H786" s="5">
        <v>101.2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101.8</v>
      </c>
      <c r="D787" s="5">
        <v>0.1</v>
      </c>
      <c r="E787" s="5">
        <v>102</v>
      </c>
      <c r="F787" s="5">
        <v>203.4</v>
      </c>
      <c r="G787" s="5">
        <v>101.5</v>
      </c>
      <c r="H787" s="5">
        <v>101.2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101.5</v>
      </c>
      <c r="D788" s="5">
        <v>0.1</v>
      </c>
      <c r="E788" s="5">
        <v>101.5</v>
      </c>
      <c r="F788" s="5">
        <v>203</v>
      </c>
      <c r="G788" s="5">
        <v>101.2</v>
      </c>
      <c r="H788" s="5">
        <v>101.1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101.5</v>
      </c>
      <c r="D789" s="5">
        <v>0.1</v>
      </c>
      <c r="E789" s="5">
        <v>101.5</v>
      </c>
      <c r="F789" s="5">
        <v>203</v>
      </c>
      <c r="G789" s="5">
        <v>101.2</v>
      </c>
      <c r="H789" s="5">
        <v>101.1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101.5</v>
      </c>
      <c r="D790" s="5">
        <v>0.1</v>
      </c>
      <c r="E790" s="5">
        <v>101.5</v>
      </c>
      <c r="F790" s="5">
        <v>203</v>
      </c>
      <c r="G790" s="5">
        <v>101.2</v>
      </c>
      <c r="H790" s="5">
        <v>101.1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101.5</v>
      </c>
      <c r="D791" s="5">
        <v>0.1</v>
      </c>
      <c r="E791" s="5">
        <v>101.5</v>
      </c>
      <c r="F791" s="5">
        <v>203</v>
      </c>
      <c r="G791" s="5">
        <v>101.2</v>
      </c>
      <c r="H791" s="5">
        <v>101.1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100.5</v>
      </c>
      <c r="D792" s="5">
        <v>0.1</v>
      </c>
      <c r="E792" s="5">
        <v>100.7</v>
      </c>
      <c r="F792" s="5">
        <v>201.6</v>
      </c>
      <c r="G792" s="5">
        <v>100.5</v>
      </c>
      <c r="H792" s="5">
        <v>100.2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100.5</v>
      </c>
      <c r="D793" s="5">
        <v>0.1</v>
      </c>
      <c r="E793" s="5">
        <v>100.7</v>
      </c>
      <c r="F793" s="5">
        <v>201.6</v>
      </c>
      <c r="G793" s="5">
        <v>100.5</v>
      </c>
      <c r="H793" s="5">
        <v>100.2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100.5</v>
      </c>
      <c r="D794" s="5">
        <v>0.1</v>
      </c>
      <c r="E794" s="5">
        <v>100.7</v>
      </c>
      <c r="F794" s="5">
        <v>201.6</v>
      </c>
      <c r="G794" s="5">
        <v>100.5</v>
      </c>
      <c r="H794" s="5">
        <v>100.2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100.5</v>
      </c>
      <c r="D795" s="5">
        <v>0.1</v>
      </c>
      <c r="E795" s="5">
        <v>100.7</v>
      </c>
      <c r="F795" s="5">
        <v>201.6</v>
      </c>
      <c r="G795" s="5">
        <v>100.5</v>
      </c>
      <c r="H795" s="5">
        <v>100.2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101.5</v>
      </c>
      <c r="D796" s="5">
        <v>0.1</v>
      </c>
      <c r="E796" s="5">
        <v>101.6</v>
      </c>
      <c r="F796" s="5">
        <v>202</v>
      </c>
      <c r="G796" s="5">
        <v>100.7</v>
      </c>
      <c r="H796" s="5">
        <v>100.5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101.5</v>
      </c>
      <c r="D797" s="5">
        <v>0.1</v>
      </c>
      <c r="E797" s="5">
        <v>101.6</v>
      </c>
      <c r="F797" s="5">
        <v>202</v>
      </c>
      <c r="G797" s="5">
        <v>100.7</v>
      </c>
      <c r="H797" s="5">
        <v>100.5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100.5</v>
      </c>
      <c r="D798" s="5">
        <v>0.1</v>
      </c>
      <c r="E798" s="5">
        <v>100.7</v>
      </c>
      <c r="F798" s="5">
        <v>201.2</v>
      </c>
      <c r="G798" s="5">
        <v>100.4</v>
      </c>
      <c r="H798" s="5">
        <v>100.2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100.5</v>
      </c>
      <c r="D799" s="5">
        <v>0.1</v>
      </c>
      <c r="E799" s="5">
        <v>100.7</v>
      </c>
      <c r="F799" s="5">
        <v>201.2</v>
      </c>
      <c r="G799" s="5">
        <v>100.4</v>
      </c>
      <c r="H799" s="5">
        <v>100.2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100.8</v>
      </c>
      <c r="D800" s="5">
        <v>0.1</v>
      </c>
      <c r="E800" s="5">
        <v>100.9</v>
      </c>
      <c r="F800" s="5">
        <v>201</v>
      </c>
      <c r="G800" s="5">
        <v>100.3</v>
      </c>
      <c r="H800" s="5">
        <v>100.2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100.8</v>
      </c>
      <c r="D801" s="5">
        <v>0.1</v>
      </c>
      <c r="E801" s="5">
        <v>100.9</v>
      </c>
      <c r="F801" s="5">
        <v>201</v>
      </c>
      <c r="G801" s="5">
        <v>100.3</v>
      </c>
      <c r="H801" s="5">
        <v>100.2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100.5</v>
      </c>
      <c r="D802" s="5">
        <v>0.1</v>
      </c>
      <c r="E802" s="5">
        <v>100.7</v>
      </c>
      <c r="F802" s="5">
        <v>201.3</v>
      </c>
      <c r="G802" s="5">
        <v>100.3</v>
      </c>
      <c r="H802" s="5">
        <v>100.2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100.5</v>
      </c>
      <c r="D803" s="5">
        <v>0.1</v>
      </c>
      <c r="E803" s="5">
        <v>100.7</v>
      </c>
      <c r="F803" s="5">
        <v>201.3</v>
      </c>
      <c r="G803" s="5">
        <v>100.3</v>
      </c>
      <c r="H803" s="5">
        <v>100.2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100.5</v>
      </c>
      <c r="D804" s="5">
        <v>0.1</v>
      </c>
      <c r="E804" s="5">
        <v>100.7</v>
      </c>
      <c r="F804" s="5">
        <v>201.3</v>
      </c>
      <c r="G804" s="5">
        <v>100.3</v>
      </c>
      <c r="H804" s="5">
        <v>100.2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100.5</v>
      </c>
      <c r="D805" s="5">
        <v>0.1</v>
      </c>
      <c r="E805" s="5">
        <v>100.7</v>
      </c>
      <c r="F805" s="5">
        <v>201.3</v>
      </c>
      <c r="G805" s="5">
        <v>100.3</v>
      </c>
      <c r="H805" s="5">
        <v>100.2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100.5</v>
      </c>
      <c r="D806" s="5">
        <v>0.1</v>
      </c>
      <c r="E806" s="5">
        <v>100.6</v>
      </c>
      <c r="F806" s="5">
        <v>201.6</v>
      </c>
      <c r="G806" s="5">
        <v>100.6</v>
      </c>
      <c r="H806" s="5">
        <v>100.4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100.5</v>
      </c>
      <c r="D807" s="5">
        <v>0.1</v>
      </c>
      <c r="E807" s="5">
        <v>100.6</v>
      </c>
      <c r="F807" s="5">
        <v>201.6</v>
      </c>
      <c r="G807" s="5">
        <v>100.6</v>
      </c>
      <c r="H807" s="5">
        <v>100.4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101.4</v>
      </c>
      <c r="D808" s="5">
        <v>0.1</v>
      </c>
      <c r="E808" s="5">
        <v>101.5</v>
      </c>
      <c r="F808" s="5">
        <v>201.8</v>
      </c>
      <c r="G808" s="5">
        <v>100.6</v>
      </c>
      <c r="H808" s="5">
        <v>100.4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101.4</v>
      </c>
      <c r="D809" s="5">
        <v>0.1</v>
      </c>
      <c r="E809" s="5">
        <v>101.5</v>
      </c>
      <c r="F809" s="5">
        <v>201.8</v>
      </c>
      <c r="G809" s="5">
        <v>100.6</v>
      </c>
      <c r="H809" s="5">
        <v>100.4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101.3</v>
      </c>
      <c r="D810" s="5">
        <v>0.1</v>
      </c>
      <c r="E810" s="5">
        <v>101.5</v>
      </c>
      <c r="F810" s="5">
        <v>201.6</v>
      </c>
      <c r="G810" s="5">
        <v>100.5</v>
      </c>
      <c r="H810" s="5">
        <v>100.3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101.3</v>
      </c>
      <c r="D811" s="5">
        <v>0.1</v>
      </c>
      <c r="E811" s="5">
        <v>101.5</v>
      </c>
      <c r="F811" s="5">
        <v>201.6</v>
      </c>
      <c r="G811" s="5">
        <v>100.5</v>
      </c>
      <c r="H811" s="5">
        <v>100.3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101.1</v>
      </c>
      <c r="D812" s="5">
        <v>0.1</v>
      </c>
      <c r="E812" s="5">
        <v>101.3</v>
      </c>
      <c r="F812" s="5">
        <v>201.4</v>
      </c>
      <c r="G812" s="5">
        <v>100.4</v>
      </c>
      <c r="H812" s="5">
        <v>100.3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101.1</v>
      </c>
      <c r="D813" s="5">
        <v>0.1</v>
      </c>
      <c r="E813" s="5">
        <v>101.3</v>
      </c>
      <c r="F813" s="5">
        <v>201.4</v>
      </c>
      <c r="G813" s="5">
        <v>100.4</v>
      </c>
      <c r="H813" s="5">
        <v>100.3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101.1</v>
      </c>
      <c r="D814" s="5">
        <v>0.1</v>
      </c>
      <c r="E814" s="5">
        <v>101.3</v>
      </c>
      <c r="F814" s="5">
        <v>201.4</v>
      </c>
      <c r="G814" s="5">
        <v>100.4</v>
      </c>
      <c r="H814" s="5">
        <v>100.3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101.1</v>
      </c>
      <c r="D815" s="5">
        <v>0.1</v>
      </c>
      <c r="E815" s="5">
        <v>101.3</v>
      </c>
      <c r="F815" s="5">
        <v>201.4</v>
      </c>
      <c r="G815" s="5">
        <v>100.4</v>
      </c>
      <c r="H815" s="5">
        <v>100.3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101.1</v>
      </c>
      <c r="D816" s="5">
        <v>0.1</v>
      </c>
      <c r="E816" s="5">
        <v>101.2</v>
      </c>
      <c r="F816" s="5">
        <v>201.6</v>
      </c>
      <c r="G816" s="5">
        <v>100.6</v>
      </c>
      <c r="H816" s="5">
        <v>100.5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101.1</v>
      </c>
      <c r="D817" s="5">
        <v>0.1</v>
      </c>
      <c r="E817" s="5">
        <v>101.2</v>
      </c>
      <c r="F817" s="5">
        <v>201.6</v>
      </c>
      <c r="G817" s="5">
        <v>100.6</v>
      </c>
      <c r="H817" s="5">
        <v>100.5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101.3</v>
      </c>
      <c r="D818" s="5">
        <v>0.1</v>
      </c>
      <c r="E818" s="5">
        <v>101.5</v>
      </c>
      <c r="F818" s="5">
        <v>202.4</v>
      </c>
      <c r="G818" s="5">
        <v>100.9</v>
      </c>
      <c r="H818" s="5">
        <v>100.8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101.3</v>
      </c>
      <c r="D819" s="5">
        <v>0.1</v>
      </c>
      <c r="E819" s="5">
        <v>101.5</v>
      </c>
      <c r="F819" s="5">
        <v>202.4</v>
      </c>
      <c r="G819" s="5">
        <v>100.9</v>
      </c>
      <c r="H819" s="5">
        <v>100.8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101.3</v>
      </c>
      <c r="D820" s="5">
        <v>0.1</v>
      </c>
      <c r="E820" s="5">
        <v>101.5</v>
      </c>
      <c r="F820" s="5">
        <v>200.7</v>
      </c>
      <c r="G820" s="5">
        <v>100.3</v>
      </c>
      <c r="H820" s="5">
        <v>100.3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101.3</v>
      </c>
      <c r="D821" s="5">
        <v>0.1</v>
      </c>
      <c r="E821" s="5">
        <v>101.5</v>
      </c>
      <c r="F821" s="5">
        <v>200.7</v>
      </c>
      <c r="G821" s="5">
        <v>100.3</v>
      </c>
      <c r="H821" s="5">
        <v>100.3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101.5</v>
      </c>
      <c r="D822" s="5">
        <v>0.1</v>
      </c>
      <c r="E822" s="5">
        <v>101.6</v>
      </c>
      <c r="F822" s="5">
        <v>202.2</v>
      </c>
      <c r="G822" s="5">
        <v>100.9</v>
      </c>
      <c r="H822" s="5">
        <v>100.7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101.5</v>
      </c>
      <c r="D823" s="5">
        <v>0.1</v>
      </c>
      <c r="E823" s="5">
        <v>101.6</v>
      </c>
      <c r="F823" s="5">
        <v>202.2</v>
      </c>
      <c r="G823" s="5">
        <v>100.9</v>
      </c>
      <c r="H823" s="5">
        <v>100.7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101.5</v>
      </c>
      <c r="D824" s="5">
        <v>0.1</v>
      </c>
      <c r="E824" s="5">
        <v>101.6</v>
      </c>
      <c r="F824" s="5">
        <v>202.2</v>
      </c>
      <c r="G824" s="5">
        <v>100.9</v>
      </c>
      <c r="H824" s="5">
        <v>100.7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101.5</v>
      </c>
      <c r="D825" s="5">
        <v>0.1</v>
      </c>
      <c r="E825" s="5">
        <v>101.6</v>
      </c>
      <c r="F825" s="5">
        <v>202.2</v>
      </c>
      <c r="G825" s="5">
        <v>100.9</v>
      </c>
      <c r="H825" s="5">
        <v>100.7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101.5</v>
      </c>
      <c r="D826" s="5">
        <v>0.1</v>
      </c>
      <c r="E826" s="5">
        <v>101.6</v>
      </c>
      <c r="F826" s="5">
        <v>202.2</v>
      </c>
      <c r="G826" s="5">
        <v>100.9</v>
      </c>
      <c r="H826" s="5">
        <v>100.7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101.5</v>
      </c>
      <c r="D827" s="5">
        <v>0.1</v>
      </c>
      <c r="E827" s="5">
        <v>101.6</v>
      </c>
      <c r="F827" s="5">
        <v>202.2</v>
      </c>
      <c r="G827" s="5">
        <v>100.9</v>
      </c>
      <c r="H827" s="5">
        <v>100.7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101.5</v>
      </c>
      <c r="D828" s="5">
        <v>0.1</v>
      </c>
      <c r="E828" s="5">
        <v>101.7</v>
      </c>
      <c r="F828" s="5">
        <v>201.8</v>
      </c>
      <c r="G828" s="5">
        <v>100.7</v>
      </c>
      <c r="H828" s="5">
        <v>100.7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101.5</v>
      </c>
      <c r="D829" s="5">
        <v>0.1</v>
      </c>
      <c r="E829" s="5">
        <v>101.7</v>
      </c>
      <c r="F829" s="5">
        <v>201.8</v>
      </c>
      <c r="G829" s="5">
        <v>100.7</v>
      </c>
      <c r="H829" s="5">
        <v>100.7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102.1</v>
      </c>
      <c r="D830" s="5">
        <v>0.1</v>
      </c>
      <c r="E830" s="5">
        <v>102.2</v>
      </c>
      <c r="F830" s="5">
        <v>204.4</v>
      </c>
      <c r="G830" s="5">
        <v>102</v>
      </c>
      <c r="H830" s="5">
        <v>101.8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102.1</v>
      </c>
      <c r="D831" s="5">
        <v>0.1</v>
      </c>
      <c r="E831" s="5">
        <v>102.2</v>
      </c>
      <c r="F831" s="5">
        <v>204.4</v>
      </c>
      <c r="G831" s="5">
        <v>102</v>
      </c>
      <c r="H831" s="5">
        <v>101.8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103.2</v>
      </c>
      <c r="D832" s="5">
        <v>0.1</v>
      </c>
      <c r="E832" s="5">
        <v>103.4</v>
      </c>
      <c r="F832" s="5">
        <v>206.2</v>
      </c>
      <c r="G832" s="5">
        <v>102.9</v>
      </c>
      <c r="H832" s="5">
        <v>102.7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103.2</v>
      </c>
      <c r="D833" s="5">
        <v>0.1</v>
      </c>
      <c r="E833" s="5">
        <v>103.4</v>
      </c>
      <c r="F833" s="5">
        <v>206.2</v>
      </c>
      <c r="G833" s="5">
        <v>102.9</v>
      </c>
      <c r="H833" s="5">
        <v>102.7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103.2</v>
      </c>
      <c r="D834" s="5">
        <v>0.1</v>
      </c>
      <c r="E834" s="5">
        <v>103.4</v>
      </c>
      <c r="F834" s="5">
        <v>206.2</v>
      </c>
      <c r="G834" s="5">
        <v>102.9</v>
      </c>
      <c r="H834" s="5">
        <v>102.7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103.2</v>
      </c>
      <c r="D835" s="5">
        <v>0.1</v>
      </c>
      <c r="E835" s="5">
        <v>103.4</v>
      </c>
      <c r="F835" s="5">
        <v>206.2</v>
      </c>
      <c r="G835" s="5">
        <v>102.9</v>
      </c>
      <c r="H835" s="5">
        <v>102.7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103.1</v>
      </c>
      <c r="D836" s="5">
        <v>0.1</v>
      </c>
      <c r="E836" s="5">
        <v>103.3</v>
      </c>
      <c r="F836" s="5">
        <v>206</v>
      </c>
      <c r="G836" s="5">
        <v>102.8</v>
      </c>
      <c r="H836" s="5">
        <v>102.7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103.1</v>
      </c>
      <c r="D837" s="5">
        <v>0.1</v>
      </c>
      <c r="E837" s="5">
        <v>103.3</v>
      </c>
      <c r="F837" s="5">
        <v>206</v>
      </c>
      <c r="G837" s="5">
        <v>102.8</v>
      </c>
      <c r="H837" s="5">
        <v>102.7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102.7</v>
      </c>
      <c r="D838" s="5">
        <v>0.1</v>
      </c>
      <c r="E838" s="5">
        <v>102.9</v>
      </c>
      <c r="F838" s="5">
        <v>205</v>
      </c>
      <c r="G838" s="5">
        <v>102.3</v>
      </c>
      <c r="H838" s="5">
        <v>102.2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102.7</v>
      </c>
      <c r="D839" s="5">
        <v>0.1</v>
      </c>
      <c r="E839" s="5">
        <v>102.9</v>
      </c>
      <c r="F839" s="5">
        <v>205</v>
      </c>
      <c r="G839" s="5">
        <v>102.3</v>
      </c>
      <c r="H839" s="5">
        <v>102.2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103.3</v>
      </c>
      <c r="D840" s="5">
        <v>0.1</v>
      </c>
      <c r="E840" s="5">
        <v>103.4</v>
      </c>
      <c r="F840" s="5">
        <v>206.3</v>
      </c>
      <c r="G840" s="5">
        <v>102.9</v>
      </c>
      <c r="H840" s="5">
        <v>102.8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103.3</v>
      </c>
      <c r="D841" s="5">
        <v>0.1</v>
      </c>
      <c r="E841" s="5">
        <v>103.4</v>
      </c>
      <c r="F841" s="5">
        <v>206.3</v>
      </c>
      <c r="G841" s="5">
        <v>102.9</v>
      </c>
      <c r="H841" s="5">
        <v>102.8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103.4</v>
      </c>
      <c r="D842" s="5">
        <v>0.1</v>
      </c>
      <c r="E842" s="5">
        <v>103.5</v>
      </c>
      <c r="F842" s="5">
        <v>206.8</v>
      </c>
      <c r="G842" s="5">
        <v>103.1</v>
      </c>
      <c r="H842" s="5">
        <v>103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103.4</v>
      </c>
      <c r="D843" s="5">
        <v>0.1</v>
      </c>
      <c r="E843" s="5">
        <v>103.5</v>
      </c>
      <c r="F843" s="5">
        <v>206.8</v>
      </c>
      <c r="G843" s="5">
        <v>103.1</v>
      </c>
      <c r="H843" s="5">
        <v>103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103.4</v>
      </c>
      <c r="D844" s="5">
        <v>0.1</v>
      </c>
      <c r="E844" s="5">
        <v>103.5</v>
      </c>
      <c r="F844" s="5">
        <v>206.8</v>
      </c>
      <c r="G844" s="5">
        <v>103.1</v>
      </c>
      <c r="H844" s="5">
        <v>103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103.4</v>
      </c>
      <c r="D845" s="5">
        <v>0.1</v>
      </c>
      <c r="E845" s="5">
        <v>104</v>
      </c>
      <c r="F845" s="5">
        <v>206.7</v>
      </c>
      <c r="G845" s="5">
        <v>103.1</v>
      </c>
      <c r="H845" s="5">
        <v>103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103.9</v>
      </c>
      <c r="D846" s="5">
        <v>0.1</v>
      </c>
      <c r="E846" s="5">
        <v>104</v>
      </c>
      <c r="F846" s="5">
        <v>206.7</v>
      </c>
      <c r="G846" s="5">
        <v>103.1</v>
      </c>
      <c r="H846" s="5">
        <v>103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103.9</v>
      </c>
      <c r="D847" s="5">
        <v>0.1</v>
      </c>
      <c r="E847" s="5">
        <v>104.5</v>
      </c>
      <c r="F847" s="5">
        <v>207.9</v>
      </c>
      <c r="G847" s="5">
        <v>103.7</v>
      </c>
      <c r="H847" s="5">
        <v>103.6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104.4</v>
      </c>
      <c r="D848" s="5">
        <v>0.1</v>
      </c>
      <c r="E848" s="5">
        <v>104.5</v>
      </c>
      <c r="F848" s="5">
        <v>207.9</v>
      </c>
      <c r="G848" s="5">
        <v>103.7</v>
      </c>
      <c r="H848" s="5">
        <v>103.6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104.4</v>
      </c>
      <c r="D849" s="5">
        <v>0.1</v>
      </c>
      <c r="E849" s="5">
        <v>104.5</v>
      </c>
      <c r="F849" s="5">
        <v>205.8</v>
      </c>
      <c r="G849" s="5">
        <v>102.6</v>
      </c>
      <c r="H849" s="5">
        <v>102.5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103.1</v>
      </c>
      <c r="D850" s="5">
        <v>0.1</v>
      </c>
      <c r="E850" s="5">
        <v>103.3</v>
      </c>
      <c r="F850" s="5">
        <v>205.8</v>
      </c>
      <c r="G850" s="5">
        <v>102.6</v>
      </c>
      <c r="H850" s="5">
        <v>102.5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103.1</v>
      </c>
      <c r="D851" s="5">
        <v>0.1</v>
      </c>
      <c r="E851" s="5">
        <v>103.3</v>
      </c>
      <c r="F851" s="5">
        <v>205.8</v>
      </c>
      <c r="G851" s="5">
        <v>102.6</v>
      </c>
      <c r="H851" s="5">
        <v>103.3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104.1</v>
      </c>
      <c r="D852" s="5">
        <v>0.1</v>
      </c>
      <c r="E852" s="5">
        <v>104.3</v>
      </c>
      <c r="F852" s="5">
        <v>207.3</v>
      </c>
      <c r="G852" s="5">
        <v>103.4</v>
      </c>
      <c r="H852" s="5">
        <v>103.3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104.1</v>
      </c>
      <c r="D853" s="5">
        <v>0.1</v>
      </c>
      <c r="E853" s="5">
        <v>104.3</v>
      </c>
      <c r="F853" s="5">
        <v>207.3</v>
      </c>
      <c r="G853" s="5">
        <v>103.4</v>
      </c>
      <c r="H853" s="5">
        <v>103.3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104.1</v>
      </c>
      <c r="D854" s="5">
        <v>0.1</v>
      </c>
      <c r="E854" s="5">
        <v>104.3</v>
      </c>
      <c r="F854" s="5">
        <v>207.3</v>
      </c>
      <c r="G854" s="5">
        <v>103.4</v>
      </c>
      <c r="H854" s="5">
        <v>103.3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102.1</v>
      </c>
      <c r="D855" s="5">
        <v>0.1</v>
      </c>
      <c r="E855" s="5">
        <v>102.2</v>
      </c>
      <c r="F855" s="5">
        <v>204.7</v>
      </c>
      <c r="G855" s="5">
        <v>102.1</v>
      </c>
      <c r="H855" s="5">
        <v>101.9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102.1</v>
      </c>
      <c r="D856" s="5">
        <v>0.1</v>
      </c>
      <c r="E856" s="5">
        <v>102.2</v>
      </c>
      <c r="F856" s="5">
        <v>204.7</v>
      </c>
      <c r="G856" s="5">
        <v>102.1</v>
      </c>
      <c r="H856" s="5">
        <v>101.9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102.4</v>
      </c>
      <c r="D857" s="5">
        <v>0.1</v>
      </c>
      <c r="E857" s="5">
        <v>102.6</v>
      </c>
      <c r="F857" s="5">
        <v>204.9</v>
      </c>
      <c r="G857" s="5">
        <v>102.3</v>
      </c>
      <c r="H857" s="5">
        <v>102.2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102.4</v>
      </c>
      <c r="D858" s="5">
        <v>0.1</v>
      </c>
      <c r="E858" s="5">
        <v>102.6</v>
      </c>
      <c r="F858" s="5">
        <v>204.9</v>
      </c>
      <c r="G858" s="5">
        <v>102.3</v>
      </c>
      <c r="H858" s="5">
        <v>102.2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102.7</v>
      </c>
      <c r="D859" s="5">
        <v>0.1</v>
      </c>
      <c r="E859" s="5">
        <v>102.9</v>
      </c>
      <c r="F859" s="5">
        <v>204.8</v>
      </c>
      <c r="G859" s="5">
        <v>102.2</v>
      </c>
      <c r="H859" s="5">
        <v>102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102.7</v>
      </c>
      <c r="D860" s="5">
        <v>0.1</v>
      </c>
      <c r="E860" s="5">
        <v>102.9</v>
      </c>
      <c r="F860" s="5">
        <v>204.8</v>
      </c>
      <c r="G860" s="5">
        <v>102.2</v>
      </c>
      <c r="H860" s="5">
        <v>102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102.6</v>
      </c>
      <c r="D861" s="5">
        <v>0.1</v>
      </c>
      <c r="E861" s="5">
        <v>102.7</v>
      </c>
      <c r="F861" s="5">
        <v>204.4</v>
      </c>
      <c r="G861" s="5">
        <v>102</v>
      </c>
      <c r="H861" s="5">
        <v>101.9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102.6</v>
      </c>
      <c r="D862" s="5">
        <v>0.1</v>
      </c>
      <c r="E862" s="5">
        <v>102.7</v>
      </c>
      <c r="F862" s="5">
        <v>204.4</v>
      </c>
      <c r="G862" s="5">
        <v>102</v>
      </c>
      <c r="H862" s="5">
        <v>101.9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102.6</v>
      </c>
      <c r="D863" s="5">
        <v>0.1</v>
      </c>
      <c r="E863" s="5">
        <v>102.7</v>
      </c>
      <c r="F863" s="5">
        <v>204.4</v>
      </c>
      <c r="G863" s="5">
        <v>102</v>
      </c>
      <c r="H863" s="5">
        <v>101.9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102.6</v>
      </c>
      <c r="D864" s="5">
        <v>0.1</v>
      </c>
      <c r="E864" s="5">
        <v>102.7</v>
      </c>
      <c r="F864" s="5">
        <v>204.4</v>
      </c>
      <c r="G864" s="5">
        <v>102</v>
      </c>
      <c r="H864" s="5">
        <v>101.9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100.6</v>
      </c>
      <c r="D865" s="5">
        <v>0.1</v>
      </c>
      <c r="E865" s="5">
        <v>100.8</v>
      </c>
      <c r="F865" s="5">
        <v>201.2</v>
      </c>
      <c r="G865" s="5">
        <v>100.5</v>
      </c>
      <c r="H865" s="5">
        <v>100.5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100.6</v>
      </c>
      <c r="D866" s="5">
        <v>0.1</v>
      </c>
      <c r="E866" s="5">
        <v>100.8</v>
      </c>
      <c r="F866" s="5">
        <v>201.2</v>
      </c>
      <c r="G866" s="5">
        <v>100.5</v>
      </c>
      <c r="H866" s="5">
        <v>100.5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101</v>
      </c>
      <c r="D867" s="5">
        <v>0.1</v>
      </c>
      <c r="E867" s="5">
        <v>101.1</v>
      </c>
      <c r="F867" s="5">
        <v>202.8</v>
      </c>
      <c r="G867" s="5">
        <v>100.6</v>
      </c>
      <c r="H867" s="5">
        <v>99.9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101</v>
      </c>
      <c r="D868" s="5">
        <v>0.1</v>
      </c>
      <c r="E868" s="5">
        <v>101.1</v>
      </c>
      <c r="F868" s="5">
        <v>202.8</v>
      </c>
      <c r="G868" s="5">
        <v>100.6</v>
      </c>
      <c r="H868" s="5">
        <v>99.9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102.4</v>
      </c>
      <c r="D869" s="5">
        <v>0.1</v>
      </c>
      <c r="E869" s="5">
        <v>102.5</v>
      </c>
      <c r="F869" s="5">
        <v>202</v>
      </c>
      <c r="G869" s="5">
        <v>101</v>
      </c>
      <c r="H869" s="5">
        <v>101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102.4</v>
      </c>
      <c r="D870" s="5">
        <v>0.1</v>
      </c>
      <c r="E870" s="5">
        <v>102.5</v>
      </c>
      <c r="F870" s="5">
        <v>202</v>
      </c>
      <c r="G870" s="5">
        <v>101</v>
      </c>
      <c r="H870" s="5">
        <v>101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97.3</v>
      </c>
      <c r="D871" s="5">
        <v>0.1</v>
      </c>
      <c r="E871" s="5">
        <v>97.5</v>
      </c>
      <c r="F871" s="5">
        <v>198.6</v>
      </c>
      <c r="G871" s="5">
        <v>98.6</v>
      </c>
      <c r="H871" s="5">
        <v>98.1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97.3</v>
      </c>
      <c r="D872" s="5">
        <v>0.1</v>
      </c>
      <c r="E872" s="5">
        <v>97.5</v>
      </c>
      <c r="F872" s="5">
        <v>198.6</v>
      </c>
      <c r="G872" s="5">
        <v>98.6</v>
      </c>
      <c r="H872" s="5">
        <v>98.1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97.3</v>
      </c>
      <c r="D873" s="5">
        <v>0.1</v>
      </c>
      <c r="E873" s="5">
        <v>97.5</v>
      </c>
      <c r="F873" s="5">
        <v>198.6</v>
      </c>
      <c r="G873" s="5">
        <v>98.6</v>
      </c>
      <c r="H873" s="5">
        <v>98.1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97.3</v>
      </c>
      <c r="D874" s="5">
        <v>0.1</v>
      </c>
      <c r="E874" s="5">
        <v>97.5</v>
      </c>
      <c r="F874" s="5">
        <v>198.6</v>
      </c>
      <c r="G874" s="5">
        <v>98.6</v>
      </c>
      <c r="H874" s="5">
        <v>98.1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97.5</v>
      </c>
      <c r="D875" s="5">
        <v>0.1</v>
      </c>
      <c r="E875" s="5">
        <v>97.6</v>
      </c>
      <c r="F875" s="5">
        <v>195</v>
      </c>
      <c r="G875" s="5">
        <v>97.3</v>
      </c>
      <c r="H875" s="5">
        <v>98.1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97.5</v>
      </c>
      <c r="D876" s="5">
        <v>0.1</v>
      </c>
      <c r="E876" s="5">
        <v>97.6</v>
      </c>
      <c r="F876" s="5">
        <v>195</v>
      </c>
      <c r="G876" s="5">
        <v>97.3</v>
      </c>
      <c r="H876" s="5">
        <v>97.1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102.1</v>
      </c>
      <c r="D877" s="5">
        <v>0.1</v>
      </c>
      <c r="E877" s="5">
        <v>97.6</v>
      </c>
      <c r="F877" s="5">
        <v>195</v>
      </c>
      <c r="G877" s="5">
        <v>97.3</v>
      </c>
      <c r="H877" s="5">
        <v>97.1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102.1</v>
      </c>
      <c r="D878" s="5">
        <v>0.1</v>
      </c>
      <c r="E878" s="5">
        <v>102.1</v>
      </c>
      <c r="F878" s="5">
        <v>194.1</v>
      </c>
      <c r="G878" s="5">
        <v>97.1</v>
      </c>
      <c r="H878" s="5">
        <v>97.2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102.1</v>
      </c>
      <c r="D879" s="5">
        <v>0.1</v>
      </c>
      <c r="E879" s="5">
        <v>102.1</v>
      </c>
      <c r="F879" s="5">
        <v>194.1</v>
      </c>
      <c r="G879" s="5">
        <v>97.1</v>
      </c>
      <c r="H879" s="5">
        <v>97.2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98.2</v>
      </c>
      <c r="D880" s="5">
        <v>0.1</v>
      </c>
      <c r="E880" s="5">
        <v>98.3</v>
      </c>
      <c r="F880" s="5">
        <v>195.5</v>
      </c>
      <c r="G880" s="5">
        <v>97.4</v>
      </c>
      <c r="H880" s="5">
        <v>97.2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98.2</v>
      </c>
      <c r="D881" s="5">
        <v>0.1</v>
      </c>
      <c r="E881" s="5">
        <v>98.3</v>
      </c>
      <c r="F881" s="5">
        <v>195.5</v>
      </c>
      <c r="G881" s="5">
        <v>97.4</v>
      </c>
      <c r="H881" s="5">
        <v>97.2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97.4</v>
      </c>
      <c r="D882" s="5">
        <v>0.1</v>
      </c>
      <c r="E882" s="5">
        <v>97.6</v>
      </c>
      <c r="F882" s="5">
        <v>193.9</v>
      </c>
      <c r="G882" s="5">
        <v>96.8</v>
      </c>
      <c r="H882" s="5">
        <v>96.6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97.4</v>
      </c>
      <c r="D883" s="5">
        <v>0.1</v>
      </c>
      <c r="E883" s="5">
        <v>97.6</v>
      </c>
      <c r="F883" s="5">
        <v>193.9</v>
      </c>
      <c r="G883" s="5">
        <v>96.8</v>
      </c>
      <c r="H883" s="5">
        <v>96.6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97.4</v>
      </c>
      <c r="D884" s="5">
        <v>0.1</v>
      </c>
      <c r="E884" s="5">
        <v>97.6</v>
      </c>
      <c r="F884" s="5">
        <v>193.9</v>
      </c>
      <c r="G884" s="5">
        <v>96.8</v>
      </c>
      <c r="H884" s="5">
        <v>96.6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102.2</v>
      </c>
      <c r="D885" s="5">
        <v>0.1</v>
      </c>
      <c r="E885" s="5">
        <v>102.4</v>
      </c>
      <c r="F885" s="5">
        <v>204.4</v>
      </c>
      <c r="G885" s="5">
        <v>102</v>
      </c>
      <c r="H885" s="5">
        <v>101.8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102.2</v>
      </c>
      <c r="D886" s="5">
        <v>0.1</v>
      </c>
      <c r="E886" s="5">
        <v>102.4</v>
      </c>
      <c r="F886" s="5">
        <v>204.4</v>
      </c>
      <c r="G886" s="5">
        <v>102</v>
      </c>
      <c r="H886" s="5">
        <v>101.8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102.2</v>
      </c>
      <c r="D887" s="5">
        <v>0.1</v>
      </c>
      <c r="E887" s="5">
        <v>102.5</v>
      </c>
      <c r="F887" s="5">
        <v>204.3</v>
      </c>
      <c r="G887" s="5">
        <v>102</v>
      </c>
      <c r="H887" s="5">
        <v>101.9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102.4</v>
      </c>
      <c r="D888" s="5">
        <v>0.1</v>
      </c>
      <c r="E888" s="5">
        <v>102.5</v>
      </c>
      <c r="F888" s="5">
        <v>204.3</v>
      </c>
      <c r="G888" s="5">
        <v>102</v>
      </c>
      <c r="H888" s="5">
        <v>101.9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102.4</v>
      </c>
      <c r="D889" s="5">
        <v>0.1</v>
      </c>
      <c r="E889" s="5">
        <v>102.5</v>
      </c>
      <c r="F889" s="5">
        <v>204.3</v>
      </c>
      <c r="G889" s="5">
        <v>100.1</v>
      </c>
      <c r="H889" s="5">
        <v>100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100.4</v>
      </c>
      <c r="D890" s="5">
        <v>0.1</v>
      </c>
      <c r="E890" s="5">
        <v>100.5</v>
      </c>
      <c r="F890" s="5">
        <v>200.6</v>
      </c>
      <c r="G890" s="5">
        <v>100.1</v>
      </c>
      <c r="H890" s="5">
        <v>100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100.4</v>
      </c>
      <c r="D891" s="5">
        <v>0.1</v>
      </c>
      <c r="E891" s="5">
        <v>100.5</v>
      </c>
      <c r="F891" s="5">
        <v>200.6</v>
      </c>
      <c r="G891" s="5">
        <v>100.1</v>
      </c>
      <c r="H891" s="5">
        <v>100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99.9</v>
      </c>
      <c r="D892" s="5">
        <v>0.1</v>
      </c>
      <c r="E892" s="5">
        <v>100.1</v>
      </c>
      <c r="F892" s="5">
        <v>198.5</v>
      </c>
      <c r="G892" s="5">
        <v>99.1</v>
      </c>
      <c r="H892" s="5">
        <v>99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99.9</v>
      </c>
      <c r="D893" s="5">
        <v>0.1</v>
      </c>
      <c r="E893" s="5">
        <v>100.1</v>
      </c>
      <c r="F893" s="5">
        <v>198.5</v>
      </c>
      <c r="G893" s="5">
        <v>99.1</v>
      </c>
      <c r="H893" s="5">
        <v>99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99.9</v>
      </c>
      <c r="D894" s="5">
        <v>0.1</v>
      </c>
      <c r="E894" s="5">
        <v>100.1</v>
      </c>
      <c r="F894" s="5">
        <v>198.5</v>
      </c>
      <c r="G894" s="5">
        <v>99.1</v>
      </c>
      <c r="H894" s="5">
        <v>99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96.8</v>
      </c>
      <c r="D895" s="5">
        <v>0.1</v>
      </c>
      <c r="E895" s="5">
        <v>97</v>
      </c>
      <c r="F895" s="5">
        <v>192</v>
      </c>
      <c r="G895" s="5">
        <v>95.2</v>
      </c>
      <c r="H895" s="5">
        <v>95.1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96.8</v>
      </c>
      <c r="D896" s="5">
        <v>0.1</v>
      </c>
      <c r="E896" s="5">
        <v>97</v>
      </c>
      <c r="F896" s="5">
        <v>192</v>
      </c>
      <c r="G896" s="5">
        <v>95.2</v>
      </c>
      <c r="H896" s="5">
        <v>95.1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99.5</v>
      </c>
      <c r="D897" s="5">
        <v>0.1</v>
      </c>
      <c r="E897" s="5">
        <v>99.6</v>
      </c>
      <c r="F897" s="5">
        <v>193.5</v>
      </c>
      <c r="G897" s="5">
        <v>96.9</v>
      </c>
      <c r="H897" s="5">
        <v>98.2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99.5</v>
      </c>
      <c r="D898" s="5">
        <v>0.1</v>
      </c>
      <c r="E898" s="5">
        <v>99.6</v>
      </c>
      <c r="F898" s="5">
        <v>193.5</v>
      </c>
      <c r="G898" s="5">
        <v>96.9</v>
      </c>
      <c r="H898" s="5">
        <v>98.2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93.6</v>
      </c>
      <c r="D899" s="5">
        <v>0.1</v>
      </c>
      <c r="E899" s="5">
        <v>93.7</v>
      </c>
      <c r="F899" s="5">
        <v>186</v>
      </c>
      <c r="G899" s="5">
        <v>93</v>
      </c>
      <c r="H899" s="5">
        <v>93.5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93.6</v>
      </c>
      <c r="D900" s="5">
        <v>0.1</v>
      </c>
      <c r="E900" s="5">
        <v>93.7</v>
      </c>
      <c r="F900" s="5">
        <v>186</v>
      </c>
      <c r="G900" s="5">
        <v>93</v>
      </c>
      <c r="H900" s="5">
        <v>93.5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96</v>
      </c>
      <c r="D901" s="5">
        <v>0.1</v>
      </c>
      <c r="E901" s="5">
        <v>96.1</v>
      </c>
      <c r="F901" s="5">
        <v>193.3</v>
      </c>
      <c r="G901" s="5">
        <v>96.3</v>
      </c>
      <c r="H901" s="5">
        <v>96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96</v>
      </c>
      <c r="D902" s="5">
        <v>0.1</v>
      </c>
      <c r="E902" s="5">
        <v>96.1</v>
      </c>
      <c r="F902" s="5">
        <v>193.3</v>
      </c>
      <c r="G902" s="5">
        <v>96.3</v>
      </c>
      <c r="H902" s="5">
        <v>96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96</v>
      </c>
      <c r="D903" s="5">
        <v>0.1</v>
      </c>
      <c r="E903" s="5">
        <v>96.1</v>
      </c>
      <c r="F903" s="5">
        <v>193.3</v>
      </c>
      <c r="G903" s="5">
        <v>96.3</v>
      </c>
      <c r="H903" s="5">
        <v>96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96</v>
      </c>
      <c r="D904" s="5">
        <v>0.1</v>
      </c>
      <c r="E904" s="5">
        <v>96.1</v>
      </c>
      <c r="F904" s="5">
        <v>193.3</v>
      </c>
      <c r="G904" s="5">
        <v>96.3</v>
      </c>
      <c r="H904" s="5">
        <v>96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95.6</v>
      </c>
      <c r="D905" s="5">
        <v>0.1</v>
      </c>
      <c r="E905" s="5">
        <v>95.7</v>
      </c>
      <c r="F905" s="5">
        <v>190.5</v>
      </c>
      <c r="G905" s="5">
        <v>95</v>
      </c>
      <c r="H905" s="5">
        <v>94.7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95.6</v>
      </c>
      <c r="D906" s="5">
        <v>0.1</v>
      </c>
      <c r="E906" s="5">
        <v>95.7</v>
      </c>
      <c r="F906" s="5">
        <v>190.5</v>
      </c>
      <c r="G906" s="5">
        <v>95</v>
      </c>
      <c r="H906" s="5">
        <v>94.7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93.3</v>
      </c>
      <c r="D907" s="5">
        <v>0.1</v>
      </c>
      <c r="E907" s="5">
        <v>93.5</v>
      </c>
      <c r="F907" s="5">
        <v>186.4</v>
      </c>
      <c r="G907" s="5">
        <v>93.1</v>
      </c>
      <c r="H907" s="5">
        <v>93.1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93.3</v>
      </c>
      <c r="D908" s="5">
        <v>0.1</v>
      </c>
      <c r="E908" s="5">
        <v>93.5</v>
      </c>
      <c r="F908" s="5">
        <v>186.4</v>
      </c>
      <c r="G908" s="5">
        <v>93.1</v>
      </c>
      <c r="H908" s="5">
        <v>93.1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94.4</v>
      </c>
      <c r="D909" s="5">
        <v>0.1</v>
      </c>
      <c r="E909" s="5">
        <v>94.5</v>
      </c>
      <c r="F909" s="5">
        <v>189.7</v>
      </c>
      <c r="G909" s="5">
        <v>94.4</v>
      </c>
      <c r="H909" s="5">
        <v>94.2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94.4</v>
      </c>
      <c r="D910" s="5">
        <v>0.1</v>
      </c>
      <c r="E910" s="5">
        <v>94.5</v>
      </c>
      <c r="F910" s="5">
        <v>189.7</v>
      </c>
      <c r="G910" s="5">
        <v>94.4</v>
      </c>
      <c r="H910" s="5">
        <v>94.2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94.7</v>
      </c>
      <c r="D911" s="5">
        <v>0.1</v>
      </c>
      <c r="E911" s="5">
        <v>94.8</v>
      </c>
      <c r="F911" s="5">
        <v>188.7</v>
      </c>
      <c r="G911" s="5">
        <v>94.3</v>
      </c>
      <c r="H911" s="5">
        <v>94.3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94.7</v>
      </c>
      <c r="D912" s="5">
        <v>0.1</v>
      </c>
      <c r="E912" s="5">
        <v>94.8</v>
      </c>
      <c r="F912" s="5">
        <v>188.7</v>
      </c>
      <c r="G912" s="5">
        <v>94.3</v>
      </c>
      <c r="H912" s="5">
        <v>94.3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94.7</v>
      </c>
      <c r="D913" s="5">
        <v>0.1</v>
      </c>
      <c r="E913" s="5">
        <v>94.8</v>
      </c>
      <c r="F913" s="5">
        <v>188.7</v>
      </c>
      <c r="G913" s="5">
        <v>94.3</v>
      </c>
      <c r="H913" s="5">
        <v>94.3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94.7</v>
      </c>
      <c r="D914" s="5">
        <v>0.1</v>
      </c>
      <c r="E914" s="5">
        <v>94.8</v>
      </c>
      <c r="F914" s="5">
        <v>188.7</v>
      </c>
      <c r="G914" s="5">
        <v>94.3</v>
      </c>
      <c r="H914" s="5">
        <v>94.3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102.7</v>
      </c>
      <c r="D915" s="5">
        <v>0.1</v>
      </c>
      <c r="E915" s="5">
        <v>102.8</v>
      </c>
      <c r="F915" s="5">
        <v>202.5</v>
      </c>
      <c r="G915" s="5">
        <v>100.9</v>
      </c>
      <c r="H915" s="5">
        <v>100.9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102.7</v>
      </c>
      <c r="D916" s="5">
        <v>0.1</v>
      </c>
      <c r="E916" s="5">
        <v>102.8</v>
      </c>
      <c r="F916" s="5">
        <v>202.5</v>
      </c>
      <c r="G916" s="5">
        <v>100.9</v>
      </c>
      <c r="H916" s="5">
        <v>100.9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99.1</v>
      </c>
      <c r="D917" s="5">
        <v>0.1</v>
      </c>
      <c r="E917" s="5">
        <v>99.2</v>
      </c>
      <c r="F917" s="5">
        <v>198.2</v>
      </c>
      <c r="G917" s="5">
        <v>98.9</v>
      </c>
      <c r="H917" s="5">
        <v>98.7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99.1</v>
      </c>
      <c r="D918" s="5">
        <v>0.1</v>
      </c>
      <c r="E918" s="5">
        <v>99.2</v>
      </c>
      <c r="F918" s="5">
        <v>198.2</v>
      </c>
      <c r="G918" s="5">
        <v>98.9</v>
      </c>
      <c r="H918" s="5">
        <v>98.7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100.2</v>
      </c>
      <c r="D919" s="5">
        <v>0.1</v>
      </c>
      <c r="E919" s="5">
        <v>100.3</v>
      </c>
      <c r="F919" s="5">
        <v>199</v>
      </c>
      <c r="G919" s="5">
        <v>99.3</v>
      </c>
      <c r="H919" s="5">
        <v>99.1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100.2</v>
      </c>
      <c r="D920" s="5">
        <v>0.1</v>
      </c>
      <c r="E920" s="5">
        <v>100.3</v>
      </c>
      <c r="F920" s="5">
        <v>199</v>
      </c>
      <c r="G920" s="5">
        <v>99.3</v>
      </c>
      <c r="H920" s="5">
        <v>99.1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100.2</v>
      </c>
      <c r="D921" s="5">
        <v>0.1</v>
      </c>
      <c r="E921" s="5">
        <v>100.3</v>
      </c>
      <c r="F921" s="5">
        <v>198.6</v>
      </c>
      <c r="G921" s="5">
        <v>99</v>
      </c>
      <c r="H921" s="5">
        <v>98.8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100.2</v>
      </c>
      <c r="D922" s="5">
        <v>0.1</v>
      </c>
      <c r="E922" s="5">
        <v>100.3</v>
      </c>
      <c r="F922" s="5">
        <v>198.6</v>
      </c>
      <c r="G922" s="5">
        <v>99</v>
      </c>
      <c r="H922" s="5">
        <v>98.8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100.2</v>
      </c>
      <c r="D923" s="5">
        <v>0.1</v>
      </c>
      <c r="E923" s="5">
        <v>100.3</v>
      </c>
      <c r="F923" s="5">
        <v>198.6</v>
      </c>
      <c r="G923" s="5">
        <v>99</v>
      </c>
      <c r="H923" s="5">
        <v>98.8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100.2</v>
      </c>
      <c r="D924" s="5">
        <v>0.1</v>
      </c>
      <c r="E924" s="5">
        <v>100.3</v>
      </c>
      <c r="F924" s="5">
        <v>198.6</v>
      </c>
      <c r="G924" s="5">
        <v>99</v>
      </c>
      <c r="H924" s="5">
        <v>98.8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99.4</v>
      </c>
      <c r="D925" s="5">
        <v>0.1</v>
      </c>
      <c r="E925" s="5">
        <v>99.5</v>
      </c>
      <c r="F925" s="5">
        <v>198.7</v>
      </c>
      <c r="G925" s="5">
        <v>99.1</v>
      </c>
      <c r="H925" s="5">
        <v>99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99.4</v>
      </c>
      <c r="D926" s="5">
        <v>0.1</v>
      </c>
      <c r="E926" s="5">
        <v>99.5</v>
      </c>
      <c r="F926" s="5">
        <v>198.7</v>
      </c>
      <c r="G926" s="5">
        <v>99.1</v>
      </c>
      <c r="H926" s="5">
        <v>99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93.6</v>
      </c>
      <c r="D927" s="5">
        <v>0.1</v>
      </c>
      <c r="E927" s="5">
        <v>93.7</v>
      </c>
      <c r="F927" s="5">
        <v>189.6</v>
      </c>
      <c r="G927" s="5">
        <v>94.3</v>
      </c>
      <c r="H927" s="5">
        <v>93.9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93.6</v>
      </c>
      <c r="D928" s="5">
        <v>0.1</v>
      </c>
      <c r="E928" s="5">
        <v>93.7</v>
      </c>
      <c r="F928" s="5">
        <v>189.6</v>
      </c>
      <c r="G928" s="5">
        <v>94.3</v>
      </c>
      <c r="H928" s="5">
        <v>93.9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92.9</v>
      </c>
      <c r="D929" s="5">
        <v>0.1</v>
      </c>
      <c r="E929" s="5">
        <v>92.9</v>
      </c>
      <c r="F929" s="5">
        <v>186</v>
      </c>
      <c r="G929" s="5">
        <v>92.7</v>
      </c>
      <c r="H929" s="5">
        <v>92.4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92.9</v>
      </c>
      <c r="D930" s="5">
        <v>0.1</v>
      </c>
      <c r="E930" s="5">
        <v>92.9</v>
      </c>
      <c r="F930" s="5">
        <v>186</v>
      </c>
      <c r="G930" s="5">
        <v>92.7</v>
      </c>
      <c r="H930" s="5">
        <v>92.4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99.7</v>
      </c>
      <c r="D931" s="5">
        <v>0.1</v>
      </c>
      <c r="E931" s="5">
        <v>99.9</v>
      </c>
      <c r="F931" s="5">
        <v>197.5</v>
      </c>
      <c r="G931" s="5">
        <v>98.7</v>
      </c>
      <c r="H931" s="5">
        <v>98.7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99.7</v>
      </c>
      <c r="D932" s="5">
        <v>0.1</v>
      </c>
      <c r="E932" s="5">
        <v>99.9</v>
      </c>
      <c r="F932" s="5">
        <v>197.5</v>
      </c>
      <c r="G932" s="5">
        <v>98.7</v>
      </c>
      <c r="H932" s="5">
        <v>98.7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99.7</v>
      </c>
      <c r="D933" s="5">
        <v>0.1</v>
      </c>
      <c r="E933" s="5">
        <v>99.9</v>
      </c>
      <c r="F933" s="5">
        <v>197.5</v>
      </c>
      <c r="G933" s="5">
        <v>98.7</v>
      </c>
      <c r="H933" s="5">
        <v>98.7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99.7</v>
      </c>
      <c r="D934" s="5">
        <v>0.1</v>
      </c>
      <c r="E934" s="5">
        <v>99.9</v>
      </c>
      <c r="F934" s="5">
        <v>197.5</v>
      </c>
      <c r="G934" s="5">
        <v>98.7</v>
      </c>
      <c r="H934" s="5">
        <v>98.7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99.2</v>
      </c>
      <c r="D935" s="5">
        <v>0.1</v>
      </c>
      <c r="E935" s="5">
        <v>99.3</v>
      </c>
      <c r="F935" s="5">
        <v>198.8</v>
      </c>
      <c r="G935" s="5">
        <v>99</v>
      </c>
      <c r="H935" s="5">
        <v>98.9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99.2</v>
      </c>
      <c r="D936" s="5">
        <v>0.1</v>
      </c>
      <c r="E936" s="5">
        <v>99.3</v>
      </c>
      <c r="F936" s="5">
        <v>198.8</v>
      </c>
      <c r="G936" s="5">
        <v>99</v>
      </c>
      <c r="H936" s="5">
        <v>98.9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99</v>
      </c>
      <c r="D937" s="5">
        <v>0.1</v>
      </c>
      <c r="E937" s="5">
        <v>99.2</v>
      </c>
      <c r="F937" s="5">
        <v>198</v>
      </c>
      <c r="G937" s="5">
        <v>98.8</v>
      </c>
      <c r="H937" s="5">
        <v>98.6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99</v>
      </c>
      <c r="D938" s="5">
        <v>0.1</v>
      </c>
      <c r="E938" s="5">
        <v>99.2</v>
      </c>
      <c r="F938" s="5">
        <v>198</v>
      </c>
      <c r="G938" s="5">
        <v>98.8</v>
      </c>
      <c r="H938" s="5">
        <v>98.6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92.9</v>
      </c>
      <c r="D939" s="5">
        <v>0.1</v>
      </c>
      <c r="E939" s="5">
        <v>93.1</v>
      </c>
      <c r="F939" s="5">
        <v>193.1</v>
      </c>
      <c r="G939" s="5">
        <v>96.5</v>
      </c>
      <c r="H939" s="5">
        <v>96.4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92.9</v>
      </c>
      <c r="D940" s="5">
        <v>0.1</v>
      </c>
      <c r="E940" s="5">
        <v>93.1</v>
      </c>
      <c r="F940" s="5">
        <v>193.1</v>
      </c>
      <c r="G940" s="5">
        <v>96.5</v>
      </c>
      <c r="H940" s="5">
        <v>96.4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99.7</v>
      </c>
      <c r="D941" s="5">
        <v>0.1</v>
      </c>
      <c r="E941" s="5">
        <v>99.9</v>
      </c>
      <c r="F941" s="5">
        <v>195.2</v>
      </c>
      <c r="G941" s="5">
        <v>97.3</v>
      </c>
      <c r="H941" s="5">
        <v>97.2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99.7</v>
      </c>
      <c r="D942" s="5">
        <v>0.1</v>
      </c>
      <c r="E942" s="5">
        <v>99.9</v>
      </c>
      <c r="F942" s="5">
        <v>195.2</v>
      </c>
      <c r="G942" s="5">
        <v>97.3</v>
      </c>
      <c r="H942" s="5">
        <v>97.2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99.7</v>
      </c>
      <c r="D943" s="5">
        <v>0.1</v>
      </c>
      <c r="E943" s="5">
        <v>99.9</v>
      </c>
      <c r="F943" s="5">
        <v>195.2</v>
      </c>
      <c r="G943" s="5">
        <v>97.3</v>
      </c>
      <c r="H943" s="5">
        <v>97.2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99.7</v>
      </c>
      <c r="D944" s="5">
        <v>0.1</v>
      </c>
      <c r="E944" s="5">
        <v>99.9</v>
      </c>
      <c r="F944" s="5">
        <v>195.2</v>
      </c>
      <c r="G944" s="5">
        <v>97.3</v>
      </c>
      <c r="H944" s="5">
        <v>97.2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98.5</v>
      </c>
      <c r="D945" s="5">
        <v>0.1</v>
      </c>
      <c r="E945" s="5">
        <v>98.6</v>
      </c>
      <c r="F945" s="5">
        <v>197.1</v>
      </c>
      <c r="G945" s="5">
        <v>98.3</v>
      </c>
      <c r="H945" s="5">
        <v>98.2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98.5</v>
      </c>
      <c r="D946" s="5">
        <v>0.1</v>
      </c>
      <c r="E946" s="5">
        <v>98.6</v>
      </c>
      <c r="F946" s="5">
        <v>197.1</v>
      </c>
      <c r="G946" s="5">
        <v>98.3</v>
      </c>
      <c r="H946" s="5">
        <v>98.2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99.2</v>
      </c>
      <c r="D947" s="5">
        <v>0.1</v>
      </c>
      <c r="E947" s="5">
        <v>99.4</v>
      </c>
      <c r="F947" s="5">
        <v>198.3</v>
      </c>
      <c r="G947" s="5">
        <v>98.8</v>
      </c>
      <c r="H947" s="5">
        <v>98.7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99.2</v>
      </c>
      <c r="D948" s="5">
        <v>0.1</v>
      </c>
      <c r="E948" s="5">
        <v>99.4</v>
      </c>
      <c r="F948" s="5">
        <v>198.3</v>
      </c>
      <c r="G948" s="5">
        <v>98.8</v>
      </c>
      <c r="H948" s="5">
        <v>98.7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100</v>
      </c>
      <c r="D949" s="5">
        <v>0.1</v>
      </c>
      <c r="E949" s="5">
        <v>100.2</v>
      </c>
      <c r="F949" s="5">
        <v>199.1</v>
      </c>
      <c r="G949" s="5">
        <v>99.3</v>
      </c>
      <c r="H949" s="5">
        <v>99.2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100</v>
      </c>
      <c r="D950" s="5">
        <v>0.1</v>
      </c>
      <c r="E950" s="5">
        <v>100.2</v>
      </c>
      <c r="F950" s="5">
        <v>199.1</v>
      </c>
      <c r="G950" s="5">
        <v>99.3</v>
      </c>
      <c r="H950" s="5">
        <v>99.2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99.6</v>
      </c>
      <c r="D951" s="5">
        <v>0.1</v>
      </c>
      <c r="E951" s="5">
        <v>99.7</v>
      </c>
      <c r="F951" s="5">
        <v>198.7</v>
      </c>
      <c r="G951" s="5">
        <v>99.1</v>
      </c>
      <c r="H951" s="5">
        <v>98.9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99.6</v>
      </c>
      <c r="D952" s="5">
        <v>0.1</v>
      </c>
      <c r="E952" s="5">
        <v>99.7</v>
      </c>
      <c r="F952" s="5">
        <v>198.7</v>
      </c>
      <c r="G952" s="5">
        <v>99.1</v>
      </c>
      <c r="H952" s="5">
        <v>98.9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99.6</v>
      </c>
      <c r="D953" s="5">
        <v>0.1</v>
      </c>
      <c r="E953" s="5">
        <v>99.7</v>
      </c>
      <c r="F953" s="5">
        <v>198.7</v>
      </c>
      <c r="G953" s="5">
        <v>99.1</v>
      </c>
      <c r="H953" s="5">
        <v>98.9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99.6</v>
      </c>
      <c r="D954" s="5">
        <v>0.1</v>
      </c>
      <c r="E954" s="5">
        <v>99.7</v>
      </c>
      <c r="F954" s="5">
        <v>198.7</v>
      </c>
      <c r="G954" s="5">
        <v>99.1</v>
      </c>
      <c r="H954" s="5">
        <v>98.9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99.2</v>
      </c>
      <c r="D955" s="5">
        <v>0.1</v>
      </c>
      <c r="E955" s="5">
        <v>99.4</v>
      </c>
      <c r="F955" s="5">
        <v>198.3</v>
      </c>
      <c r="G955" s="5">
        <v>99.2</v>
      </c>
      <c r="H955" s="5">
        <v>99.2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99.2</v>
      </c>
      <c r="D956" s="5">
        <v>0.1</v>
      </c>
      <c r="E956" s="5">
        <v>99.4</v>
      </c>
      <c r="F956" s="5">
        <v>198.3</v>
      </c>
      <c r="G956" s="5">
        <v>99.2</v>
      </c>
      <c r="H956" s="5">
        <v>99.2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99.8</v>
      </c>
      <c r="D957" s="5">
        <v>0.1</v>
      </c>
      <c r="E957" s="5">
        <v>99.9</v>
      </c>
      <c r="F957" s="5">
        <v>199.2</v>
      </c>
      <c r="G957" s="5">
        <v>99.3</v>
      </c>
      <c r="H957" s="5">
        <v>99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99.8</v>
      </c>
      <c r="D958" s="5">
        <v>0.1</v>
      </c>
      <c r="E958" s="5">
        <v>99.9</v>
      </c>
      <c r="F958" s="5">
        <v>199.2</v>
      </c>
      <c r="G958" s="5">
        <v>99.3</v>
      </c>
      <c r="H958" s="5">
        <v>99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99.7</v>
      </c>
      <c r="D959" s="5">
        <v>0.1</v>
      </c>
      <c r="E959" s="5">
        <v>99.9</v>
      </c>
      <c r="F959" s="5">
        <v>199.9</v>
      </c>
      <c r="G959" s="5">
        <v>99.7</v>
      </c>
      <c r="H959" s="5">
        <v>99.6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99.7</v>
      </c>
      <c r="D960" s="5">
        <v>0.1</v>
      </c>
      <c r="E960" s="5">
        <v>99.9</v>
      </c>
      <c r="F960" s="5">
        <v>199.9</v>
      </c>
      <c r="G960" s="5">
        <v>99.7</v>
      </c>
      <c r="H960" s="5">
        <v>99.6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99.7</v>
      </c>
      <c r="D961" s="5">
        <v>0.1</v>
      </c>
      <c r="E961" s="5">
        <v>99.9</v>
      </c>
      <c r="F961" s="5">
        <v>199.9</v>
      </c>
      <c r="G961" s="5">
        <v>99.7</v>
      </c>
      <c r="H961" s="5">
        <v>99.6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99.7</v>
      </c>
      <c r="D962" s="5">
        <v>0.1</v>
      </c>
      <c r="E962" s="5">
        <v>99.9</v>
      </c>
      <c r="F962" s="5">
        <v>199.9</v>
      </c>
      <c r="G962" s="5">
        <v>99.7</v>
      </c>
      <c r="H962" s="5">
        <v>99.6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99.7</v>
      </c>
      <c r="D963" s="5">
        <v>0.1</v>
      </c>
      <c r="E963" s="5">
        <v>99.9</v>
      </c>
      <c r="F963" s="5">
        <v>199.9</v>
      </c>
      <c r="G963" s="5">
        <v>99.7</v>
      </c>
      <c r="H963" s="5">
        <v>99.6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99.7</v>
      </c>
      <c r="D964" s="5">
        <v>0.1</v>
      </c>
      <c r="E964" s="5">
        <v>99.9</v>
      </c>
      <c r="F964" s="5">
        <v>199.9</v>
      </c>
      <c r="G964" s="5">
        <v>99.7</v>
      </c>
      <c r="H964" s="5">
        <v>99.6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99.9</v>
      </c>
      <c r="D965" s="5">
        <v>0.1</v>
      </c>
      <c r="E965" s="5">
        <v>100</v>
      </c>
      <c r="F965" s="5">
        <v>198</v>
      </c>
      <c r="G965" s="5">
        <v>98.8</v>
      </c>
      <c r="H965" s="5">
        <v>98.6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99.9</v>
      </c>
      <c r="D966" s="5">
        <v>0.1</v>
      </c>
      <c r="E966" s="5">
        <v>100</v>
      </c>
      <c r="F966" s="5">
        <v>198</v>
      </c>
      <c r="G966" s="5">
        <v>98.8</v>
      </c>
      <c r="H966" s="5">
        <v>98.6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99.7</v>
      </c>
      <c r="D967" s="5">
        <v>0.1</v>
      </c>
      <c r="E967" s="5">
        <v>99.9</v>
      </c>
      <c r="F967" s="5">
        <v>198.5</v>
      </c>
      <c r="G967" s="5">
        <v>98.9</v>
      </c>
      <c r="H967" s="5">
        <v>98.7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99.7</v>
      </c>
      <c r="D968" s="5">
        <v>0.1</v>
      </c>
      <c r="E968" s="5">
        <v>99.9</v>
      </c>
      <c r="F968" s="5">
        <v>198.5</v>
      </c>
      <c r="G968" s="5">
        <v>98.9</v>
      </c>
      <c r="H968" s="5">
        <v>98.7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99.2</v>
      </c>
      <c r="D969" s="5">
        <v>0.1</v>
      </c>
      <c r="E969" s="5">
        <v>99.3</v>
      </c>
      <c r="F969" s="5">
        <v>198</v>
      </c>
      <c r="G969" s="5">
        <v>98.8</v>
      </c>
      <c r="H969" s="5">
        <v>98.7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99.2</v>
      </c>
      <c r="D970" s="5">
        <v>0.1</v>
      </c>
      <c r="E970" s="5">
        <v>99.3</v>
      </c>
      <c r="F970" s="5">
        <v>198</v>
      </c>
      <c r="G970" s="5">
        <v>98.8</v>
      </c>
      <c r="H970" s="5">
        <v>98.7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99.7</v>
      </c>
      <c r="D971" s="5">
        <v>0.1</v>
      </c>
      <c r="E971" s="5">
        <v>99.9</v>
      </c>
      <c r="F971" s="5">
        <v>198.6</v>
      </c>
      <c r="G971" s="5">
        <v>99.1</v>
      </c>
      <c r="H971" s="5">
        <v>99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99.7</v>
      </c>
      <c r="D972" s="5">
        <v>0.1</v>
      </c>
      <c r="E972" s="5">
        <v>99.9</v>
      </c>
      <c r="F972" s="5">
        <v>198.6</v>
      </c>
      <c r="G972" s="5">
        <v>99.1</v>
      </c>
      <c r="H972" s="5">
        <v>99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99.7</v>
      </c>
      <c r="D973" s="5">
        <v>0.1</v>
      </c>
      <c r="E973" s="5">
        <v>99.9</v>
      </c>
      <c r="F973" s="5">
        <v>198.6</v>
      </c>
      <c r="G973" s="5">
        <v>99.1</v>
      </c>
      <c r="H973" s="5">
        <v>99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99.7</v>
      </c>
      <c r="D974" s="5">
        <v>0.1</v>
      </c>
      <c r="E974" s="5">
        <v>99.9</v>
      </c>
      <c r="F974" s="5">
        <v>198.6</v>
      </c>
      <c r="G974" s="5">
        <v>99.1</v>
      </c>
      <c r="H974" s="5">
        <v>99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99.2</v>
      </c>
      <c r="D975" s="5">
        <v>0.1</v>
      </c>
      <c r="E975" s="5">
        <v>99.3</v>
      </c>
      <c r="F975" s="5">
        <v>197.2</v>
      </c>
      <c r="G975" s="5">
        <v>98.3</v>
      </c>
      <c r="H975" s="5">
        <v>98.2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99.2</v>
      </c>
      <c r="D976" s="5">
        <v>0.1</v>
      </c>
      <c r="E976" s="5">
        <v>99.3</v>
      </c>
      <c r="F976" s="5">
        <v>197.2</v>
      </c>
      <c r="G976" s="5">
        <v>98.3</v>
      </c>
      <c r="H976" s="5">
        <v>98.2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99.1</v>
      </c>
      <c r="D977" s="5">
        <v>0.1</v>
      </c>
      <c r="E977" s="5">
        <v>99.2</v>
      </c>
      <c r="F977" s="5">
        <v>198.1</v>
      </c>
      <c r="G977" s="5">
        <v>98.9</v>
      </c>
      <c r="H977" s="5">
        <v>98.7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99.1</v>
      </c>
      <c r="D978" s="5">
        <v>0.1</v>
      </c>
      <c r="E978" s="5">
        <v>99.2</v>
      </c>
      <c r="F978" s="5">
        <v>198.1</v>
      </c>
      <c r="G978" s="5">
        <v>98.9</v>
      </c>
      <c r="H978" s="5">
        <v>98.7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99</v>
      </c>
      <c r="D979" s="5">
        <v>0.1</v>
      </c>
      <c r="E979" s="5">
        <v>99.2</v>
      </c>
      <c r="F979" s="5">
        <v>198</v>
      </c>
      <c r="G979" s="5">
        <v>98.8</v>
      </c>
      <c r="H979" s="5">
        <v>98.6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99</v>
      </c>
      <c r="D980" s="5">
        <v>0.1</v>
      </c>
      <c r="E980" s="5">
        <v>99.2</v>
      </c>
      <c r="F980" s="5">
        <v>198</v>
      </c>
      <c r="G980" s="5">
        <v>98.8</v>
      </c>
      <c r="H980" s="5">
        <v>98.6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98.8</v>
      </c>
      <c r="D981" s="5">
        <v>0.1</v>
      </c>
      <c r="E981" s="5">
        <v>98.9</v>
      </c>
      <c r="F981" s="5">
        <v>198</v>
      </c>
      <c r="G981" s="5">
        <v>98.7</v>
      </c>
      <c r="H981" s="5">
        <v>98.5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98.8</v>
      </c>
      <c r="D982" s="5">
        <v>0.1</v>
      </c>
      <c r="E982" s="5">
        <v>98.9</v>
      </c>
      <c r="F982" s="5">
        <v>198</v>
      </c>
      <c r="G982" s="5">
        <v>98.7</v>
      </c>
      <c r="H982" s="5">
        <v>98.5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98.8</v>
      </c>
      <c r="D983" s="5">
        <v>0.1</v>
      </c>
      <c r="E983" s="5">
        <v>98.9</v>
      </c>
      <c r="F983" s="5">
        <v>198</v>
      </c>
      <c r="G983" s="5">
        <v>98.7</v>
      </c>
      <c r="H983" s="5">
        <v>98.5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98.8</v>
      </c>
      <c r="D984" s="5">
        <v>0.1</v>
      </c>
      <c r="E984" s="5">
        <v>98.9</v>
      </c>
      <c r="F984" s="5">
        <v>198</v>
      </c>
      <c r="G984" s="5">
        <v>98.7</v>
      </c>
      <c r="H984" s="5">
        <v>98.8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98.9</v>
      </c>
      <c r="D985" s="5">
        <v>0.1</v>
      </c>
      <c r="E985" s="5">
        <v>99.1</v>
      </c>
      <c r="F985" s="5">
        <v>198.3</v>
      </c>
      <c r="G985" s="5">
        <v>98.9</v>
      </c>
      <c r="H985" s="5">
        <v>98.8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98.9</v>
      </c>
      <c r="D986" s="5">
        <v>0.1</v>
      </c>
      <c r="E986" s="5">
        <v>99.1</v>
      </c>
      <c r="F986" s="5">
        <v>198.3</v>
      </c>
      <c r="G986" s="5">
        <v>98.9</v>
      </c>
      <c r="H986" s="5">
        <v>98.8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99.4</v>
      </c>
      <c r="D987" s="5">
        <v>0.1</v>
      </c>
      <c r="E987" s="5">
        <v>99.5</v>
      </c>
      <c r="F987" s="5">
        <v>199.2</v>
      </c>
      <c r="G987" s="5">
        <v>99.4</v>
      </c>
      <c r="H987" s="5">
        <v>99.2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99.4</v>
      </c>
      <c r="D988" s="5">
        <v>0.1</v>
      </c>
      <c r="E988" s="5">
        <v>99.5</v>
      </c>
      <c r="F988" s="5">
        <v>199.2</v>
      </c>
      <c r="G988" s="5">
        <v>99.4</v>
      </c>
      <c r="H988" s="5">
        <v>99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99.4</v>
      </c>
      <c r="D989" s="5">
        <v>0.1</v>
      </c>
      <c r="E989" s="5">
        <v>99.5</v>
      </c>
      <c r="F989" s="5">
        <v>198.7</v>
      </c>
      <c r="G989" s="5">
        <v>99.2</v>
      </c>
      <c r="H989" s="5">
        <v>99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99.4</v>
      </c>
      <c r="D990" s="5">
        <v>0.1</v>
      </c>
      <c r="E990" s="5">
        <v>99.5</v>
      </c>
      <c r="F990" s="5">
        <v>198.7</v>
      </c>
      <c r="G990" s="5">
        <v>99.2</v>
      </c>
      <c r="H990" s="5">
        <v>99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99.2</v>
      </c>
      <c r="D991" s="5">
        <v>0.1</v>
      </c>
      <c r="E991" s="5">
        <v>99.4</v>
      </c>
      <c r="F991" s="5">
        <v>198.4</v>
      </c>
      <c r="G991" s="5">
        <v>99</v>
      </c>
      <c r="H991" s="5">
        <v>98.9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99.2</v>
      </c>
      <c r="D992" s="5">
        <v>0.1</v>
      </c>
      <c r="E992" s="5">
        <v>99.4</v>
      </c>
      <c r="F992" s="5">
        <v>198.4</v>
      </c>
      <c r="G992" s="5">
        <v>99</v>
      </c>
      <c r="H992" s="5">
        <v>98.9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99.2</v>
      </c>
      <c r="D993" s="5">
        <v>0.1</v>
      </c>
      <c r="E993" s="5">
        <v>99.4</v>
      </c>
      <c r="F993" s="5">
        <v>198.4</v>
      </c>
      <c r="G993" s="5">
        <v>99</v>
      </c>
      <c r="H993" s="5">
        <v>98.9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99.2</v>
      </c>
      <c r="D994" s="5">
        <v>0.1</v>
      </c>
      <c r="E994" s="5">
        <v>99.3</v>
      </c>
      <c r="F994" s="5">
        <v>198.3</v>
      </c>
      <c r="G994" s="5">
        <v>98.9</v>
      </c>
      <c r="H994" s="5">
        <v>98.7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99.2</v>
      </c>
      <c r="D995" s="5">
        <v>0.1</v>
      </c>
      <c r="E995" s="5">
        <v>99.3</v>
      </c>
      <c r="F995" s="5">
        <v>198.3</v>
      </c>
      <c r="G995" s="5">
        <v>98.9</v>
      </c>
      <c r="H995" s="5">
        <v>98.7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97.9</v>
      </c>
      <c r="D996" s="5">
        <v>0.1</v>
      </c>
      <c r="E996" s="5">
        <v>98</v>
      </c>
      <c r="F996" s="5">
        <v>195.2</v>
      </c>
      <c r="G996" s="5">
        <v>97.6</v>
      </c>
      <c r="H996" s="5">
        <v>97.7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97.9</v>
      </c>
      <c r="D997" s="5">
        <v>0.1</v>
      </c>
      <c r="E997" s="5">
        <v>98</v>
      </c>
      <c r="F997" s="5">
        <v>195.2</v>
      </c>
      <c r="G997" s="5">
        <v>97.6</v>
      </c>
      <c r="H997" s="5">
        <v>97.7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98.9</v>
      </c>
      <c r="D998" s="5">
        <v>0.1</v>
      </c>
      <c r="E998" s="5">
        <v>98.9</v>
      </c>
      <c r="F998" s="5">
        <v>195.9</v>
      </c>
      <c r="G998" s="5">
        <v>97.9</v>
      </c>
      <c r="H998" s="5">
        <v>97.9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98.9</v>
      </c>
      <c r="D999" s="5">
        <v>0.1</v>
      </c>
      <c r="E999" s="5">
        <v>98.9</v>
      </c>
      <c r="F999" s="5">
        <v>195.9</v>
      </c>
      <c r="G999" s="5">
        <v>97.9</v>
      </c>
      <c r="H999" s="5">
        <v>97.9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98</v>
      </c>
      <c r="D1000" s="5">
        <v>0.1</v>
      </c>
      <c r="E1000" s="5">
        <v>98.1</v>
      </c>
      <c r="F1000" s="5">
        <v>195.4</v>
      </c>
      <c r="G1000" s="5">
        <v>97.5</v>
      </c>
      <c r="H1000" s="5">
        <v>97.4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98</v>
      </c>
      <c r="D1001" s="5">
        <v>0.1</v>
      </c>
      <c r="E1001" s="5">
        <v>98.1</v>
      </c>
      <c r="F1001" s="5">
        <v>195.4</v>
      </c>
      <c r="G1001" s="5">
        <v>97.5</v>
      </c>
      <c r="H1001" s="5">
        <v>97.4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98</v>
      </c>
      <c r="D1002" s="5">
        <v>0.1</v>
      </c>
      <c r="E1002" s="5">
        <v>98.1</v>
      </c>
      <c r="F1002" s="5">
        <v>195.4</v>
      </c>
      <c r="G1002" s="5">
        <v>97.5</v>
      </c>
      <c r="H1002" s="5">
        <v>97.4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98</v>
      </c>
      <c r="D1003" s="5">
        <v>0.1</v>
      </c>
      <c r="E1003" s="5">
        <v>98.1</v>
      </c>
      <c r="F1003" s="5">
        <v>195.4</v>
      </c>
      <c r="G1003" s="5">
        <v>97.5</v>
      </c>
      <c r="H1003" s="5">
        <v>97.4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92.5</v>
      </c>
      <c r="D1004" s="5">
        <v>0.1</v>
      </c>
      <c r="E1004" s="5">
        <v>92.5</v>
      </c>
      <c r="F1004" s="5">
        <v>186.2</v>
      </c>
      <c r="G1004" s="5">
        <v>92.9</v>
      </c>
      <c r="H1004" s="5">
        <v>92.7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92.5</v>
      </c>
      <c r="D1005" s="5">
        <v>0.1</v>
      </c>
      <c r="E1005" s="5">
        <v>92.5</v>
      </c>
      <c r="F1005" s="5">
        <v>186.2</v>
      </c>
      <c r="G1005" s="5">
        <v>92.9</v>
      </c>
      <c r="H1005" s="5">
        <v>92.7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92.7</v>
      </c>
      <c r="D1006" s="5">
        <v>0.1</v>
      </c>
      <c r="E1006" s="5">
        <v>92.9</v>
      </c>
      <c r="F1006" s="5">
        <v>185.1</v>
      </c>
      <c r="G1006" s="5">
        <v>92.9</v>
      </c>
      <c r="H1006" s="5">
        <v>92.7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92.7</v>
      </c>
      <c r="D1007" s="5">
        <v>0.1</v>
      </c>
      <c r="E1007" s="5">
        <v>92.9</v>
      </c>
      <c r="F1007" s="5">
        <v>185.1</v>
      </c>
      <c r="G1007" s="5">
        <v>92.9</v>
      </c>
      <c r="H1007" s="5">
        <v>93.1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91.8</v>
      </c>
      <c r="D1008" s="5">
        <v>0.1</v>
      </c>
      <c r="E1008" s="5">
        <v>91.9</v>
      </c>
      <c r="F1008" s="5">
        <v>183.5</v>
      </c>
      <c r="G1008" s="5">
        <v>92.9</v>
      </c>
      <c r="H1008" s="5">
        <v>93.1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91.8</v>
      </c>
      <c r="D1009" s="5">
        <v>0.1</v>
      </c>
      <c r="E1009" s="5">
        <v>91.9</v>
      </c>
      <c r="F1009" s="5">
        <v>183.5</v>
      </c>
      <c r="G1009" s="5">
        <v>91.5</v>
      </c>
      <c r="H1009" s="5">
        <v>91.6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99.5</v>
      </c>
      <c r="D1010" s="5">
        <v>0.1</v>
      </c>
      <c r="E1010" s="5">
        <v>91.9</v>
      </c>
      <c r="F1010" s="5">
        <v>183.5</v>
      </c>
      <c r="G1010" s="5">
        <v>91.5</v>
      </c>
      <c r="H1010" s="5">
        <v>91.6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99.5</v>
      </c>
      <c r="D1011" s="5">
        <v>0.1</v>
      </c>
      <c r="E1011" s="5">
        <v>99.6</v>
      </c>
      <c r="F1011" s="5">
        <v>199</v>
      </c>
      <c r="G1011" s="5">
        <v>99.3</v>
      </c>
      <c r="H1011" s="5">
        <v>99.2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99.5</v>
      </c>
      <c r="D1012" s="5">
        <v>0.1</v>
      </c>
      <c r="E1012" s="5">
        <v>99.6</v>
      </c>
      <c r="F1012" s="5">
        <v>199</v>
      </c>
      <c r="G1012" s="5">
        <v>99.3</v>
      </c>
      <c r="H1012" s="5">
        <v>99.2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99.5</v>
      </c>
      <c r="D1013" s="5">
        <v>0.1</v>
      </c>
      <c r="E1013" s="5">
        <v>99.6</v>
      </c>
      <c r="F1013" s="5">
        <v>199</v>
      </c>
      <c r="G1013" s="5">
        <v>99.3</v>
      </c>
      <c r="H1013" s="5">
        <v>99.2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99.5</v>
      </c>
      <c r="D1014" s="5">
        <v>0.1</v>
      </c>
      <c r="E1014" s="5">
        <v>99.6</v>
      </c>
      <c r="F1014" s="5">
        <v>199</v>
      </c>
      <c r="G1014" s="5">
        <v>99.3</v>
      </c>
      <c r="H1014" s="5">
        <v>99.2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95.1</v>
      </c>
      <c r="D1015" s="5">
        <v>0.1</v>
      </c>
      <c r="E1015" s="5">
        <v>95.1</v>
      </c>
      <c r="F1015" s="5">
        <v>190.1</v>
      </c>
      <c r="G1015" s="5">
        <v>95.5</v>
      </c>
      <c r="H1015" s="5">
        <v>96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95.1</v>
      </c>
      <c r="D1016" s="5">
        <v>0.1</v>
      </c>
      <c r="E1016" s="5">
        <v>95.1</v>
      </c>
      <c r="F1016" s="5">
        <v>190.1</v>
      </c>
      <c r="G1016" s="5">
        <v>95.5</v>
      </c>
      <c r="H1016" s="5">
        <v>96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101.2</v>
      </c>
      <c r="D1017" s="5">
        <v>0.1</v>
      </c>
      <c r="E1017" s="5">
        <v>101.4</v>
      </c>
      <c r="F1017" s="5">
        <v>201.6</v>
      </c>
      <c r="G1017" s="5">
        <v>100.7</v>
      </c>
      <c r="H1017" s="5">
        <v>100.7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101.2</v>
      </c>
      <c r="D1018" s="5">
        <v>0.1</v>
      </c>
      <c r="E1018" s="5">
        <v>101.4</v>
      </c>
      <c r="F1018" s="5">
        <v>201.6</v>
      </c>
      <c r="G1018" s="5">
        <v>100.7</v>
      </c>
      <c r="H1018" s="5">
        <v>100.7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102</v>
      </c>
      <c r="D1019" s="5">
        <v>0.1</v>
      </c>
      <c r="E1019" s="5">
        <v>102.1</v>
      </c>
      <c r="F1019" s="5">
        <v>202.2</v>
      </c>
      <c r="G1019" s="5">
        <v>101</v>
      </c>
      <c r="H1019" s="5">
        <v>101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102</v>
      </c>
      <c r="D1020" s="5">
        <v>0.1</v>
      </c>
      <c r="E1020" s="5">
        <v>102.1</v>
      </c>
      <c r="F1020" s="5">
        <v>202.2</v>
      </c>
      <c r="G1020" s="5">
        <v>101</v>
      </c>
      <c r="H1020" s="5">
        <v>101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94.2</v>
      </c>
      <c r="D1021" s="5">
        <v>0.1</v>
      </c>
      <c r="E1021" s="5">
        <v>94.3</v>
      </c>
      <c r="F1021" s="5">
        <v>187.9</v>
      </c>
      <c r="G1021" s="5">
        <v>93.7</v>
      </c>
      <c r="H1021" s="5">
        <v>93.5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94.2</v>
      </c>
      <c r="D1022" s="5">
        <v>0.1</v>
      </c>
      <c r="E1022" s="5">
        <v>94.3</v>
      </c>
      <c r="F1022" s="5">
        <v>187.9</v>
      </c>
      <c r="G1022" s="5">
        <v>93.7</v>
      </c>
      <c r="H1022" s="5">
        <v>93.5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94.2</v>
      </c>
      <c r="D1023" s="5">
        <v>0.1</v>
      </c>
      <c r="E1023" s="5">
        <v>94.3</v>
      </c>
      <c r="F1023" s="5">
        <v>187.9</v>
      </c>
      <c r="G1023" s="5">
        <v>93.7</v>
      </c>
      <c r="H1023" s="5">
        <v>93.5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100.8</v>
      </c>
      <c r="D1024" s="5">
        <v>0.1</v>
      </c>
      <c r="E1024" s="5">
        <v>101</v>
      </c>
      <c r="F1024" s="5">
        <v>202</v>
      </c>
      <c r="G1024" s="5">
        <v>101</v>
      </c>
      <c r="H1024" s="5">
        <v>100.9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100.8</v>
      </c>
      <c r="D1025" s="5">
        <v>0.1</v>
      </c>
      <c r="E1025" s="5">
        <v>101</v>
      </c>
      <c r="F1025" s="5">
        <v>202</v>
      </c>
      <c r="G1025" s="5">
        <v>101</v>
      </c>
      <c r="H1025" s="5">
        <v>100.9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101.1</v>
      </c>
      <c r="D1026" s="5">
        <v>0.1</v>
      </c>
      <c r="E1026" s="5">
        <v>101.3</v>
      </c>
      <c r="F1026" s="5">
        <v>200.5</v>
      </c>
      <c r="G1026" s="5">
        <v>98.8</v>
      </c>
      <c r="H1026" s="5">
        <v>98.3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101.1</v>
      </c>
      <c r="D1027" s="5">
        <v>0.1</v>
      </c>
      <c r="E1027" s="5">
        <v>101.3</v>
      </c>
      <c r="F1027" s="5">
        <v>200.5</v>
      </c>
      <c r="G1027" s="5">
        <v>98.8</v>
      </c>
      <c r="H1027" s="5">
        <v>98.3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95.8</v>
      </c>
      <c r="D1028" s="5">
        <v>0.1</v>
      </c>
      <c r="E1028" s="5">
        <v>96</v>
      </c>
      <c r="F1028" s="5">
        <v>191.6</v>
      </c>
      <c r="G1028" s="5">
        <v>95.6</v>
      </c>
      <c r="H1028" s="5">
        <v>95.4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95.8</v>
      </c>
      <c r="D1029" s="5">
        <v>0.1</v>
      </c>
      <c r="E1029" s="5">
        <v>96</v>
      </c>
      <c r="F1029" s="5">
        <v>191.6</v>
      </c>
      <c r="G1029" s="5">
        <v>95.6</v>
      </c>
      <c r="H1029" s="5">
        <v>95.4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95.8</v>
      </c>
      <c r="D1030" s="5">
        <v>0.1</v>
      </c>
      <c r="E1030" s="5">
        <v>93.2</v>
      </c>
      <c r="F1030" s="5">
        <v>186.4</v>
      </c>
      <c r="G1030" s="5">
        <v>92.9</v>
      </c>
      <c r="H1030" s="5">
        <v>92.8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93</v>
      </c>
      <c r="D1031" s="5">
        <v>0.1</v>
      </c>
      <c r="E1031" s="5">
        <v>93.2</v>
      </c>
      <c r="F1031" s="5">
        <v>186.4</v>
      </c>
      <c r="G1031" s="5">
        <v>92.9</v>
      </c>
      <c r="H1031" s="5">
        <v>92.8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93</v>
      </c>
      <c r="D1032" s="5">
        <v>0.1</v>
      </c>
      <c r="E1032" s="5">
        <v>93.2</v>
      </c>
      <c r="F1032" s="5">
        <v>186.4</v>
      </c>
      <c r="G1032" s="5">
        <v>92.9</v>
      </c>
      <c r="H1032" s="5">
        <v>92.8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93</v>
      </c>
      <c r="D1033" s="5">
        <v>0.1</v>
      </c>
      <c r="E1033" s="5">
        <v>93.2</v>
      </c>
      <c r="F1033" s="5">
        <v>186.4</v>
      </c>
      <c r="G1033" s="5">
        <v>92.9</v>
      </c>
      <c r="H1033" s="5">
        <v>92.8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101.1</v>
      </c>
      <c r="D1034" s="5">
        <v>0.1</v>
      </c>
      <c r="E1034" s="5">
        <v>101.1</v>
      </c>
      <c r="F1034" s="5">
        <v>199.7</v>
      </c>
      <c r="G1034" s="5">
        <v>99.8</v>
      </c>
      <c r="H1034" s="5">
        <v>99.9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101.1</v>
      </c>
      <c r="D1035" s="5">
        <v>0.1</v>
      </c>
      <c r="E1035" s="5">
        <v>101.1</v>
      </c>
      <c r="F1035" s="5">
        <v>199.7</v>
      </c>
      <c r="G1035" s="5">
        <v>99.8</v>
      </c>
      <c r="H1035" s="5">
        <v>99.9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97.6</v>
      </c>
      <c r="D1036" s="5">
        <v>0.1</v>
      </c>
      <c r="E1036" s="5">
        <v>97.8</v>
      </c>
      <c r="F1036" s="5">
        <v>196.3</v>
      </c>
      <c r="G1036" s="5">
        <v>97.7</v>
      </c>
      <c r="H1036" s="5">
        <v>97.4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97.6</v>
      </c>
      <c r="D1037" s="5">
        <v>0.1</v>
      </c>
      <c r="E1037" s="5">
        <v>97.8</v>
      </c>
      <c r="F1037" s="5">
        <v>196.3</v>
      </c>
      <c r="G1037" s="5">
        <v>97.7</v>
      </c>
      <c r="H1037" s="5">
        <v>97.4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97.1</v>
      </c>
      <c r="D1038" s="5">
        <v>0.1</v>
      </c>
      <c r="E1038" s="5">
        <v>97.2</v>
      </c>
      <c r="F1038" s="5">
        <v>193.2</v>
      </c>
      <c r="G1038" s="5">
        <v>96.2</v>
      </c>
      <c r="H1038" s="5">
        <v>96.1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97.1</v>
      </c>
      <c r="D1039" s="5">
        <v>0.1</v>
      </c>
      <c r="E1039" s="5">
        <v>97.2</v>
      </c>
      <c r="F1039" s="5">
        <v>193.2</v>
      </c>
      <c r="G1039" s="5">
        <v>96.2</v>
      </c>
      <c r="H1039" s="5">
        <v>96.1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96.4</v>
      </c>
      <c r="D1040" s="5">
        <v>0.1</v>
      </c>
      <c r="E1040" s="5">
        <v>96.5</v>
      </c>
      <c r="F1040" s="5">
        <v>192.2</v>
      </c>
      <c r="G1040" s="5">
        <v>96</v>
      </c>
      <c r="H1040" s="5">
        <v>95.9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96.4</v>
      </c>
      <c r="D1041" s="5">
        <v>0.1</v>
      </c>
      <c r="E1041" s="5">
        <v>96.5</v>
      </c>
      <c r="F1041" s="5">
        <v>192.2</v>
      </c>
      <c r="G1041" s="5">
        <v>96</v>
      </c>
      <c r="H1041" s="5">
        <v>95.9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96.4</v>
      </c>
      <c r="D1042" s="5">
        <v>0.1</v>
      </c>
      <c r="E1042" s="5">
        <v>96.5</v>
      </c>
      <c r="F1042" s="5">
        <v>192.2</v>
      </c>
      <c r="G1042" s="5">
        <v>96</v>
      </c>
      <c r="H1042" s="5">
        <v>95.9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96.4</v>
      </c>
      <c r="D1043" s="5">
        <v>0.1</v>
      </c>
      <c r="E1043" s="5">
        <v>96.5</v>
      </c>
      <c r="F1043" s="5">
        <v>192.2</v>
      </c>
      <c r="G1043" s="5">
        <v>96</v>
      </c>
      <c r="H1043" s="5">
        <v>95.9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100.4</v>
      </c>
      <c r="D1044" s="5">
        <v>0.1</v>
      </c>
      <c r="E1044" s="5">
        <v>100.5</v>
      </c>
      <c r="F1044" s="5">
        <v>199.3</v>
      </c>
      <c r="G1044" s="5">
        <v>99.5</v>
      </c>
      <c r="H1044" s="5">
        <v>99.4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100.4</v>
      </c>
      <c r="D1045" s="5">
        <v>0.1</v>
      </c>
      <c r="E1045" s="5">
        <v>100.5</v>
      </c>
      <c r="F1045" s="5">
        <v>199.3</v>
      </c>
      <c r="G1045" s="5">
        <v>99.5</v>
      </c>
      <c r="H1045" s="5">
        <v>99.4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100.3</v>
      </c>
      <c r="D1046" s="5">
        <v>0.1</v>
      </c>
      <c r="E1046" s="5">
        <v>100.5</v>
      </c>
      <c r="F1046" s="5">
        <v>199.9</v>
      </c>
      <c r="G1046" s="5">
        <v>99.8</v>
      </c>
      <c r="H1046" s="5">
        <v>99.8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100.3</v>
      </c>
      <c r="D1047" s="5">
        <v>0.1</v>
      </c>
      <c r="E1047" s="5">
        <v>100.5</v>
      </c>
      <c r="F1047" s="5">
        <v>199.9</v>
      </c>
      <c r="G1047" s="5">
        <v>99.8</v>
      </c>
      <c r="H1047" s="5">
        <v>99.8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100</v>
      </c>
      <c r="D1048" s="5">
        <v>0.1</v>
      </c>
      <c r="E1048" s="5">
        <v>100.2</v>
      </c>
      <c r="F1048" s="5">
        <v>199.4</v>
      </c>
      <c r="G1048" s="5">
        <v>99.4</v>
      </c>
      <c r="H1048" s="5">
        <v>99.3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100</v>
      </c>
      <c r="D1049" s="5">
        <v>0.1</v>
      </c>
      <c r="E1049" s="5">
        <v>100.2</v>
      </c>
      <c r="F1049" s="5">
        <v>199.4</v>
      </c>
      <c r="G1049" s="5">
        <v>99.4</v>
      </c>
      <c r="H1049" s="5">
        <v>99.3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99.9</v>
      </c>
      <c r="D1050" s="5">
        <v>0.1</v>
      </c>
      <c r="E1050" s="5">
        <v>100.1</v>
      </c>
      <c r="F1050" s="5">
        <v>199.6</v>
      </c>
      <c r="G1050" s="5">
        <v>99.6</v>
      </c>
      <c r="H1050" s="5">
        <v>99.5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99.9</v>
      </c>
      <c r="D1051" s="5">
        <v>0.1</v>
      </c>
      <c r="E1051" s="5">
        <v>100.1</v>
      </c>
      <c r="F1051" s="5">
        <v>199.6</v>
      </c>
      <c r="G1051" s="5">
        <v>99.6</v>
      </c>
      <c r="H1051" s="5">
        <v>99.5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99.9</v>
      </c>
      <c r="D1052" s="5">
        <v>0.1</v>
      </c>
      <c r="E1052" s="5">
        <v>100.1</v>
      </c>
      <c r="F1052" s="5">
        <v>199.6</v>
      </c>
      <c r="G1052" s="5">
        <v>99.6</v>
      </c>
      <c r="H1052" s="5">
        <v>99.5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99.9</v>
      </c>
      <c r="D1053" s="5">
        <v>0.1</v>
      </c>
      <c r="E1053" s="5">
        <v>100.1</v>
      </c>
      <c r="F1053" s="5">
        <v>199.6</v>
      </c>
      <c r="G1053" s="5">
        <v>99.6</v>
      </c>
      <c r="H1053" s="5">
        <v>99.5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99.7</v>
      </c>
      <c r="D1054" s="5">
        <v>0.1</v>
      </c>
      <c r="E1054" s="5">
        <v>99.9</v>
      </c>
      <c r="F1054" s="5">
        <v>198.9</v>
      </c>
      <c r="G1054" s="5">
        <v>99.1</v>
      </c>
      <c r="H1054" s="5">
        <v>98.9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99.7</v>
      </c>
      <c r="D1055" s="5">
        <v>0.1</v>
      </c>
      <c r="E1055" s="5">
        <v>99.9</v>
      </c>
      <c r="F1055" s="5">
        <v>198.9</v>
      </c>
      <c r="G1055" s="5">
        <v>99.1</v>
      </c>
      <c r="H1055" s="5">
        <v>98.9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99</v>
      </c>
      <c r="D1056" s="5">
        <v>0.1</v>
      </c>
      <c r="E1056" s="5">
        <v>99.2</v>
      </c>
      <c r="F1056" s="5">
        <v>197.8</v>
      </c>
      <c r="G1056" s="5">
        <v>98.7</v>
      </c>
      <c r="H1056" s="5">
        <v>98.5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99</v>
      </c>
      <c r="D1057" s="5">
        <v>0.1</v>
      </c>
      <c r="E1057" s="5">
        <v>99.2</v>
      </c>
      <c r="F1057" s="5">
        <v>197.8</v>
      </c>
      <c r="G1057" s="5">
        <v>98.7</v>
      </c>
      <c r="H1057" s="5">
        <v>98.5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98.3</v>
      </c>
      <c r="D1058" s="5">
        <v>0.1</v>
      </c>
      <c r="E1058" s="5">
        <v>98.5</v>
      </c>
      <c r="F1058" s="5">
        <v>196.8</v>
      </c>
      <c r="G1058" s="5">
        <v>98.2</v>
      </c>
      <c r="H1058" s="5">
        <v>98.1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98.3</v>
      </c>
      <c r="D1059" s="5">
        <v>0.1</v>
      </c>
      <c r="E1059" s="5">
        <v>98.5</v>
      </c>
      <c r="F1059" s="5">
        <v>196.8</v>
      </c>
      <c r="G1059" s="5">
        <v>98.2</v>
      </c>
      <c r="H1059" s="5">
        <v>98.1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98.9</v>
      </c>
      <c r="D1060" s="5">
        <v>0.1</v>
      </c>
      <c r="E1060" s="5">
        <v>99</v>
      </c>
      <c r="F1060" s="5">
        <v>197.1</v>
      </c>
      <c r="G1060" s="5">
        <v>98.3</v>
      </c>
      <c r="H1060" s="5">
        <v>98.1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98.9</v>
      </c>
      <c r="D1061" s="5">
        <v>0.1</v>
      </c>
      <c r="E1061" s="5">
        <v>99</v>
      </c>
      <c r="F1061" s="5">
        <v>197.1</v>
      </c>
      <c r="G1061" s="5">
        <v>98.3</v>
      </c>
      <c r="H1061" s="5">
        <v>98.1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98.9</v>
      </c>
      <c r="D1062" s="5">
        <v>0.1</v>
      </c>
      <c r="E1062" s="5">
        <v>99</v>
      </c>
      <c r="F1062" s="5">
        <v>197.1</v>
      </c>
      <c r="G1062" s="5">
        <v>98.3</v>
      </c>
      <c r="H1062" s="5">
        <v>98.1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98.9</v>
      </c>
      <c r="D1063" s="5">
        <v>0.1</v>
      </c>
      <c r="E1063" s="5">
        <v>99</v>
      </c>
      <c r="F1063" s="5">
        <v>197.1</v>
      </c>
      <c r="G1063" s="5">
        <v>98.3</v>
      </c>
      <c r="H1063" s="5">
        <v>98.1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97.9</v>
      </c>
      <c r="D1064" s="5">
        <v>0.1</v>
      </c>
      <c r="E1064" s="5">
        <v>98</v>
      </c>
      <c r="F1064" s="5">
        <v>196.6</v>
      </c>
      <c r="G1064" s="5">
        <v>98</v>
      </c>
      <c r="H1064" s="5">
        <v>97.9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97.9</v>
      </c>
      <c r="D1065" s="5">
        <v>0.1</v>
      </c>
      <c r="E1065" s="5">
        <v>98</v>
      </c>
      <c r="F1065" s="5">
        <v>196.6</v>
      </c>
      <c r="G1065" s="5">
        <v>98</v>
      </c>
      <c r="H1065" s="5">
        <v>97.9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98.5</v>
      </c>
      <c r="D1066" s="5">
        <v>0.1</v>
      </c>
      <c r="E1066" s="5">
        <v>98.6</v>
      </c>
      <c r="F1066" s="5">
        <v>196.7</v>
      </c>
      <c r="G1066" s="5">
        <v>98.1</v>
      </c>
      <c r="H1066" s="5">
        <v>98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98.5</v>
      </c>
      <c r="D1067" s="5">
        <v>0.1</v>
      </c>
      <c r="E1067" s="5">
        <v>98.6</v>
      </c>
      <c r="F1067" s="5">
        <v>196.7</v>
      </c>
      <c r="G1067" s="5">
        <v>98.1</v>
      </c>
      <c r="H1067" s="5">
        <v>98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98.7</v>
      </c>
      <c r="D1068" s="5">
        <v>0.1</v>
      </c>
      <c r="E1068" s="5">
        <v>98.8</v>
      </c>
      <c r="F1068" s="5">
        <v>197.3</v>
      </c>
      <c r="G1068" s="5">
        <v>98.4</v>
      </c>
      <c r="H1068" s="5">
        <v>98.2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98.7</v>
      </c>
      <c r="D1069" s="5">
        <v>0.1</v>
      </c>
      <c r="E1069" s="5">
        <v>98.8</v>
      </c>
      <c r="F1069" s="5">
        <v>197.3</v>
      </c>
      <c r="G1069" s="5">
        <v>98.4</v>
      </c>
      <c r="H1069" s="5">
        <v>98.2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99.2</v>
      </c>
      <c r="D1070" s="5">
        <v>0.1</v>
      </c>
      <c r="E1070" s="5">
        <v>99.3</v>
      </c>
      <c r="F1070" s="5">
        <v>197.6</v>
      </c>
      <c r="G1070" s="5">
        <v>98.5</v>
      </c>
      <c r="H1070" s="5">
        <v>98.3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99.2</v>
      </c>
      <c r="D1071" s="5">
        <v>0.1</v>
      </c>
      <c r="E1071" s="5">
        <v>99.3</v>
      </c>
      <c r="F1071" s="5">
        <v>197.6</v>
      </c>
      <c r="G1071" s="5">
        <v>98.5</v>
      </c>
      <c r="H1071" s="5">
        <v>98.3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99.2</v>
      </c>
      <c r="D1072" s="5">
        <v>0.1</v>
      </c>
      <c r="E1072" s="5">
        <v>99.3</v>
      </c>
      <c r="F1072" s="5">
        <v>197.6</v>
      </c>
      <c r="G1072" s="5">
        <v>98.5</v>
      </c>
      <c r="H1072" s="5">
        <v>98.3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99.2</v>
      </c>
      <c r="D1073" s="5">
        <v>0.1</v>
      </c>
      <c r="E1073" s="5">
        <v>99.3</v>
      </c>
      <c r="F1073" s="5">
        <v>197.6</v>
      </c>
      <c r="G1073" s="5">
        <v>98.5</v>
      </c>
      <c r="H1073" s="5">
        <v>98.3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100.5</v>
      </c>
      <c r="D1074" s="5">
        <v>0.1</v>
      </c>
      <c r="E1074" s="5">
        <v>100.6</v>
      </c>
      <c r="F1074" s="5">
        <v>200.8</v>
      </c>
      <c r="G1074" s="5">
        <v>100.2</v>
      </c>
      <c r="H1074" s="5">
        <v>100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100.5</v>
      </c>
      <c r="D1075" s="5">
        <v>0.1</v>
      </c>
      <c r="E1075" s="5">
        <v>100.6</v>
      </c>
      <c r="F1075" s="5">
        <v>200.8</v>
      </c>
      <c r="G1075" s="5">
        <v>100.2</v>
      </c>
      <c r="H1075" s="5">
        <v>100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101.3</v>
      </c>
      <c r="D1076" s="5">
        <v>0.1</v>
      </c>
      <c r="E1076" s="5">
        <v>101.5</v>
      </c>
      <c r="F1076" s="5">
        <v>202.2</v>
      </c>
      <c r="G1076" s="5">
        <v>100.9</v>
      </c>
      <c r="H1076" s="5">
        <v>100.8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101.3</v>
      </c>
      <c r="D1077" s="5">
        <v>0.1</v>
      </c>
      <c r="E1077" s="5">
        <v>101.5</v>
      </c>
      <c r="F1077" s="5">
        <v>202.2</v>
      </c>
      <c r="G1077" s="5">
        <v>100.9</v>
      </c>
      <c r="H1077" s="5">
        <v>100.8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100.5</v>
      </c>
      <c r="D1078" s="5">
        <v>0.1</v>
      </c>
      <c r="E1078" s="5">
        <v>100.7</v>
      </c>
      <c r="F1078" s="5">
        <v>201.7</v>
      </c>
      <c r="G1078" s="5">
        <v>100.4</v>
      </c>
      <c r="H1078" s="5">
        <v>100.4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100.5</v>
      </c>
      <c r="D1079" s="5">
        <v>0.1</v>
      </c>
      <c r="E1079" s="5">
        <v>100.7</v>
      </c>
      <c r="F1079" s="5">
        <v>201.7</v>
      </c>
      <c r="G1079" s="5">
        <v>100.4</v>
      </c>
      <c r="H1079" s="5">
        <v>100.4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101.5</v>
      </c>
      <c r="D1080" s="5">
        <v>0.1</v>
      </c>
      <c r="E1080" s="5">
        <v>101.7</v>
      </c>
      <c r="F1080" s="5">
        <v>202.2</v>
      </c>
      <c r="G1080" s="5">
        <v>100.9</v>
      </c>
      <c r="H1080" s="5">
        <v>100.8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101.5</v>
      </c>
      <c r="D1081" s="5">
        <v>0.1</v>
      </c>
      <c r="E1081" s="5">
        <v>101.7</v>
      </c>
      <c r="F1081" s="5">
        <v>202.2</v>
      </c>
      <c r="G1081" s="5">
        <v>100.9</v>
      </c>
      <c r="H1081" s="5">
        <v>100.8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101.5</v>
      </c>
      <c r="D1082" s="5">
        <v>0.1</v>
      </c>
      <c r="E1082" s="5">
        <v>101.7</v>
      </c>
      <c r="F1082" s="5">
        <v>202.2</v>
      </c>
      <c r="G1082" s="5">
        <v>100.9</v>
      </c>
      <c r="H1082" s="5">
        <v>100.8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101.5</v>
      </c>
      <c r="D1083" s="5">
        <v>0.1</v>
      </c>
      <c r="E1083" s="5">
        <v>101.7</v>
      </c>
      <c r="F1083" s="5">
        <v>202.2</v>
      </c>
      <c r="G1083" s="5">
        <v>100.9</v>
      </c>
      <c r="H1083" s="5">
        <v>100.8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100.9</v>
      </c>
      <c r="D1084" s="5">
        <v>0.1</v>
      </c>
      <c r="E1084" s="5">
        <v>101</v>
      </c>
      <c r="F1084" s="5">
        <v>199.8</v>
      </c>
      <c r="G1084" s="5">
        <v>99.7</v>
      </c>
      <c r="H1084" s="5">
        <v>99.6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100.9</v>
      </c>
      <c r="D1085" s="5">
        <v>0.1</v>
      </c>
      <c r="E1085" s="5">
        <v>101</v>
      </c>
      <c r="F1085" s="5">
        <v>199.8</v>
      </c>
      <c r="G1085" s="5">
        <v>99.7</v>
      </c>
      <c r="H1085" s="5">
        <v>99.6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100</v>
      </c>
      <c r="D1086" s="5">
        <v>0.1</v>
      </c>
      <c r="E1086" s="5">
        <v>100.2</v>
      </c>
      <c r="F1086" s="5">
        <v>200</v>
      </c>
      <c r="G1086" s="5">
        <v>99.9</v>
      </c>
      <c r="H1086" s="5">
        <v>99.8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100</v>
      </c>
      <c r="D1087" s="5">
        <v>0.1</v>
      </c>
      <c r="E1087" s="5">
        <v>100.2</v>
      </c>
      <c r="F1087" s="5">
        <v>200</v>
      </c>
      <c r="G1087" s="5">
        <v>99.9</v>
      </c>
      <c r="H1087" s="5">
        <v>99.8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100.7</v>
      </c>
      <c r="D1088" s="5">
        <v>0.1</v>
      </c>
      <c r="E1088" s="5">
        <v>100.8</v>
      </c>
      <c r="F1088" s="5">
        <v>200.9</v>
      </c>
      <c r="G1088" s="5">
        <v>100.2</v>
      </c>
      <c r="H1088" s="5">
        <v>99.8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100.7</v>
      </c>
      <c r="D1089" s="5">
        <v>0.1</v>
      </c>
      <c r="E1089" s="5">
        <v>100.8</v>
      </c>
      <c r="F1089" s="5">
        <v>200.9</v>
      </c>
      <c r="G1089" s="5">
        <v>100.2</v>
      </c>
      <c r="H1089" s="5">
        <v>99.8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100</v>
      </c>
      <c r="D1090" s="5">
        <v>0.1</v>
      </c>
      <c r="E1090" s="5">
        <v>100.1</v>
      </c>
      <c r="F1090" s="5">
        <v>199.8</v>
      </c>
      <c r="G1090" s="5">
        <v>99.7</v>
      </c>
      <c r="H1090" s="5">
        <v>99.5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100</v>
      </c>
      <c r="D1091" s="5">
        <v>0.1</v>
      </c>
      <c r="E1091" s="5">
        <v>100.1</v>
      </c>
      <c r="F1091" s="5">
        <v>199.8</v>
      </c>
      <c r="G1091" s="5">
        <v>99.7</v>
      </c>
      <c r="H1091" s="5">
        <v>99.5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100</v>
      </c>
      <c r="D1092" s="5">
        <v>0.1</v>
      </c>
      <c r="E1092" s="5">
        <v>100.1</v>
      </c>
      <c r="F1092" s="5">
        <v>199.8</v>
      </c>
      <c r="G1092" s="5">
        <v>99.7</v>
      </c>
      <c r="H1092" s="5">
        <v>99.5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100</v>
      </c>
      <c r="D1093" s="5">
        <v>0.1</v>
      </c>
      <c r="E1093" s="5">
        <v>100.1</v>
      </c>
      <c r="F1093" s="5">
        <v>199.8</v>
      </c>
      <c r="G1093" s="5">
        <v>99.7</v>
      </c>
      <c r="H1093" s="5">
        <v>99.5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100.7</v>
      </c>
      <c r="D1094" s="5">
        <v>0.1</v>
      </c>
      <c r="E1094" s="5">
        <v>100.8</v>
      </c>
      <c r="F1094" s="5">
        <v>199.4</v>
      </c>
      <c r="G1094" s="5">
        <v>99.6</v>
      </c>
      <c r="H1094" s="5">
        <v>99.5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100.7</v>
      </c>
      <c r="D1095" s="5">
        <v>0.1</v>
      </c>
      <c r="E1095" s="5">
        <v>100.8</v>
      </c>
      <c r="F1095" s="5">
        <v>199.4</v>
      </c>
      <c r="G1095" s="5">
        <v>99.6</v>
      </c>
      <c r="H1095" s="5">
        <v>99.5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101.1</v>
      </c>
      <c r="D1096" s="5">
        <v>0.1</v>
      </c>
      <c r="E1096" s="5">
        <v>101.3</v>
      </c>
      <c r="F1096" s="5">
        <v>201.6</v>
      </c>
      <c r="G1096" s="5">
        <v>100.7</v>
      </c>
      <c r="H1096" s="5">
        <v>100.6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101.1</v>
      </c>
      <c r="D1097" s="5">
        <v>0.1</v>
      </c>
      <c r="E1097" s="5">
        <v>101.3</v>
      </c>
      <c r="F1097" s="5">
        <v>201.6</v>
      </c>
      <c r="G1097" s="5">
        <v>100.7</v>
      </c>
      <c r="H1097" s="5">
        <v>100.6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100.8</v>
      </c>
      <c r="D1098" s="5">
        <v>0.1</v>
      </c>
      <c r="E1098" s="5">
        <v>100.9</v>
      </c>
      <c r="F1098" s="5">
        <v>201.3</v>
      </c>
      <c r="G1098" s="5">
        <v>100.3</v>
      </c>
      <c r="H1098" s="5">
        <v>100.1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100.8</v>
      </c>
      <c r="D1099" s="5">
        <v>0.1</v>
      </c>
      <c r="E1099" s="5">
        <v>100.9</v>
      </c>
      <c r="F1099" s="5">
        <v>201.3</v>
      </c>
      <c r="G1099" s="5">
        <v>100.3</v>
      </c>
      <c r="H1099" s="5">
        <v>100.1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101.5</v>
      </c>
      <c r="D1100" s="5">
        <v>0.1</v>
      </c>
      <c r="E1100" s="5">
        <v>101.6</v>
      </c>
      <c r="F1100" s="5">
        <v>202.8</v>
      </c>
      <c r="G1100" s="5">
        <v>101.2</v>
      </c>
      <c r="H1100" s="5">
        <v>101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101.5</v>
      </c>
      <c r="D1101" s="5">
        <v>0.1</v>
      </c>
      <c r="E1101" s="5">
        <v>101.6</v>
      </c>
      <c r="F1101" s="5">
        <v>202.8</v>
      </c>
      <c r="G1101" s="5">
        <v>101.2</v>
      </c>
      <c r="H1101" s="5">
        <v>101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101.5</v>
      </c>
      <c r="D1102" s="5">
        <v>0.1</v>
      </c>
      <c r="E1102" s="5">
        <v>101.6</v>
      </c>
      <c r="F1102" s="5">
        <v>202.8</v>
      </c>
      <c r="G1102" s="5">
        <v>101.2</v>
      </c>
      <c r="H1102" s="5">
        <v>101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101.5</v>
      </c>
      <c r="D1103" s="5">
        <v>0.1</v>
      </c>
      <c r="E1103" s="5">
        <v>101.6</v>
      </c>
      <c r="F1103" s="5">
        <v>202.8</v>
      </c>
      <c r="G1103" s="5">
        <v>101.2</v>
      </c>
      <c r="H1103" s="5">
        <v>101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101.1</v>
      </c>
      <c r="D1104" s="5">
        <v>0.1</v>
      </c>
      <c r="E1104" s="5">
        <v>101.3</v>
      </c>
      <c r="F1104" s="5">
        <v>202.5</v>
      </c>
      <c r="G1104" s="5">
        <v>101.3</v>
      </c>
      <c r="H1104" s="5">
        <v>101.1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101.1</v>
      </c>
      <c r="D1105" s="5">
        <v>0.1</v>
      </c>
      <c r="E1105" s="5">
        <v>101.3</v>
      </c>
      <c r="F1105" s="5">
        <v>202.5</v>
      </c>
      <c r="G1105" s="5">
        <v>101.3</v>
      </c>
      <c r="H1105" s="5">
        <v>101.1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101.3</v>
      </c>
      <c r="D1106" s="5">
        <v>0.1</v>
      </c>
      <c r="E1106" s="5">
        <v>101.5</v>
      </c>
      <c r="F1106" s="5">
        <v>202.5</v>
      </c>
      <c r="G1106" s="5">
        <v>101.1</v>
      </c>
      <c r="H1106" s="5">
        <v>101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101.3</v>
      </c>
      <c r="D1107" s="5">
        <v>0.1</v>
      </c>
      <c r="E1107" s="5">
        <v>101.5</v>
      </c>
      <c r="F1107" s="5">
        <v>202.5</v>
      </c>
      <c r="G1107" s="5">
        <v>101.1</v>
      </c>
      <c r="H1107" s="5">
        <v>101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101.1</v>
      </c>
      <c r="D1108" s="5">
        <v>0.1</v>
      </c>
      <c r="E1108" s="5">
        <v>101.2</v>
      </c>
      <c r="F1108" s="5">
        <v>202</v>
      </c>
      <c r="G1108" s="5">
        <v>100.9</v>
      </c>
      <c r="H1108" s="5">
        <v>101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101.1</v>
      </c>
      <c r="D1109" s="5">
        <v>0.1</v>
      </c>
      <c r="E1109" s="5">
        <v>101.2</v>
      </c>
      <c r="F1109" s="5">
        <v>202</v>
      </c>
      <c r="G1109" s="5">
        <v>100.9</v>
      </c>
      <c r="H1109" s="5">
        <v>101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100.5</v>
      </c>
      <c r="D1110" s="5">
        <v>0.1</v>
      </c>
      <c r="E1110" s="5">
        <v>100.7</v>
      </c>
      <c r="F1110" s="5">
        <v>201.4</v>
      </c>
      <c r="G1110" s="5">
        <v>100.5</v>
      </c>
      <c r="H1110" s="5">
        <v>100.3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100.5</v>
      </c>
      <c r="D1111" s="5">
        <v>0.1</v>
      </c>
      <c r="E1111" s="5">
        <v>100.7</v>
      </c>
      <c r="F1111" s="5">
        <v>201.4</v>
      </c>
      <c r="G1111" s="5">
        <v>100.5</v>
      </c>
      <c r="H1111" s="5">
        <v>100.3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100.5</v>
      </c>
      <c r="D1112" s="5">
        <v>0.1</v>
      </c>
      <c r="E1112" s="5">
        <v>100.7</v>
      </c>
      <c r="F1112" s="5">
        <v>201.4</v>
      </c>
      <c r="G1112" s="5">
        <v>100.5</v>
      </c>
      <c r="H1112" s="5">
        <v>100.3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100.5</v>
      </c>
      <c r="D1113" s="5">
        <v>0.1</v>
      </c>
      <c r="E1113" s="5">
        <v>100.7</v>
      </c>
      <c r="F1113" s="5">
        <v>201.4</v>
      </c>
      <c r="G1113" s="5">
        <v>100.5</v>
      </c>
      <c r="H1113" s="5">
        <v>100.3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101.2</v>
      </c>
      <c r="D1114" s="5">
        <v>0.1</v>
      </c>
      <c r="E1114" s="5">
        <v>101.4</v>
      </c>
      <c r="F1114" s="5">
        <v>202.2</v>
      </c>
      <c r="G1114" s="5">
        <v>100.9</v>
      </c>
      <c r="H1114" s="5">
        <v>100.7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101.2</v>
      </c>
      <c r="D1115" s="5">
        <v>0.1</v>
      </c>
      <c r="E1115" s="5">
        <v>101.4</v>
      </c>
      <c r="F1115" s="5">
        <v>202.2</v>
      </c>
      <c r="G1115" s="5">
        <v>100.9</v>
      </c>
      <c r="H1115" s="5">
        <v>100.7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101.1</v>
      </c>
      <c r="D1116" s="5">
        <v>0.1</v>
      </c>
      <c r="E1116" s="5">
        <v>101.3</v>
      </c>
      <c r="F1116" s="5">
        <v>202.7</v>
      </c>
      <c r="G1116" s="5">
        <v>101.2</v>
      </c>
      <c r="H1116" s="5">
        <v>101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101.1</v>
      </c>
      <c r="D1117" s="5">
        <v>0.1</v>
      </c>
      <c r="E1117" s="5">
        <v>101.3</v>
      </c>
      <c r="F1117" s="5">
        <v>202.7</v>
      </c>
      <c r="G1117" s="5">
        <v>101.2</v>
      </c>
      <c r="H1117" s="5">
        <v>101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101.3</v>
      </c>
      <c r="D1118" s="5">
        <v>0.1</v>
      </c>
      <c r="E1118" s="5">
        <v>101.5</v>
      </c>
      <c r="F1118" s="5">
        <v>203</v>
      </c>
      <c r="G1118" s="5">
        <v>101.3</v>
      </c>
      <c r="H1118" s="5">
        <v>101.2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101.3</v>
      </c>
      <c r="D1119" s="5">
        <v>0.1</v>
      </c>
      <c r="E1119" s="5">
        <v>101.5</v>
      </c>
      <c r="F1119" s="5">
        <v>203</v>
      </c>
      <c r="G1119" s="5">
        <v>101.3</v>
      </c>
      <c r="H1119" s="5">
        <v>101.2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101.3</v>
      </c>
      <c r="D1120" s="5">
        <v>0.1</v>
      </c>
      <c r="E1120" s="5">
        <v>101.5</v>
      </c>
      <c r="F1120" s="5">
        <v>202.6</v>
      </c>
      <c r="G1120" s="5">
        <v>101</v>
      </c>
      <c r="H1120" s="5">
        <v>101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101.3</v>
      </c>
      <c r="D1121" s="5">
        <v>0.1</v>
      </c>
      <c r="E1121" s="5">
        <v>101.5</v>
      </c>
      <c r="F1121" s="5">
        <v>202.6</v>
      </c>
      <c r="G1121" s="5">
        <v>101</v>
      </c>
      <c r="H1121" s="5">
        <v>101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101.3</v>
      </c>
      <c r="D1122" s="5">
        <v>0.1</v>
      </c>
      <c r="E1122" s="5">
        <v>101.5</v>
      </c>
      <c r="F1122" s="5">
        <v>202.6</v>
      </c>
      <c r="G1122" s="5">
        <v>101</v>
      </c>
      <c r="H1122" s="5">
        <v>101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101.5</v>
      </c>
      <c r="D1123" s="5">
        <v>0.1</v>
      </c>
      <c r="E1123" s="5">
        <v>101.5</v>
      </c>
      <c r="F1123" s="5">
        <v>202.3</v>
      </c>
      <c r="G1123" s="5">
        <v>100.9</v>
      </c>
      <c r="H1123" s="5">
        <v>100.7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101.5</v>
      </c>
      <c r="D1124" s="5">
        <v>0.1</v>
      </c>
      <c r="E1124" s="5">
        <v>101.5</v>
      </c>
      <c r="F1124" s="5">
        <v>202.3</v>
      </c>
      <c r="G1124" s="5">
        <v>100.9</v>
      </c>
      <c r="H1124" s="5">
        <v>100.7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101.2</v>
      </c>
      <c r="D1125" s="5">
        <v>0.1</v>
      </c>
      <c r="E1125" s="5">
        <v>101.4</v>
      </c>
      <c r="F1125" s="5">
        <v>202.3</v>
      </c>
      <c r="G1125" s="5">
        <v>101</v>
      </c>
      <c r="H1125" s="5">
        <v>101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101.2</v>
      </c>
      <c r="D1126" s="5">
        <v>0.1</v>
      </c>
      <c r="E1126" s="5">
        <v>101.4</v>
      </c>
      <c r="F1126" s="5">
        <v>202.3</v>
      </c>
      <c r="G1126" s="5">
        <v>101</v>
      </c>
      <c r="H1126" s="5">
        <v>101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102.4</v>
      </c>
      <c r="D1127" s="5">
        <v>0.1</v>
      </c>
      <c r="E1127" s="5">
        <v>102.5</v>
      </c>
      <c r="F1127" s="5">
        <v>203.9</v>
      </c>
      <c r="G1127" s="5">
        <v>101.8</v>
      </c>
      <c r="H1127" s="5">
        <v>101.6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102.4</v>
      </c>
      <c r="D1128" s="5">
        <v>0.1</v>
      </c>
      <c r="E1128" s="5">
        <v>102.5</v>
      </c>
      <c r="F1128" s="5">
        <v>203.9</v>
      </c>
      <c r="G1128" s="5">
        <v>101.8</v>
      </c>
      <c r="H1128" s="5">
        <v>101.6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101.6</v>
      </c>
      <c r="D1129" s="5">
        <v>0.1</v>
      </c>
      <c r="E1129" s="5">
        <v>101.8</v>
      </c>
      <c r="F1129" s="5">
        <v>202.3</v>
      </c>
      <c r="G1129" s="5">
        <v>100.9</v>
      </c>
      <c r="H1129" s="5">
        <v>100.7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101.6</v>
      </c>
      <c r="D1130" s="5">
        <v>0.1</v>
      </c>
      <c r="E1130" s="5">
        <v>101.8</v>
      </c>
      <c r="F1130" s="5">
        <v>202.3</v>
      </c>
      <c r="G1130" s="5">
        <v>100.9</v>
      </c>
      <c r="H1130" s="5">
        <v>100.7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101.6</v>
      </c>
      <c r="D1131" s="5">
        <v>0.1</v>
      </c>
      <c r="E1131" s="5">
        <v>101.8</v>
      </c>
      <c r="F1131" s="5">
        <v>202.3</v>
      </c>
      <c r="G1131" s="5">
        <v>100.9</v>
      </c>
      <c r="H1131" s="5">
        <v>100.7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101.6</v>
      </c>
      <c r="D1132" s="5">
        <v>0.1</v>
      </c>
      <c r="E1132" s="5">
        <v>101.8</v>
      </c>
      <c r="F1132" s="5">
        <v>202.3</v>
      </c>
      <c r="G1132" s="5">
        <v>100.9</v>
      </c>
      <c r="H1132" s="5">
        <v>100.7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101.2</v>
      </c>
      <c r="D1133" s="5">
        <v>0.1</v>
      </c>
      <c r="E1133" s="5">
        <v>101.4</v>
      </c>
      <c r="F1133" s="5">
        <v>201.9</v>
      </c>
      <c r="G1133" s="5">
        <v>100.7</v>
      </c>
      <c r="H1133" s="5">
        <v>100.7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101.2</v>
      </c>
      <c r="D1134" s="5">
        <v>0.1</v>
      </c>
      <c r="E1134" s="5">
        <v>101.4</v>
      </c>
      <c r="F1134" s="5">
        <v>201.9</v>
      </c>
      <c r="G1134" s="5">
        <v>100.7</v>
      </c>
      <c r="H1134" s="5">
        <v>100.6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101.5</v>
      </c>
      <c r="D1135" s="5">
        <v>0.1</v>
      </c>
      <c r="E1135" s="5">
        <v>101.6</v>
      </c>
      <c r="F1135" s="5">
        <v>203.2</v>
      </c>
      <c r="G1135" s="5">
        <v>100.7</v>
      </c>
      <c r="H1135" s="5">
        <v>100.6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101.5</v>
      </c>
      <c r="D1136" s="5">
        <v>0.1</v>
      </c>
      <c r="E1136" s="5">
        <v>101.6</v>
      </c>
      <c r="F1136" s="5">
        <v>203.2</v>
      </c>
      <c r="G1136" s="5">
        <v>101.4</v>
      </c>
      <c r="H1136" s="5">
        <v>101.2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102.1</v>
      </c>
      <c r="D1137" s="5">
        <v>0.1</v>
      </c>
      <c r="E1137" s="5">
        <v>102.2</v>
      </c>
      <c r="F1137" s="5">
        <v>203.2</v>
      </c>
      <c r="G1137" s="5">
        <v>101.4</v>
      </c>
      <c r="H1137" s="5">
        <v>101.2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102.1</v>
      </c>
      <c r="D1138" s="5">
        <v>0.1</v>
      </c>
      <c r="E1138" s="5">
        <v>102.2</v>
      </c>
      <c r="F1138" s="5">
        <v>203.8</v>
      </c>
      <c r="G1138" s="5">
        <v>101.6</v>
      </c>
      <c r="H1138" s="5">
        <v>101.5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101.5</v>
      </c>
      <c r="D1139" s="5">
        <v>0.1</v>
      </c>
      <c r="E1139" s="5">
        <v>102.2</v>
      </c>
      <c r="F1139" s="5">
        <v>203.8</v>
      </c>
      <c r="G1139" s="5">
        <v>101.6</v>
      </c>
      <c r="H1139" s="5">
        <v>101.5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101.5</v>
      </c>
      <c r="D1140" s="5">
        <v>0.1</v>
      </c>
      <c r="E1140" s="5">
        <v>101.7</v>
      </c>
      <c r="F1140" s="5">
        <v>203</v>
      </c>
      <c r="G1140" s="5">
        <v>101.2</v>
      </c>
      <c r="H1140" s="5">
        <v>101.3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101.5</v>
      </c>
      <c r="D1141" s="5">
        <v>0.1</v>
      </c>
      <c r="E1141" s="5">
        <v>101.7</v>
      </c>
      <c r="F1141" s="5">
        <v>203</v>
      </c>
      <c r="G1141" s="5">
        <v>101.2</v>
      </c>
      <c r="H1141" s="5">
        <v>101.3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101.5</v>
      </c>
      <c r="D1142" s="5">
        <v>0.1</v>
      </c>
      <c r="E1142" s="5">
        <v>101.7</v>
      </c>
      <c r="F1142" s="5">
        <v>203</v>
      </c>
      <c r="G1142" s="5">
        <v>101.2</v>
      </c>
      <c r="H1142" s="5">
        <v>101.3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101.5</v>
      </c>
      <c r="D1143" s="5">
        <v>0.1</v>
      </c>
      <c r="E1143" s="5">
        <v>101.7</v>
      </c>
      <c r="F1143" s="5">
        <v>203</v>
      </c>
      <c r="G1143" s="5">
        <v>101.2</v>
      </c>
      <c r="H1143" s="5">
        <v>100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100.8</v>
      </c>
      <c r="D1144" s="5">
        <v>0.1</v>
      </c>
      <c r="E1144" s="5">
        <v>101</v>
      </c>
      <c r="F1144" s="5">
        <v>200.9</v>
      </c>
      <c r="G1144" s="5">
        <v>100.2</v>
      </c>
      <c r="H1144" s="5">
        <v>100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100.8</v>
      </c>
      <c r="D1145" s="5">
        <v>0.1</v>
      </c>
      <c r="E1145" s="5">
        <v>101</v>
      </c>
      <c r="F1145" s="5">
        <v>200.9</v>
      </c>
      <c r="G1145" s="5">
        <v>100.2</v>
      </c>
      <c r="H1145" s="5">
        <v>100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100.2</v>
      </c>
      <c r="D1146" s="5">
        <v>0.1</v>
      </c>
      <c r="E1146" s="5">
        <v>100.4</v>
      </c>
      <c r="F1146" s="5">
        <v>200</v>
      </c>
      <c r="G1146" s="5">
        <v>99.7</v>
      </c>
      <c r="H1146" s="5">
        <v>99.5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100.2</v>
      </c>
      <c r="D1147" s="5">
        <v>0.1</v>
      </c>
      <c r="E1147" s="5">
        <v>100.4</v>
      </c>
      <c r="F1147" s="5">
        <v>200</v>
      </c>
      <c r="G1147" s="5">
        <v>99.7</v>
      </c>
      <c r="H1147" s="5">
        <v>99.5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99.8</v>
      </c>
      <c r="D1148" s="5">
        <v>0.1</v>
      </c>
      <c r="E1148" s="5">
        <v>99.9</v>
      </c>
      <c r="F1148" s="5">
        <v>199.6</v>
      </c>
      <c r="G1148" s="5">
        <v>99.5</v>
      </c>
      <c r="H1148" s="5">
        <v>99.3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99.8</v>
      </c>
      <c r="D1149" s="5">
        <v>0.1</v>
      </c>
      <c r="E1149" s="5">
        <v>99.9</v>
      </c>
      <c r="F1149" s="5">
        <v>199.6</v>
      </c>
      <c r="G1149" s="5">
        <v>99.5</v>
      </c>
      <c r="H1149" s="5">
        <v>99.3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99.3</v>
      </c>
      <c r="D1150" s="5">
        <v>0.1</v>
      </c>
      <c r="E1150" s="5">
        <v>99.4</v>
      </c>
      <c r="F1150" s="5">
        <v>199</v>
      </c>
      <c r="G1150" s="5">
        <v>99.3</v>
      </c>
      <c r="H1150" s="5">
        <v>99.2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99.3</v>
      </c>
      <c r="D1151" s="5">
        <v>0.1</v>
      </c>
      <c r="E1151" s="5">
        <v>99.4</v>
      </c>
      <c r="F1151" s="5">
        <v>199</v>
      </c>
      <c r="G1151" s="5">
        <v>99.3</v>
      </c>
      <c r="H1151" s="5">
        <v>99.2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99.3</v>
      </c>
      <c r="D1152" s="5">
        <v>0.1</v>
      </c>
      <c r="E1152" s="5">
        <v>99.4</v>
      </c>
      <c r="F1152" s="5">
        <v>199</v>
      </c>
      <c r="G1152" s="5">
        <v>99.3</v>
      </c>
      <c r="H1152" s="5">
        <v>99.2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99.4</v>
      </c>
      <c r="D1153" s="5">
        <v>0.1</v>
      </c>
      <c r="E1153" s="5">
        <v>99.5</v>
      </c>
      <c r="F1153" s="5">
        <v>198.6</v>
      </c>
      <c r="G1153" s="5">
        <v>99.1</v>
      </c>
      <c r="H1153" s="5">
        <v>99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99.4</v>
      </c>
      <c r="D1154" s="5">
        <v>0.1</v>
      </c>
      <c r="E1154" s="5">
        <v>99.5</v>
      </c>
      <c r="F1154" s="5">
        <v>198.6</v>
      </c>
      <c r="G1154" s="5">
        <v>99.1</v>
      </c>
      <c r="H1154" s="5">
        <v>99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99.9</v>
      </c>
      <c r="D1155" s="5">
        <v>0.1</v>
      </c>
      <c r="E1155" s="5">
        <v>100.1</v>
      </c>
      <c r="F1155" s="5">
        <v>198.9</v>
      </c>
      <c r="G1155" s="5">
        <v>99.3</v>
      </c>
      <c r="H1155" s="5">
        <v>99.1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99.9</v>
      </c>
      <c r="D1156" s="5">
        <v>0.1</v>
      </c>
      <c r="E1156" s="5">
        <v>100.1</v>
      </c>
      <c r="F1156" s="5">
        <v>198.9</v>
      </c>
      <c r="G1156" s="5">
        <v>99.3</v>
      </c>
      <c r="H1156" s="5">
        <v>99.1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99.4</v>
      </c>
      <c r="D1157" s="5">
        <v>0.1</v>
      </c>
      <c r="E1157" s="5">
        <v>99.5</v>
      </c>
      <c r="F1157" s="5">
        <v>198.9</v>
      </c>
      <c r="G1157" s="5">
        <v>99.1</v>
      </c>
      <c r="H1157" s="5">
        <v>98.9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99.4</v>
      </c>
      <c r="D1158" s="5">
        <v>0.1</v>
      </c>
      <c r="E1158" s="5">
        <v>99.5</v>
      </c>
      <c r="F1158" s="5">
        <v>198.9</v>
      </c>
      <c r="G1158" s="5">
        <v>99.1</v>
      </c>
      <c r="H1158" s="5">
        <v>98.9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99.4</v>
      </c>
      <c r="D1159" s="5">
        <v>0.1</v>
      </c>
      <c r="E1159" s="5">
        <v>99.8</v>
      </c>
      <c r="F1159" s="5">
        <v>199</v>
      </c>
      <c r="G1159" s="5">
        <v>99.3</v>
      </c>
      <c r="H1159" s="5">
        <v>99.2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99.6</v>
      </c>
      <c r="D1160" s="5">
        <v>0.1</v>
      </c>
      <c r="E1160" s="5">
        <v>99.8</v>
      </c>
      <c r="F1160" s="5">
        <v>199</v>
      </c>
      <c r="G1160" s="5">
        <v>99.3</v>
      </c>
      <c r="H1160" s="5">
        <v>99.2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99.6</v>
      </c>
      <c r="D1161" s="5">
        <v>0.1</v>
      </c>
      <c r="E1161" s="5">
        <v>99.8</v>
      </c>
      <c r="F1161" s="5">
        <v>199</v>
      </c>
      <c r="G1161" s="5">
        <v>99.3</v>
      </c>
      <c r="H1161" s="5">
        <v>99.2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99.6</v>
      </c>
      <c r="D1162" s="5">
        <v>0.1</v>
      </c>
      <c r="E1162" s="5">
        <v>99.8</v>
      </c>
      <c r="F1162" s="5">
        <v>199</v>
      </c>
      <c r="G1162" s="5">
        <v>99.3</v>
      </c>
      <c r="H1162" s="5">
        <v>99.2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100.1</v>
      </c>
      <c r="D1163" s="5">
        <v>0.1</v>
      </c>
      <c r="E1163" s="5">
        <v>100.2</v>
      </c>
      <c r="F1163" s="5">
        <v>199.8</v>
      </c>
      <c r="G1163" s="5">
        <v>99.7</v>
      </c>
      <c r="H1163" s="5">
        <v>99.7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100.1</v>
      </c>
      <c r="D1164" s="5">
        <v>0.1</v>
      </c>
      <c r="E1164" s="5">
        <v>100.2</v>
      </c>
      <c r="F1164" s="5">
        <v>199.8</v>
      </c>
      <c r="G1164" s="5">
        <v>99.7</v>
      </c>
      <c r="H1164" s="5">
        <v>99.7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99.9</v>
      </c>
      <c r="D1165" s="5">
        <v>0.1</v>
      </c>
      <c r="E1165" s="5">
        <v>100</v>
      </c>
      <c r="F1165" s="5">
        <v>199.2</v>
      </c>
      <c r="G1165" s="5">
        <v>99.4</v>
      </c>
      <c r="H1165" s="5">
        <v>99.2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99.9</v>
      </c>
      <c r="D1166" s="5">
        <v>0.1</v>
      </c>
      <c r="E1166" s="5">
        <v>100</v>
      </c>
      <c r="F1166" s="5">
        <v>199.2</v>
      </c>
      <c r="G1166" s="5">
        <v>99.4</v>
      </c>
      <c r="H1166" s="5">
        <v>99.2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99.9</v>
      </c>
      <c r="D1167" s="5">
        <v>0.1</v>
      </c>
      <c r="E1167" s="5">
        <v>100.1</v>
      </c>
      <c r="F1167" s="5">
        <v>199.6</v>
      </c>
      <c r="G1167" s="5">
        <v>99.5</v>
      </c>
      <c r="H1167" s="5">
        <v>99.4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99.9</v>
      </c>
      <c r="D1168" s="5">
        <v>0.1</v>
      </c>
      <c r="E1168" s="5">
        <v>100.1</v>
      </c>
      <c r="F1168" s="5">
        <v>199.6</v>
      </c>
      <c r="G1168" s="5">
        <v>99.5</v>
      </c>
      <c r="H1168" s="5">
        <v>99.4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99.7</v>
      </c>
      <c r="D1169" s="5">
        <v>0.1</v>
      </c>
      <c r="E1169" s="5">
        <v>99.9</v>
      </c>
      <c r="F1169" s="5">
        <v>199.4</v>
      </c>
      <c r="G1169" s="5">
        <v>99.5</v>
      </c>
      <c r="H1169" s="5">
        <v>99.3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99.7</v>
      </c>
      <c r="D1170" s="5">
        <v>0.1</v>
      </c>
      <c r="E1170" s="5">
        <v>99.9</v>
      </c>
      <c r="F1170" s="5">
        <v>199.4</v>
      </c>
      <c r="G1170" s="5">
        <v>99.5</v>
      </c>
      <c r="H1170" s="5">
        <v>99.3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99.7</v>
      </c>
      <c r="D1171" s="5">
        <v>0.1</v>
      </c>
      <c r="E1171" s="5">
        <v>99.9</v>
      </c>
      <c r="F1171" s="5">
        <v>199.4</v>
      </c>
      <c r="G1171" s="5">
        <v>99.5</v>
      </c>
      <c r="H1171" s="5">
        <v>99.3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99.7</v>
      </c>
      <c r="D1172" s="5">
        <v>0.1</v>
      </c>
      <c r="E1172" s="5">
        <v>99.9</v>
      </c>
      <c r="F1172" s="5">
        <v>199.4</v>
      </c>
      <c r="G1172" s="5">
        <v>99.5</v>
      </c>
      <c r="H1172" s="5">
        <v>99.3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99.9</v>
      </c>
      <c r="D1173" s="5">
        <v>0.1</v>
      </c>
      <c r="E1173" s="5">
        <v>100</v>
      </c>
      <c r="F1173" s="5">
        <v>199.1</v>
      </c>
      <c r="G1173" s="5">
        <v>99.3</v>
      </c>
      <c r="H1173" s="5">
        <v>99.2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99.9</v>
      </c>
      <c r="D1174" s="5">
        <v>0.1</v>
      </c>
      <c r="E1174" s="5">
        <v>100</v>
      </c>
      <c r="F1174" s="5">
        <v>199.1</v>
      </c>
      <c r="G1174" s="5">
        <v>99.3</v>
      </c>
      <c r="H1174" s="5">
        <v>99.2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99.5</v>
      </c>
      <c r="D1175" s="5">
        <v>0.1</v>
      </c>
      <c r="E1175" s="5">
        <v>99.7</v>
      </c>
      <c r="F1175" s="5">
        <v>199.2</v>
      </c>
      <c r="G1175" s="5">
        <v>99.4</v>
      </c>
      <c r="H1175" s="5">
        <v>99.2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99.5</v>
      </c>
      <c r="D1176" s="5">
        <v>0.1</v>
      </c>
      <c r="E1176" s="5">
        <v>99.7</v>
      </c>
      <c r="F1176" s="5">
        <v>199.2</v>
      </c>
      <c r="G1176" s="5">
        <v>99.4</v>
      </c>
      <c r="H1176" s="5">
        <v>99.2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99.9</v>
      </c>
      <c r="D1177" s="5">
        <v>0.1</v>
      </c>
      <c r="E1177" s="5">
        <v>100</v>
      </c>
      <c r="F1177" s="5">
        <v>199.3</v>
      </c>
      <c r="G1177" s="5">
        <v>99.3</v>
      </c>
      <c r="H1177" s="5">
        <v>99.2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99.9</v>
      </c>
      <c r="D1178" s="5">
        <v>0.1</v>
      </c>
      <c r="E1178" s="5">
        <v>100</v>
      </c>
      <c r="F1178" s="5">
        <v>199.3</v>
      </c>
      <c r="G1178" s="5">
        <v>99.3</v>
      </c>
      <c r="H1178" s="5">
        <v>99.2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99.7</v>
      </c>
      <c r="D1179" s="5">
        <v>0.1</v>
      </c>
      <c r="E1179" s="5">
        <v>99.9</v>
      </c>
      <c r="F1179" s="5">
        <v>199.4</v>
      </c>
      <c r="G1179" s="5">
        <v>99.5</v>
      </c>
      <c r="H1179" s="5">
        <v>99.3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99.7</v>
      </c>
      <c r="D1180" s="5">
        <v>0.1</v>
      </c>
      <c r="E1180" s="5">
        <v>99.9</v>
      </c>
      <c r="F1180" s="5">
        <v>199.4</v>
      </c>
      <c r="G1180" s="5">
        <v>99.5</v>
      </c>
      <c r="H1180" s="5">
        <v>99.3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99.7</v>
      </c>
      <c r="D1181" s="5">
        <v>0.1</v>
      </c>
      <c r="E1181" s="5">
        <v>99.9</v>
      </c>
      <c r="F1181" s="5">
        <v>199.4</v>
      </c>
      <c r="G1181" s="5">
        <v>99.5</v>
      </c>
      <c r="H1181" s="5">
        <v>99.3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99.7</v>
      </c>
      <c r="D1182" s="5">
        <v>0.1</v>
      </c>
      <c r="E1182" s="5">
        <v>99.9</v>
      </c>
      <c r="F1182" s="5">
        <v>199.4</v>
      </c>
      <c r="G1182" s="5">
        <v>99.5</v>
      </c>
      <c r="H1182" s="5">
        <v>99.3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100.2</v>
      </c>
      <c r="D1183" s="5">
        <v>0.1</v>
      </c>
      <c r="E1183" s="5">
        <v>100.4</v>
      </c>
      <c r="F1183" s="5">
        <v>200.2</v>
      </c>
      <c r="G1183" s="5">
        <v>99.9</v>
      </c>
      <c r="H1183" s="5">
        <v>99.7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100.2</v>
      </c>
      <c r="D1184" s="5">
        <v>0.1</v>
      </c>
      <c r="E1184" s="5">
        <v>100.4</v>
      </c>
      <c r="F1184" s="5">
        <v>200.2</v>
      </c>
      <c r="G1184" s="5">
        <v>99.9</v>
      </c>
      <c r="H1184" s="5">
        <v>99.7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100.1</v>
      </c>
      <c r="D1185" s="5">
        <v>0.1</v>
      </c>
      <c r="E1185" s="5">
        <v>100.2</v>
      </c>
      <c r="F1185" s="5">
        <v>199.6</v>
      </c>
      <c r="G1185" s="5">
        <v>99.6</v>
      </c>
      <c r="H1185" s="5">
        <v>99.5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100.1</v>
      </c>
      <c r="D1186" s="5">
        <v>0.1</v>
      </c>
      <c r="E1186" s="5">
        <v>100.2</v>
      </c>
      <c r="F1186" s="5">
        <v>199.6</v>
      </c>
      <c r="G1186" s="5">
        <v>99.6</v>
      </c>
      <c r="H1186" s="5">
        <v>99.5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100.3</v>
      </c>
      <c r="D1187" s="5">
        <v>0.1</v>
      </c>
      <c r="E1187" s="5">
        <v>100.4</v>
      </c>
      <c r="F1187" s="5">
        <v>200</v>
      </c>
      <c r="G1187" s="5">
        <v>99.8</v>
      </c>
      <c r="H1187" s="5">
        <v>99.8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100.3</v>
      </c>
      <c r="D1188" s="5">
        <v>0.1</v>
      </c>
      <c r="E1188" s="5">
        <v>100.4</v>
      </c>
      <c r="F1188" s="5">
        <v>200</v>
      </c>
      <c r="G1188" s="5">
        <v>99.8</v>
      </c>
      <c r="H1188" s="5">
        <v>99.8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99.8</v>
      </c>
      <c r="D1189" s="5">
        <v>0.1</v>
      </c>
      <c r="E1189" s="5">
        <v>99.9</v>
      </c>
      <c r="F1189" s="5">
        <v>199.2</v>
      </c>
      <c r="G1189" s="5">
        <v>99.4</v>
      </c>
      <c r="H1189" s="5">
        <v>99.3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99.8</v>
      </c>
      <c r="D1190" s="5">
        <v>0.1</v>
      </c>
      <c r="E1190" s="5">
        <v>99.9</v>
      </c>
      <c r="F1190" s="5">
        <v>199.2</v>
      </c>
      <c r="G1190" s="5">
        <v>99.4</v>
      </c>
      <c r="H1190" s="5">
        <v>99.3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99.8</v>
      </c>
      <c r="D1191" s="5">
        <v>0.1</v>
      </c>
      <c r="E1191" s="5">
        <v>99.9</v>
      </c>
      <c r="F1191" s="5">
        <v>199.2</v>
      </c>
      <c r="G1191" s="5">
        <v>99.4</v>
      </c>
      <c r="H1191" s="5">
        <v>99.3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99.8</v>
      </c>
      <c r="D1192" s="5">
        <v>0.1</v>
      </c>
      <c r="E1192" s="5">
        <v>99.9</v>
      </c>
      <c r="F1192" s="5">
        <v>199.2</v>
      </c>
      <c r="G1192" s="5">
        <v>99.4</v>
      </c>
      <c r="H1192" s="5">
        <v>99.3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99.4</v>
      </c>
      <c r="D1193" s="5">
        <v>0.1</v>
      </c>
      <c r="E1193" s="5">
        <v>99.5</v>
      </c>
      <c r="F1193" s="5">
        <v>199.5</v>
      </c>
      <c r="G1193" s="5">
        <v>99.5</v>
      </c>
      <c r="H1193" s="5">
        <v>99.3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99.4</v>
      </c>
      <c r="D1194" s="5">
        <v>0.1</v>
      </c>
      <c r="E1194" s="5">
        <v>99.5</v>
      </c>
      <c r="F1194" s="5">
        <v>199.5</v>
      </c>
      <c r="G1194" s="5">
        <v>99.5</v>
      </c>
      <c r="H1194" s="5">
        <v>99.3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100.1</v>
      </c>
      <c r="D1195" s="5">
        <v>0.1</v>
      </c>
      <c r="E1195" s="5">
        <v>100.2</v>
      </c>
      <c r="F1195" s="5">
        <v>199.9</v>
      </c>
      <c r="G1195" s="5">
        <v>99.7</v>
      </c>
      <c r="H1195" s="5">
        <v>99.6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100.1</v>
      </c>
      <c r="D1196" s="5">
        <v>0.1</v>
      </c>
      <c r="E1196" s="5">
        <v>100.2</v>
      </c>
      <c r="F1196" s="5">
        <v>199.9</v>
      </c>
      <c r="G1196" s="5">
        <v>99.7</v>
      </c>
      <c r="H1196" s="5">
        <v>99.6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99.8</v>
      </c>
      <c r="D1197" s="5">
        <v>0.1</v>
      </c>
      <c r="E1197" s="5">
        <v>99.9</v>
      </c>
      <c r="F1197" s="5">
        <v>199.2</v>
      </c>
      <c r="G1197" s="5">
        <v>99.5</v>
      </c>
      <c r="H1197" s="5">
        <v>99.4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99.8</v>
      </c>
      <c r="D1198" s="5">
        <v>0.1</v>
      </c>
      <c r="E1198" s="5">
        <v>99.9</v>
      </c>
      <c r="F1198" s="5">
        <v>199.2</v>
      </c>
      <c r="G1198" s="5">
        <v>99.5</v>
      </c>
      <c r="H1198" s="5">
        <v>99.4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100</v>
      </c>
      <c r="D1199" s="5">
        <v>0.1</v>
      </c>
      <c r="E1199" s="5">
        <v>100.2</v>
      </c>
      <c r="F1199" s="5">
        <v>199.2</v>
      </c>
      <c r="G1199" s="5">
        <v>99.4</v>
      </c>
      <c r="H1199" s="5">
        <v>99.2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100</v>
      </c>
      <c r="D1200" s="5">
        <v>0.1</v>
      </c>
      <c r="E1200" s="5">
        <v>100.2</v>
      </c>
      <c r="F1200" s="5">
        <v>199.2</v>
      </c>
      <c r="G1200" s="5">
        <v>99.4</v>
      </c>
      <c r="H1200" s="5">
        <v>99.2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100</v>
      </c>
      <c r="D1201" s="5">
        <v>0.1</v>
      </c>
      <c r="E1201" s="5">
        <v>100.2</v>
      </c>
      <c r="F1201" s="5">
        <v>199.2</v>
      </c>
      <c r="G1201" s="5">
        <v>99.4</v>
      </c>
      <c r="H1201" s="5">
        <v>99.2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100</v>
      </c>
      <c r="D1202" s="5">
        <v>0.1</v>
      </c>
      <c r="E1202" s="5">
        <v>100.2</v>
      </c>
      <c r="F1202" s="5">
        <v>199.2</v>
      </c>
      <c r="G1202" s="5">
        <v>99.4</v>
      </c>
      <c r="H1202" s="5">
        <v>99.2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99.9</v>
      </c>
      <c r="D1203" s="5">
        <v>0.1</v>
      </c>
      <c r="E1203" s="5">
        <v>99.9</v>
      </c>
      <c r="F1203" s="5">
        <v>199</v>
      </c>
      <c r="G1203" s="5">
        <v>99.3</v>
      </c>
      <c r="H1203" s="5">
        <v>99.1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99.9</v>
      </c>
      <c r="D1204" s="5">
        <v>0.1</v>
      </c>
      <c r="E1204" s="5">
        <v>99.9</v>
      </c>
      <c r="F1204" s="5">
        <v>199</v>
      </c>
      <c r="G1204" s="5">
        <v>99.3</v>
      </c>
      <c r="H1204" s="5">
        <v>99.1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99.9</v>
      </c>
      <c r="D1205" s="5">
        <v>0.1</v>
      </c>
      <c r="E1205" s="5">
        <v>100.1</v>
      </c>
      <c r="F1205" s="5">
        <v>200.1</v>
      </c>
      <c r="G1205" s="5">
        <v>99.9</v>
      </c>
      <c r="H1205" s="5">
        <v>99.8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99.9</v>
      </c>
      <c r="D1206" s="5">
        <v>0.1</v>
      </c>
      <c r="E1206" s="5">
        <v>100.1</v>
      </c>
      <c r="F1206" s="5">
        <v>200.1</v>
      </c>
      <c r="G1206" s="5">
        <v>99.9</v>
      </c>
      <c r="H1206" s="5">
        <v>99.8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99.4</v>
      </c>
      <c r="D1207" s="5">
        <v>0.1</v>
      </c>
      <c r="E1207" s="5">
        <v>99.5</v>
      </c>
      <c r="F1207" s="5">
        <v>199.3</v>
      </c>
      <c r="G1207" s="5">
        <v>99.5</v>
      </c>
      <c r="H1207" s="5">
        <v>99.3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99.4</v>
      </c>
      <c r="D1208" s="5">
        <v>0.1</v>
      </c>
      <c r="E1208" s="5">
        <v>99.5</v>
      </c>
      <c r="F1208" s="5">
        <v>199.3</v>
      </c>
      <c r="G1208" s="5">
        <v>99.5</v>
      </c>
      <c r="H1208" s="5">
        <v>99.3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99.9</v>
      </c>
      <c r="D1209" s="5">
        <v>0.1</v>
      </c>
      <c r="E1209" s="5">
        <v>100</v>
      </c>
      <c r="F1209" s="5">
        <v>198.5</v>
      </c>
      <c r="G1209" s="5">
        <v>98.9</v>
      </c>
      <c r="H1209" s="5">
        <v>98.8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99.9</v>
      </c>
      <c r="D1210" s="5">
        <v>0.1</v>
      </c>
      <c r="E1210" s="5">
        <v>100</v>
      </c>
      <c r="F1210" s="5">
        <v>198.5</v>
      </c>
      <c r="G1210" s="5">
        <v>98.9</v>
      </c>
      <c r="H1210" s="5">
        <v>98.8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99.9</v>
      </c>
      <c r="D1211" s="5">
        <v>0.1</v>
      </c>
      <c r="E1211" s="5">
        <v>100</v>
      </c>
      <c r="F1211" s="5">
        <v>198.5</v>
      </c>
      <c r="G1211" s="5">
        <v>98.9</v>
      </c>
      <c r="H1211" s="5">
        <v>98.8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99.9</v>
      </c>
      <c r="D1212" s="5">
        <v>0.1</v>
      </c>
      <c r="E1212" s="5">
        <v>100</v>
      </c>
      <c r="F1212" s="5">
        <v>198.5</v>
      </c>
      <c r="G1212" s="5">
        <v>98.9</v>
      </c>
      <c r="H1212" s="5">
        <v>98.8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100.2</v>
      </c>
      <c r="D1213" s="5">
        <v>0.1</v>
      </c>
      <c r="E1213" s="5">
        <v>100.3</v>
      </c>
      <c r="F1213" s="5">
        <v>200.5</v>
      </c>
      <c r="G1213" s="5">
        <v>100.1</v>
      </c>
      <c r="H1213" s="5">
        <v>99.9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100.2</v>
      </c>
      <c r="D1214" s="5">
        <v>0.1</v>
      </c>
      <c r="E1214" s="5">
        <v>100.3</v>
      </c>
      <c r="F1214" s="5">
        <v>200.5</v>
      </c>
      <c r="G1214" s="5">
        <v>100.1</v>
      </c>
      <c r="H1214" s="5">
        <v>99.9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101.6</v>
      </c>
      <c r="D1215" s="5">
        <v>0.1</v>
      </c>
      <c r="E1215" s="5">
        <v>101.8</v>
      </c>
      <c r="F1215" s="5">
        <v>201.5</v>
      </c>
      <c r="G1215" s="5">
        <v>100.6</v>
      </c>
      <c r="H1215" s="5">
        <v>100.4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101.6</v>
      </c>
      <c r="D1216" s="5">
        <v>0.1</v>
      </c>
      <c r="E1216" s="5">
        <v>101.8</v>
      </c>
      <c r="F1216" s="5">
        <v>201.5</v>
      </c>
      <c r="G1216" s="5">
        <v>100.6</v>
      </c>
      <c r="H1216" s="5">
        <v>100.4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101.6</v>
      </c>
      <c r="D1217" s="5">
        <v>0.1</v>
      </c>
      <c r="E1217" s="5">
        <v>101.7</v>
      </c>
      <c r="F1217" s="5">
        <v>200.9</v>
      </c>
      <c r="G1217" s="5">
        <v>100.2</v>
      </c>
      <c r="H1217" s="5">
        <v>100.1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101.6</v>
      </c>
      <c r="D1218" s="5">
        <v>0.1</v>
      </c>
      <c r="E1218" s="5">
        <v>101.7</v>
      </c>
      <c r="F1218" s="5">
        <v>200.9</v>
      </c>
      <c r="G1218" s="5">
        <v>100.2</v>
      </c>
      <c r="H1218" s="5">
        <v>100.1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101</v>
      </c>
      <c r="D1219" s="5">
        <v>0.1</v>
      </c>
      <c r="E1219" s="5">
        <v>101.1</v>
      </c>
      <c r="F1219" s="5">
        <v>201.7</v>
      </c>
      <c r="G1219" s="5">
        <v>100.6</v>
      </c>
      <c r="H1219" s="5">
        <v>100.4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101</v>
      </c>
      <c r="D1220" s="5">
        <v>0.1</v>
      </c>
      <c r="E1220" s="5">
        <v>101.1</v>
      </c>
      <c r="F1220" s="5">
        <v>201.7</v>
      </c>
      <c r="G1220" s="5">
        <v>100.6</v>
      </c>
      <c r="H1220" s="5">
        <v>100.4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101</v>
      </c>
      <c r="D1221" s="5">
        <v>0.1</v>
      </c>
      <c r="E1221" s="5">
        <v>101.1</v>
      </c>
      <c r="F1221" s="5">
        <v>201.7</v>
      </c>
      <c r="G1221" s="5">
        <v>100.6</v>
      </c>
      <c r="H1221" s="5">
        <v>100.4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101</v>
      </c>
      <c r="D1222" s="5">
        <v>0.1</v>
      </c>
      <c r="E1222" s="5">
        <v>101.1</v>
      </c>
      <c r="F1222" s="5">
        <v>201.7</v>
      </c>
      <c r="G1222" s="5">
        <v>100.6</v>
      </c>
      <c r="H1222" s="5">
        <v>100.4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98.9</v>
      </c>
      <c r="D1223" s="5">
        <v>0.1</v>
      </c>
      <c r="E1223" s="5">
        <v>99</v>
      </c>
      <c r="F1223" s="5">
        <v>196.2</v>
      </c>
      <c r="G1223" s="5">
        <v>97.9</v>
      </c>
      <c r="H1223" s="5">
        <v>97.9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98.9</v>
      </c>
      <c r="D1224" s="5">
        <v>0.1</v>
      </c>
      <c r="E1224" s="5">
        <v>99</v>
      </c>
      <c r="F1224" s="5">
        <v>196.2</v>
      </c>
      <c r="G1224" s="5">
        <v>97.9</v>
      </c>
      <c r="H1224" s="5">
        <v>97.9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100.4</v>
      </c>
      <c r="D1225" s="5">
        <v>0.1</v>
      </c>
      <c r="E1225" s="5">
        <v>100.5</v>
      </c>
      <c r="F1225" s="5">
        <v>197.7</v>
      </c>
      <c r="G1225" s="5">
        <v>98.8</v>
      </c>
      <c r="H1225" s="5">
        <v>98.7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100.4</v>
      </c>
      <c r="D1226" s="5">
        <v>0.1</v>
      </c>
      <c r="E1226" s="5">
        <v>100.5</v>
      </c>
      <c r="F1226" s="5">
        <v>197.7</v>
      </c>
      <c r="G1226" s="5">
        <v>98.8</v>
      </c>
      <c r="H1226" s="5">
        <v>98.7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95.7</v>
      </c>
      <c r="D1227" s="5">
        <v>0.1</v>
      </c>
      <c r="E1227" s="5">
        <v>95.8</v>
      </c>
      <c r="F1227" s="5">
        <v>193.5</v>
      </c>
      <c r="G1227" s="5">
        <v>96.5</v>
      </c>
      <c r="H1227" s="5">
        <v>96.3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95.7</v>
      </c>
      <c r="D1228" s="5">
        <v>0.1</v>
      </c>
      <c r="E1228" s="5">
        <v>95.8</v>
      </c>
      <c r="F1228" s="5">
        <v>193.5</v>
      </c>
      <c r="G1228" s="5">
        <v>96.5</v>
      </c>
      <c r="H1228" s="5">
        <v>96.3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95.7</v>
      </c>
      <c r="D1229" s="5">
        <v>0.1</v>
      </c>
      <c r="E1229" s="5">
        <v>95.9</v>
      </c>
      <c r="F1229" s="5">
        <v>191.5</v>
      </c>
      <c r="G1229" s="5">
        <v>95.6</v>
      </c>
      <c r="H1229" s="5">
        <v>95.5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95.7</v>
      </c>
      <c r="D1230" s="5">
        <v>0.1</v>
      </c>
      <c r="E1230" s="5">
        <v>95.9</v>
      </c>
      <c r="F1230" s="5">
        <v>191.5</v>
      </c>
      <c r="G1230" s="5">
        <v>95.6</v>
      </c>
      <c r="H1230" s="5">
        <v>95.5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95.7</v>
      </c>
      <c r="D1231" s="5">
        <v>0.1</v>
      </c>
      <c r="E1231" s="5">
        <v>95.9</v>
      </c>
      <c r="F1231" s="5">
        <v>191.5</v>
      </c>
      <c r="G1231" s="5">
        <v>95.6</v>
      </c>
      <c r="H1231" s="5">
        <v>95.5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95.7</v>
      </c>
      <c r="D1232" s="5">
        <v>0.1</v>
      </c>
      <c r="E1232" s="5">
        <v>95.9</v>
      </c>
      <c r="F1232" s="5">
        <v>191.5</v>
      </c>
      <c r="G1232" s="5">
        <v>94.5</v>
      </c>
      <c r="H1232" s="5">
        <v>94.4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99.9</v>
      </c>
      <c r="D1233" s="5">
        <v>0.1</v>
      </c>
      <c r="E1233" s="5">
        <v>100</v>
      </c>
      <c r="F1233" s="5">
        <v>190.8</v>
      </c>
      <c r="G1233" s="5">
        <v>94.5</v>
      </c>
      <c r="H1233" s="5">
        <v>94.4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99.9</v>
      </c>
      <c r="D1234" s="5">
        <v>0.1</v>
      </c>
      <c r="E1234" s="5">
        <v>100</v>
      </c>
      <c r="F1234" s="5">
        <v>190.8</v>
      </c>
      <c r="G1234" s="5">
        <v>94.5</v>
      </c>
      <c r="H1234" s="5">
        <v>95.1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96.7</v>
      </c>
      <c r="D1235" s="5">
        <v>0.1</v>
      </c>
      <c r="E1235" s="5">
        <v>96.8</v>
      </c>
      <c r="F1235" s="5">
        <v>192.6</v>
      </c>
      <c r="G1235" s="5">
        <v>95.4</v>
      </c>
      <c r="H1235" s="5">
        <v>95.1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96.7</v>
      </c>
      <c r="D1236" s="5">
        <v>0.1</v>
      </c>
      <c r="E1236" s="5">
        <v>96.8</v>
      </c>
      <c r="F1236" s="5">
        <v>192.6</v>
      </c>
      <c r="G1236" s="5">
        <v>95.4</v>
      </c>
      <c r="H1236" s="5">
        <v>95.1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95.9</v>
      </c>
      <c r="D1237" s="5">
        <v>0.1</v>
      </c>
      <c r="E1237" s="5">
        <v>96</v>
      </c>
      <c r="F1237" s="5">
        <v>192.1</v>
      </c>
      <c r="G1237" s="5">
        <v>96</v>
      </c>
      <c r="H1237" s="5">
        <v>96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95.9</v>
      </c>
      <c r="D1238" s="5">
        <v>0.1</v>
      </c>
      <c r="E1238" s="5">
        <v>96</v>
      </c>
      <c r="F1238" s="5">
        <v>192.1</v>
      </c>
      <c r="G1238" s="5">
        <v>96</v>
      </c>
      <c r="H1238" s="5">
        <v>96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97</v>
      </c>
      <c r="D1239" s="5">
        <v>0.1</v>
      </c>
      <c r="E1239" s="5">
        <v>97.2</v>
      </c>
      <c r="F1239" s="5">
        <v>193.9</v>
      </c>
      <c r="G1239" s="5">
        <v>96.6</v>
      </c>
      <c r="H1239" s="5">
        <v>96.5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97</v>
      </c>
      <c r="D1240" s="5">
        <v>0.1</v>
      </c>
      <c r="E1240" s="5">
        <v>97.2</v>
      </c>
      <c r="F1240" s="5">
        <v>193.9</v>
      </c>
      <c r="G1240" s="5">
        <v>96.6</v>
      </c>
      <c r="H1240" s="5">
        <v>96.5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97</v>
      </c>
      <c r="D1241" s="5">
        <v>0.1</v>
      </c>
      <c r="E1241" s="5">
        <v>97.2</v>
      </c>
      <c r="F1241" s="5">
        <v>193.9</v>
      </c>
      <c r="G1241" s="5">
        <v>96.6</v>
      </c>
      <c r="H1241" s="5">
        <v>96.5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93.8</v>
      </c>
      <c r="D1242" s="5">
        <v>0.1</v>
      </c>
      <c r="E1242" s="5">
        <v>93.9</v>
      </c>
      <c r="F1242" s="5">
        <v>189</v>
      </c>
      <c r="G1242" s="5">
        <v>94.2</v>
      </c>
      <c r="H1242" s="5">
        <v>94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93.8</v>
      </c>
      <c r="D1243" s="5">
        <v>0.1</v>
      </c>
      <c r="E1243" s="5">
        <v>93.9</v>
      </c>
      <c r="F1243" s="5">
        <v>189</v>
      </c>
      <c r="G1243" s="5">
        <v>94.2</v>
      </c>
      <c r="H1243" s="5">
        <v>94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100.3</v>
      </c>
      <c r="D1244" s="5">
        <v>0.1</v>
      </c>
      <c r="E1244" s="5">
        <v>100.5</v>
      </c>
      <c r="F1244" s="5">
        <v>200.6</v>
      </c>
      <c r="G1244" s="5">
        <v>100.1</v>
      </c>
      <c r="H1244" s="5">
        <v>99.9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100.3</v>
      </c>
      <c r="D1245" s="5">
        <v>0.1</v>
      </c>
      <c r="E1245" s="5">
        <v>100.5</v>
      </c>
      <c r="F1245" s="5">
        <v>200.6</v>
      </c>
      <c r="G1245" s="5">
        <v>100.1</v>
      </c>
      <c r="H1245" s="5">
        <v>99.9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96.2</v>
      </c>
      <c r="D1246" s="5">
        <v>0.1</v>
      </c>
      <c r="E1246" s="5">
        <v>96.4</v>
      </c>
      <c r="F1246" s="5">
        <v>193.3</v>
      </c>
      <c r="G1246" s="5">
        <v>96.4</v>
      </c>
      <c r="H1246" s="5">
        <v>96.2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96.2</v>
      </c>
      <c r="D1247" s="5">
        <v>0.1</v>
      </c>
      <c r="E1247" s="5">
        <v>96.4</v>
      </c>
      <c r="F1247" s="5">
        <v>193.3</v>
      </c>
      <c r="G1247" s="5">
        <v>96.4</v>
      </c>
      <c r="H1247" s="5">
        <v>96.2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95.6</v>
      </c>
      <c r="D1248" s="5">
        <v>0.1</v>
      </c>
      <c r="E1248" s="5">
        <v>95.7</v>
      </c>
      <c r="F1248" s="5">
        <v>192.4</v>
      </c>
      <c r="G1248" s="5">
        <v>96</v>
      </c>
      <c r="H1248" s="5">
        <v>95.9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95.6</v>
      </c>
      <c r="D1249" s="5">
        <v>0.1</v>
      </c>
      <c r="E1249" s="5">
        <v>95.7</v>
      </c>
      <c r="F1249" s="5">
        <v>192.4</v>
      </c>
      <c r="G1249" s="5">
        <v>96</v>
      </c>
      <c r="H1249" s="5">
        <v>95.9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95.6</v>
      </c>
      <c r="D1250" s="5">
        <v>0.1</v>
      </c>
      <c r="E1250" s="5">
        <v>95.7</v>
      </c>
      <c r="F1250" s="5">
        <v>192.4</v>
      </c>
      <c r="G1250" s="5">
        <v>96</v>
      </c>
      <c r="H1250" s="5">
        <v>95.9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95.6</v>
      </c>
      <c r="D1251" s="5">
        <v>0.1</v>
      </c>
      <c r="E1251" s="5">
        <v>95.7</v>
      </c>
      <c r="F1251" s="5">
        <v>192.4</v>
      </c>
      <c r="G1251" s="5">
        <v>96</v>
      </c>
      <c r="H1251" s="5">
        <v>95.9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100.9</v>
      </c>
      <c r="D1252" s="5">
        <v>0.1</v>
      </c>
      <c r="E1252" s="5">
        <v>95.7</v>
      </c>
      <c r="F1252" s="5">
        <v>192.4</v>
      </c>
      <c r="G1252" s="5">
        <v>96</v>
      </c>
      <c r="H1252" s="5">
        <v>95.9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100.9</v>
      </c>
      <c r="D1253" s="5">
        <v>0.1</v>
      </c>
      <c r="E1253" s="5">
        <v>101.1</v>
      </c>
      <c r="F1253" s="5">
        <v>201.2</v>
      </c>
      <c r="G1253" s="5">
        <v>100.4</v>
      </c>
      <c r="H1253" s="5">
        <v>100.3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100.9</v>
      </c>
      <c r="D1254" s="5">
        <v>0.1</v>
      </c>
      <c r="E1254" s="5">
        <v>101.1</v>
      </c>
      <c r="F1254" s="5">
        <v>201.2</v>
      </c>
      <c r="G1254" s="5">
        <v>100.4</v>
      </c>
      <c r="H1254" s="5">
        <v>100.3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94.8</v>
      </c>
      <c r="D1255" s="5">
        <v>0.1</v>
      </c>
      <c r="E1255" s="5">
        <v>95</v>
      </c>
      <c r="F1255" s="5">
        <v>202.2</v>
      </c>
      <c r="G1255" s="5">
        <v>100.9</v>
      </c>
      <c r="H1255" s="5">
        <v>100.7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94.8</v>
      </c>
      <c r="D1256" s="5">
        <v>0.1</v>
      </c>
      <c r="E1256" s="5">
        <v>95</v>
      </c>
      <c r="F1256" s="5">
        <v>202.2</v>
      </c>
      <c r="G1256" s="5">
        <v>100.9</v>
      </c>
      <c r="H1256" s="5">
        <v>100.7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95.4</v>
      </c>
      <c r="D1257" s="5">
        <v>0.1</v>
      </c>
      <c r="E1257" s="5">
        <v>95.5</v>
      </c>
      <c r="F1257" s="5">
        <v>194</v>
      </c>
      <c r="G1257" s="5">
        <v>97</v>
      </c>
      <c r="H1257" s="5">
        <v>96.9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95.4</v>
      </c>
      <c r="D1258" s="5">
        <v>0.1</v>
      </c>
      <c r="E1258" s="5">
        <v>95.5</v>
      </c>
      <c r="F1258" s="5">
        <v>194</v>
      </c>
      <c r="G1258" s="5">
        <v>97</v>
      </c>
      <c r="H1258" s="5">
        <v>96.9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96.9</v>
      </c>
      <c r="D1259" s="5">
        <v>0.1</v>
      </c>
      <c r="E1259" s="5">
        <v>97</v>
      </c>
      <c r="F1259" s="5">
        <v>192.7</v>
      </c>
      <c r="G1259" s="5">
        <v>95.8</v>
      </c>
      <c r="H1259" s="5">
        <v>95.2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96.9</v>
      </c>
      <c r="D1260" s="5">
        <v>0.1</v>
      </c>
      <c r="E1260" s="5">
        <v>97</v>
      </c>
      <c r="F1260" s="5">
        <v>192.7</v>
      </c>
      <c r="G1260" s="5">
        <v>95.8</v>
      </c>
      <c r="H1260" s="5">
        <v>95.2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96.9</v>
      </c>
      <c r="D1261" s="5">
        <v>0.1</v>
      </c>
      <c r="E1261" s="5">
        <v>97</v>
      </c>
      <c r="F1261" s="5">
        <v>192.7</v>
      </c>
      <c r="G1261" s="5">
        <v>95.8</v>
      </c>
      <c r="H1261" s="5">
        <v>95.2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96.9</v>
      </c>
      <c r="D1262" s="5">
        <v>0.1</v>
      </c>
      <c r="E1262" s="5">
        <v>97</v>
      </c>
      <c r="F1262" s="5">
        <v>192.7</v>
      </c>
      <c r="G1262" s="5">
        <v>95.8</v>
      </c>
      <c r="H1262" s="5">
        <v>95.2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93.8</v>
      </c>
      <c r="D1263" s="5">
        <v>0.1</v>
      </c>
      <c r="E1263" s="5">
        <v>94</v>
      </c>
      <c r="F1263" s="5">
        <v>189</v>
      </c>
      <c r="G1263" s="5">
        <v>94.2</v>
      </c>
      <c r="H1263" s="5">
        <v>94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93.8</v>
      </c>
      <c r="D1264" s="5">
        <v>0.1</v>
      </c>
      <c r="E1264" s="5">
        <v>94</v>
      </c>
      <c r="F1264" s="5">
        <v>189</v>
      </c>
      <c r="G1264" s="5">
        <v>94.2</v>
      </c>
      <c r="H1264" s="5">
        <v>94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93.8</v>
      </c>
      <c r="D1265" s="5">
        <v>0.1</v>
      </c>
      <c r="E1265" s="5">
        <v>93.9</v>
      </c>
      <c r="F1265" s="5">
        <v>190.7</v>
      </c>
      <c r="G1265" s="5">
        <v>95</v>
      </c>
      <c r="H1265" s="5">
        <v>94.7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93.8</v>
      </c>
      <c r="D1266" s="5">
        <v>0.1</v>
      </c>
      <c r="E1266" s="5">
        <v>93.9</v>
      </c>
      <c r="F1266" s="5">
        <v>190.7</v>
      </c>
      <c r="G1266" s="5">
        <v>95</v>
      </c>
      <c r="H1266" s="5">
        <v>94.7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93.3</v>
      </c>
      <c r="D1267" s="5">
        <v>0.1</v>
      </c>
      <c r="E1267" s="5">
        <v>93.4</v>
      </c>
      <c r="F1267" s="5">
        <v>189.4</v>
      </c>
      <c r="G1267" s="5">
        <v>94.3</v>
      </c>
      <c r="H1267" s="5">
        <v>94.1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93.3</v>
      </c>
      <c r="D1268" s="5">
        <v>0.1</v>
      </c>
      <c r="E1268" s="5">
        <v>93.4</v>
      </c>
      <c r="F1268" s="5">
        <v>189.4</v>
      </c>
      <c r="G1268" s="5">
        <v>94.3</v>
      </c>
      <c r="H1268" s="5">
        <v>94.1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100.4</v>
      </c>
      <c r="D1269" s="5">
        <v>0.1</v>
      </c>
      <c r="E1269" s="5">
        <v>100.5</v>
      </c>
      <c r="F1269" s="5">
        <v>200.5</v>
      </c>
      <c r="G1269" s="5">
        <v>100</v>
      </c>
      <c r="H1269" s="5">
        <v>99.9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100.4</v>
      </c>
      <c r="D1270" s="5">
        <v>0.1</v>
      </c>
      <c r="E1270" s="5">
        <v>100.5</v>
      </c>
      <c r="F1270" s="5">
        <v>200.5</v>
      </c>
      <c r="G1270" s="5">
        <v>100</v>
      </c>
      <c r="H1270" s="5">
        <v>99.9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100.4</v>
      </c>
      <c r="D1271" s="5">
        <v>0.1</v>
      </c>
      <c r="E1271" s="5">
        <v>100.5</v>
      </c>
      <c r="F1271" s="5">
        <v>200.5</v>
      </c>
      <c r="G1271" s="5">
        <v>100</v>
      </c>
      <c r="H1271" s="5">
        <v>99.9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100.1</v>
      </c>
      <c r="D1272" s="5">
        <v>0.1</v>
      </c>
      <c r="E1272" s="5">
        <v>100.2</v>
      </c>
      <c r="F1272" s="5">
        <v>199.7</v>
      </c>
      <c r="G1272" s="5">
        <v>99.7</v>
      </c>
      <c r="H1272" s="5">
        <v>99.6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100.1</v>
      </c>
      <c r="D1273" s="5">
        <v>0.1</v>
      </c>
      <c r="E1273" s="5">
        <v>100.2</v>
      </c>
      <c r="F1273" s="5">
        <v>199.7</v>
      </c>
      <c r="G1273" s="5">
        <v>99.7</v>
      </c>
      <c r="H1273" s="5">
        <v>99.6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100.2</v>
      </c>
      <c r="D1274" s="5">
        <v>0.1</v>
      </c>
      <c r="E1274" s="5">
        <v>100.4</v>
      </c>
      <c r="F1274" s="5">
        <v>195.3</v>
      </c>
      <c r="G1274" s="5">
        <v>99.3</v>
      </c>
      <c r="H1274" s="5">
        <v>99.1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100.2</v>
      </c>
      <c r="D1275" s="5">
        <v>0.1</v>
      </c>
      <c r="E1275" s="5">
        <v>100.4</v>
      </c>
      <c r="F1275" s="5">
        <v>195.3</v>
      </c>
      <c r="G1275" s="5">
        <v>99.3</v>
      </c>
      <c r="H1275" s="5">
        <v>99.1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95.2</v>
      </c>
      <c r="D1276" s="5">
        <v>0.1</v>
      </c>
      <c r="E1276" s="5">
        <v>95.4</v>
      </c>
      <c r="F1276" s="5">
        <v>190.1</v>
      </c>
      <c r="G1276" s="5">
        <v>95.2</v>
      </c>
      <c r="H1276" s="5">
        <v>96.1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95.2</v>
      </c>
      <c r="D1277" s="5">
        <v>0.1</v>
      </c>
      <c r="E1277" s="5">
        <v>95.4</v>
      </c>
      <c r="F1277" s="5">
        <v>190.1</v>
      </c>
      <c r="G1277" s="5">
        <v>95.2</v>
      </c>
      <c r="H1277" s="5">
        <v>96.1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94.8</v>
      </c>
      <c r="D1278" s="5">
        <v>0.1</v>
      </c>
      <c r="E1278" s="5">
        <v>95</v>
      </c>
      <c r="F1278" s="5">
        <v>189.1</v>
      </c>
      <c r="G1278" s="5">
        <v>94.3</v>
      </c>
      <c r="H1278" s="5">
        <v>94.1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94.8</v>
      </c>
      <c r="D1279" s="5">
        <v>0.1</v>
      </c>
      <c r="E1279" s="5">
        <v>95</v>
      </c>
      <c r="F1279" s="5">
        <v>189.1</v>
      </c>
      <c r="G1279" s="5">
        <v>94.3</v>
      </c>
      <c r="H1279" s="5">
        <v>94.1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94.8</v>
      </c>
      <c r="D1280" s="5">
        <v>0.1</v>
      </c>
      <c r="E1280" s="5">
        <v>95</v>
      </c>
      <c r="F1280" s="5">
        <v>189.1</v>
      </c>
      <c r="G1280" s="5">
        <v>94.3</v>
      </c>
      <c r="H1280" s="5">
        <v>94.1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94.8</v>
      </c>
      <c r="D1281" s="5">
        <v>0.1</v>
      </c>
      <c r="E1281" s="5">
        <v>95</v>
      </c>
      <c r="F1281" s="5">
        <v>189.1</v>
      </c>
      <c r="G1281" s="5">
        <v>94.3</v>
      </c>
      <c r="H1281" s="5">
        <v>94.1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96.1</v>
      </c>
      <c r="D1282" s="5">
        <v>0.1</v>
      </c>
      <c r="E1282" s="5">
        <v>96.3</v>
      </c>
      <c r="F1282" s="5">
        <v>194.1</v>
      </c>
      <c r="G1282" s="5">
        <v>96.7</v>
      </c>
      <c r="H1282" s="5">
        <v>96.5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96.1</v>
      </c>
      <c r="D1283" s="5">
        <v>0.1</v>
      </c>
      <c r="E1283" s="5">
        <v>96.3</v>
      </c>
      <c r="F1283" s="5">
        <v>194.1</v>
      </c>
      <c r="G1283" s="5">
        <v>96.7</v>
      </c>
      <c r="H1283" s="5">
        <v>96.5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94.3</v>
      </c>
      <c r="D1284" s="5">
        <v>0.1</v>
      </c>
      <c r="E1284" s="5">
        <v>94.4</v>
      </c>
      <c r="F1284" s="5">
        <v>190.7</v>
      </c>
      <c r="G1284" s="5">
        <v>95.1</v>
      </c>
      <c r="H1284" s="5">
        <v>94.9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94.3</v>
      </c>
      <c r="D1285" s="5">
        <v>0.1</v>
      </c>
      <c r="E1285" s="5">
        <v>94.4</v>
      </c>
      <c r="F1285" s="5">
        <v>190.7</v>
      </c>
      <c r="G1285" s="5">
        <v>95.1</v>
      </c>
      <c r="H1285" s="5">
        <v>94.9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93.5</v>
      </c>
      <c r="D1286" s="5">
        <v>0.1</v>
      </c>
      <c r="E1286" s="5">
        <v>93.6</v>
      </c>
      <c r="F1286" s="5">
        <v>187.2</v>
      </c>
      <c r="G1286" s="5">
        <v>93.4</v>
      </c>
      <c r="H1286" s="5">
        <v>93.2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93.5</v>
      </c>
      <c r="D1287" s="5">
        <v>0.1</v>
      </c>
      <c r="E1287" s="5">
        <v>93.6</v>
      </c>
      <c r="F1287" s="5">
        <v>187.2</v>
      </c>
      <c r="G1287" s="5">
        <v>93.4</v>
      </c>
      <c r="H1287" s="5">
        <v>93.2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92.3</v>
      </c>
      <c r="D1288" s="5">
        <v>0.1</v>
      </c>
      <c r="E1288" s="5">
        <v>92.4</v>
      </c>
      <c r="F1288" s="5">
        <v>185.4</v>
      </c>
      <c r="G1288" s="5">
        <v>92.5</v>
      </c>
      <c r="H1288" s="5">
        <v>92.4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92.3</v>
      </c>
      <c r="D1289" s="5">
        <v>0.1</v>
      </c>
      <c r="E1289" s="5">
        <v>92.4</v>
      </c>
      <c r="F1289" s="5">
        <v>185.4</v>
      </c>
      <c r="G1289" s="5">
        <v>92.5</v>
      </c>
      <c r="H1289" s="5">
        <v>92.4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92.3</v>
      </c>
      <c r="D1290" s="5">
        <v>0.1</v>
      </c>
      <c r="E1290" s="5">
        <v>92.4</v>
      </c>
      <c r="F1290" s="5">
        <v>185.4</v>
      </c>
      <c r="G1290" s="5">
        <v>92.5</v>
      </c>
      <c r="H1290" s="5">
        <v>92.4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92.3</v>
      </c>
      <c r="D1291" s="5">
        <v>0.1</v>
      </c>
      <c r="E1291" s="5">
        <v>92.4</v>
      </c>
      <c r="F1291" s="5">
        <v>185.4</v>
      </c>
      <c r="G1291" s="5">
        <v>92.5</v>
      </c>
      <c r="H1291" s="5">
        <v>92.4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99.3</v>
      </c>
      <c r="D1292" s="5">
        <v>0.1</v>
      </c>
      <c r="E1292" s="5">
        <v>99.5</v>
      </c>
      <c r="F1292" s="5">
        <v>191.7</v>
      </c>
      <c r="G1292" s="5">
        <v>95.6</v>
      </c>
      <c r="H1292" s="5">
        <v>97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99.3</v>
      </c>
      <c r="D1293" s="5">
        <v>0.1</v>
      </c>
      <c r="E1293" s="5">
        <v>99.5</v>
      </c>
      <c r="F1293" s="5">
        <v>191.7</v>
      </c>
      <c r="G1293" s="5">
        <v>95.6</v>
      </c>
      <c r="H1293" s="5">
        <v>97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102.5</v>
      </c>
      <c r="D1294" s="5">
        <v>0.1</v>
      </c>
      <c r="E1294" s="5">
        <v>102.6</v>
      </c>
      <c r="F1294" s="5">
        <v>203.6</v>
      </c>
      <c r="G1294" s="5">
        <v>101.5</v>
      </c>
      <c r="H1294" s="5">
        <v>101.3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102.5</v>
      </c>
      <c r="D1295" s="5">
        <v>0.1</v>
      </c>
      <c r="E1295" s="5">
        <v>102.6</v>
      </c>
      <c r="F1295" s="5">
        <v>203.6</v>
      </c>
      <c r="G1295" s="5">
        <v>101.5</v>
      </c>
      <c r="H1295" s="5">
        <v>101.3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96</v>
      </c>
      <c r="D1296" s="5">
        <v>0.1</v>
      </c>
      <c r="E1296" s="5">
        <v>96.1</v>
      </c>
      <c r="F1296" s="5">
        <v>191.5</v>
      </c>
      <c r="G1296" s="5">
        <v>95.6</v>
      </c>
      <c r="H1296" s="5">
        <v>95.4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96</v>
      </c>
      <c r="D1297" s="5">
        <v>0.1</v>
      </c>
      <c r="E1297" s="5">
        <v>96.1</v>
      </c>
      <c r="F1297" s="5">
        <v>191.5</v>
      </c>
      <c r="G1297" s="5">
        <v>95.6</v>
      </c>
      <c r="H1297" s="5">
        <v>95.4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93.8</v>
      </c>
      <c r="D1298" s="5">
        <v>0.1</v>
      </c>
      <c r="E1298" s="5">
        <v>93.9</v>
      </c>
      <c r="F1298" s="5">
        <v>187.1</v>
      </c>
      <c r="G1298" s="5">
        <v>93.3</v>
      </c>
      <c r="H1298" s="5">
        <v>93.2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93.8</v>
      </c>
      <c r="D1299" s="5">
        <v>0.1</v>
      </c>
      <c r="E1299" s="5">
        <v>93.9</v>
      </c>
      <c r="F1299" s="5">
        <v>187.1</v>
      </c>
      <c r="G1299" s="5">
        <v>93.3</v>
      </c>
      <c r="H1299" s="5">
        <v>93.2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93.8</v>
      </c>
      <c r="D1300" s="5">
        <v>0.1</v>
      </c>
      <c r="E1300" s="5">
        <v>93.9</v>
      </c>
      <c r="F1300" s="5">
        <v>187.1</v>
      </c>
      <c r="G1300" s="5">
        <v>93.3</v>
      </c>
      <c r="H1300" s="5">
        <v>93.2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93.8</v>
      </c>
      <c r="D1301" s="5">
        <v>0.1</v>
      </c>
      <c r="E1301" s="5">
        <v>93.9</v>
      </c>
      <c r="F1301" s="5">
        <v>187.1</v>
      </c>
      <c r="G1301" s="5">
        <v>93.3</v>
      </c>
      <c r="H1301" s="5">
        <v>93.2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96.6</v>
      </c>
      <c r="D1302" s="5">
        <v>0.1</v>
      </c>
      <c r="E1302" s="5">
        <v>96.7</v>
      </c>
      <c r="F1302" s="5">
        <v>194.2</v>
      </c>
      <c r="G1302" s="5">
        <v>96.9</v>
      </c>
      <c r="H1302" s="5">
        <v>96.7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96.6</v>
      </c>
      <c r="D1303" s="5">
        <v>0.1</v>
      </c>
      <c r="E1303" s="5">
        <v>96.7</v>
      </c>
      <c r="F1303" s="5">
        <v>194.2</v>
      </c>
      <c r="G1303" s="5">
        <v>96.9</v>
      </c>
      <c r="H1303" s="5">
        <v>96.7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96.2</v>
      </c>
      <c r="D1304" s="5">
        <v>0.1</v>
      </c>
      <c r="E1304" s="5">
        <v>96.3</v>
      </c>
      <c r="F1304" s="5">
        <v>192.6</v>
      </c>
      <c r="G1304" s="5">
        <v>96.1</v>
      </c>
      <c r="H1304" s="5">
        <v>95.9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96.2</v>
      </c>
      <c r="D1305" s="5">
        <v>0.1</v>
      </c>
      <c r="E1305" s="5">
        <v>96.3</v>
      </c>
      <c r="F1305" s="5">
        <v>192.6</v>
      </c>
      <c r="G1305" s="5">
        <v>96.1</v>
      </c>
      <c r="H1305" s="5">
        <v>95.9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95.6</v>
      </c>
      <c r="D1306" s="5">
        <v>0.1</v>
      </c>
      <c r="E1306" s="5">
        <v>95.7</v>
      </c>
      <c r="F1306" s="5">
        <v>191</v>
      </c>
      <c r="G1306" s="5">
        <v>95.3</v>
      </c>
      <c r="H1306" s="5">
        <v>95.2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95.6</v>
      </c>
      <c r="D1307" s="5">
        <v>0.1</v>
      </c>
      <c r="E1307" s="5">
        <v>95.7</v>
      </c>
      <c r="F1307" s="5">
        <v>191</v>
      </c>
      <c r="G1307" s="5">
        <v>95.3</v>
      </c>
      <c r="H1307" s="5">
        <v>95.2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96.9</v>
      </c>
      <c r="D1308" s="5">
        <v>0.1</v>
      </c>
      <c r="E1308" s="5">
        <v>97</v>
      </c>
      <c r="F1308" s="5">
        <v>193.3</v>
      </c>
      <c r="G1308" s="5">
        <v>95.7</v>
      </c>
      <c r="H1308" s="5">
        <v>95.6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96.9</v>
      </c>
      <c r="D1309" s="5">
        <v>0.1</v>
      </c>
      <c r="E1309" s="5">
        <v>97</v>
      </c>
      <c r="F1309" s="5">
        <v>193.3</v>
      </c>
      <c r="G1309" s="5">
        <v>95.7</v>
      </c>
      <c r="H1309" s="5">
        <v>95.6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96.9</v>
      </c>
      <c r="D1310" s="5">
        <v>0.1</v>
      </c>
      <c r="E1310" s="5">
        <v>97</v>
      </c>
      <c r="F1310" s="5">
        <v>193.3</v>
      </c>
      <c r="G1310" s="5">
        <v>95.7</v>
      </c>
      <c r="H1310" s="5">
        <v>95.6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96.9</v>
      </c>
      <c r="D1311" s="5">
        <v>0.1</v>
      </c>
      <c r="E1311" s="5">
        <v>97</v>
      </c>
      <c r="F1311" s="5">
        <v>193.3</v>
      </c>
      <c r="G1311" s="5">
        <v>95.7</v>
      </c>
      <c r="H1311" s="5">
        <v>95.6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95.8</v>
      </c>
      <c r="D1312" s="5">
        <v>0.1</v>
      </c>
      <c r="E1312" s="5">
        <v>96</v>
      </c>
      <c r="F1312" s="5">
        <v>190.8</v>
      </c>
      <c r="G1312" s="5">
        <v>95.2</v>
      </c>
      <c r="H1312" s="5">
        <v>95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95.8</v>
      </c>
      <c r="D1313" s="5">
        <v>0.1</v>
      </c>
      <c r="E1313" s="5">
        <v>96</v>
      </c>
      <c r="F1313" s="5">
        <v>190.8</v>
      </c>
      <c r="G1313" s="5">
        <v>95.2</v>
      </c>
      <c r="H1313" s="5">
        <v>95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100.4</v>
      </c>
      <c r="D1314" s="5">
        <v>0.1</v>
      </c>
      <c r="E1314" s="5">
        <v>100.5</v>
      </c>
      <c r="F1314" s="5">
        <v>195.2</v>
      </c>
      <c r="G1314" s="5">
        <v>97.4</v>
      </c>
      <c r="H1314" s="5">
        <v>97.2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100.4</v>
      </c>
      <c r="D1315" s="5">
        <v>0.1</v>
      </c>
      <c r="E1315" s="5">
        <v>100.5</v>
      </c>
      <c r="F1315" s="5">
        <v>195.2</v>
      </c>
      <c r="G1315" s="5">
        <v>97.4</v>
      </c>
      <c r="H1315" s="5">
        <v>97.2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94.3</v>
      </c>
      <c r="D1316" s="5">
        <v>0.1</v>
      </c>
      <c r="E1316" s="5">
        <v>94.5</v>
      </c>
      <c r="F1316" s="5">
        <v>190</v>
      </c>
      <c r="G1316" s="5">
        <v>94.8</v>
      </c>
      <c r="H1316" s="5">
        <v>94.7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94.3</v>
      </c>
      <c r="D1317" s="5">
        <v>0.1</v>
      </c>
      <c r="E1317" s="5">
        <v>94.5</v>
      </c>
      <c r="F1317" s="5">
        <v>190</v>
      </c>
      <c r="G1317" s="5">
        <v>94.8</v>
      </c>
      <c r="H1317" s="5">
        <v>94.7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100.7</v>
      </c>
      <c r="D1318" s="5">
        <v>0.1</v>
      </c>
      <c r="E1318" s="5">
        <v>100.8</v>
      </c>
      <c r="F1318" s="5">
        <v>195.2</v>
      </c>
      <c r="G1318" s="5">
        <v>96.9</v>
      </c>
      <c r="H1318" s="5">
        <v>96.6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100.7</v>
      </c>
      <c r="D1319" s="5">
        <v>0.1</v>
      </c>
      <c r="E1319" s="5">
        <v>100.8</v>
      </c>
      <c r="F1319" s="5">
        <v>195.2</v>
      </c>
      <c r="G1319" s="5">
        <v>96.9</v>
      </c>
      <c r="H1319" s="5">
        <v>96.6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100.7</v>
      </c>
      <c r="D1320" s="5">
        <v>0.1</v>
      </c>
      <c r="E1320" s="5">
        <v>100.8</v>
      </c>
      <c r="F1320" s="5">
        <v>195.2</v>
      </c>
      <c r="G1320" s="5">
        <v>96.9</v>
      </c>
      <c r="H1320" s="5">
        <v>96.6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100.7</v>
      </c>
      <c r="D1321" s="5">
        <v>0.1</v>
      </c>
      <c r="E1321" s="5">
        <v>100.8</v>
      </c>
      <c r="F1321" s="5">
        <v>195.2</v>
      </c>
      <c r="G1321" s="5">
        <v>96.9</v>
      </c>
      <c r="H1321" s="5">
        <v>96.6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96.4</v>
      </c>
      <c r="D1322" s="5">
        <v>0.1</v>
      </c>
      <c r="E1322" s="5">
        <v>96.6</v>
      </c>
      <c r="F1322" s="5">
        <v>192.6</v>
      </c>
      <c r="G1322" s="5">
        <v>96.1</v>
      </c>
      <c r="H1322" s="5">
        <v>96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96.4</v>
      </c>
      <c r="D1323" s="5">
        <v>0.1</v>
      </c>
      <c r="E1323" s="5">
        <v>96.6</v>
      </c>
      <c r="F1323" s="5">
        <v>192.6</v>
      </c>
      <c r="G1323" s="5">
        <v>96.1</v>
      </c>
      <c r="H1323" s="5">
        <v>96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99.9</v>
      </c>
      <c r="D1324" s="5">
        <v>0.1</v>
      </c>
      <c r="E1324" s="5">
        <v>99.9</v>
      </c>
      <c r="F1324" s="5">
        <v>200</v>
      </c>
      <c r="G1324" s="5">
        <v>99.8</v>
      </c>
      <c r="H1324" s="5">
        <v>99.6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99.9</v>
      </c>
      <c r="D1325" s="5">
        <v>0.1</v>
      </c>
      <c r="E1325" s="5">
        <v>99.9</v>
      </c>
      <c r="F1325" s="5">
        <v>200</v>
      </c>
      <c r="G1325" s="5">
        <v>99.8</v>
      </c>
      <c r="H1325" s="5">
        <v>99.6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96.2</v>
      </c>
      <c r="D1326" s="5">
        <v>0.1</v>
      </c>
      <c r="E1326" s="5">
        <v>96.4</v>
      </c>
      <c r="F1326" s="5">
        <v>194.7</v>
      </c>
      <c r="G1326" s="5">
        <v>97.1</v>
      </c>
      <c r="H1326" s="5">
        <v>96.9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96.2</v>
      </c>
      <c r="D1327" s="5">
        <v>0.1</v>
      </c>
      <c r="E1327" s="5">
        <v>96.4</v>
      </c>
      <c r="F1327" s="5">
        <v>194.7</v>
      </c>
      <c r="G1327" s="5">
        <v>97.1</v>
      </c>
      <c r="H1327" s="5">
        <v>96.9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95.7</v>
      </c>
      <c r="D1328" s="5">
        <v>0.1</v>
      </c>
      <c r="E1328" s="5">
        <v>95.8</v>
      </c>
      <c r="F1328" s="5">
        <v>191.8</v>
      </c>
      <c r="G1328" s="5">
        <v>96</v>
      </c>
      <c r="H1328" s="5">
        <v>95.8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95.7</v>
      </c>
      <c r="D1329" s="5">
        <v>0.1</v>
      </c>
      <c r="E1329" s="5">
        <v>95.8</v>
      </c>
      <c r="F1329" s="5">
        <v>191.8</v>
      </c>
      <c r="G1329" s="5">
        <v>96</v>
      </c>
      <c r="H1329" s="5">
        <v>95.8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95.7</v>
      </c>
      <c r="D1330" s="5">
        <v>0.1</v>
      </c>
      <c r="E1330" s="5">
        <v>95.8</v>
      </c>
      <c r="F1330" s="5">
        <v>191.8</v>
      </c>
      <c r="G1330" s="5">
        <v>96</v>
      </c>
      <c r="H1330" s="5">
        <v>95.8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95.7</v>
      </c>
      <c r="D1331" s="5">
        <v>0.1</v>
      </c>
      <c r="E1331" s="5">
        <v>95.8</v>
      </c>
      <c r="F1331" s="5">
        <v>191.8</v>
      </c>
      <c r="G1331" s="5">
        <v>96</v>
      </c>
      <c r="H1331" s="5">
        <v>95.8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96</v>
      </c>
      <c r="D1332" s="5">
        <v>0.1</v>
      </c>
      <c r="E1332" s="5">
        <v>96</v>
      </c>
      <c r="F1332" s="5">
        <v>189.2</v>
      </c>
      <c r="G1332" s="5">
        <v>94.4</v>
      </c>
      <c r="H1332" s="5">
        <v>94.2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96</v>
      </c>
      <c r="D1333" s="5">
        <v>0.1</v>
      </c>
      <c r="E1333" s="5">
        <v>96</v>
      </c>
      <c r="F1333" s="5">
        <v>189.2</v>
      </c>
      <c r="G1333" s="5">
        <v>94.4</v>
      </c>
      <c r="H1333" s="5">
        <v>94.2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94.5</v>
      </c>
      <c r="D1334" s="5">
        <v>0.1</v>
      </c>
      <c r="E1334" s="5">
        <v>94.6</v>
      </c>
      <c r="F1334" s="5">
        <v>188.5</v>
      </c>
      <c r="G1334" s="5">
        <v>94</v>
      </c>
      <c r="H1334" s="5">
        <v>93.9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94.5</v>
      </c>
      <c r="D1335" s="5">
        <v>0.1</v>
      </c>
      <c r="E1335" s="5">
        <v>94.6</v>
      </c>
      <c r="F1335" s="5">
        <v>188.5</v>
      </c>
      <c r="G1335" s="5">
        <v>94</v>
      </c>
      <c r="H1335" s="5">
        <v>93.9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94.4</v>
      </c>
      <c r="D1336" s="5">
        <v>0.1</v>
      </c>
      <c r="E1336" s="5">
        <v>94.5</v>
      </c>
      <c r="F1336" s="5">
        <v>187.5</v>
      </c>
      <c r="G1336" s="5">
        <v>93.6</v>
      </c>
      <c r="H1336" s="5">
        <v>93.4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94.4</v>
      </c>
      <c r="D1337" s="5">
        <v>0.1</v>
      </c>
      <c r="E1337" s="5">
        <v>94.5</v>
      </c>
      <c r="F1337" s="5">
        <v>187.5</v>
      </c>
      <c r="G1337" s="5">
        <v>93.6</v>
      </c>
      <c r="H1337" s="5">
        <v>93.4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101.6</v>
      </c>
      <c r="D1338" s="5">
        <v>0.1</v>
      </c>
      <c r="E1338" s="5">
        <v>101.8</v>
      </c>
      <c r="F1338" s="5">
        <v>199.5</v>
      </c>
      <c r="G1338" s="5">
        <v>99.2</v>
      </c>
      <c r="H1338" s="5">
        <v>98.9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101.6</v>
      </c>
      <c r="D1339" s="5">
        <v>0.1</v>
      </c>
      <c r="E1339" s="5">
        <v>101.8</v>
      </c>
      <c r="F1339" s="5">
        <v>199.5</v>
      </c>
      <c r="G1339" s="5">
        <v>99.2</v>
      </c>
      <c r="H1339" s="5">
        <v>98.9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101.6</v>
      </c>
      <c r="D1340" s="5">
        <v>0.1</v>
      </c>
      <c r="E1340" s="5">
        <v>101.8</v>
      </c>
      <c r="F1340" s="5">
        <v>199.5</v>
      </c>
      <c r="G1340" s="5">
        <v>99.2</v>
      </c>
      <c r="H1340" s="5">
        <v>98.9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101.6</v>
      </c>
      <c r="D1341" s="5">
        <v>0.1</v>
      </c>
      <c r="E1341" s="5">
        <v>101.8</v>
      </c>
      <c r="F1341" s="5">
        <v>199.5</v>
      </c>
      <c r="G1341" s="5">
        <v>99.2</v>
      </c>
      <c r="H1341" s="5">
        <v>98.9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100.8</v>
      </c>
      <c r="D1342" s="5">
        <v>0.1</v>
      </c>
      <c r="E1342" s="5">
        <v>100.8</v>
      </c>
      <c r="F1342" s="5">
        <v>196.7</v>
      </c>
      <c r="G1342" s="5">
        <v>98.3</v>
      </c>
      <c r="H1342" s="5">
        <v>98.4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100.8</v>
      </c>
      <c r="D1343" s="5">
        <v>0.1</v>
      </c>
      <c r="E1343" s="5">
        <v>100.8</v>
      </c>
      <c r="F1343" s="5">
        <v>196.7</v>
      </c>
      <c r="G1343" s="5">
        <v>98.3</v>
      </c>
      <c r="H1343" s="5">
        <v>98.4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99.5</v>
      </c>
      <c r="D1344" s="5">
        <v>0.1</v>
      </c>
      <c r="E1344" s="5">
        <v>99.7</v>
      </c>
      <c r="F1344" s="5">
        <v>193.6</v>
      </c>
      <c r="G1344" s="5">
        <v>96.6</v>
      </c>
      <c r="H1344" s="5">
        <v>96.4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99.5</v>
      </c>
      <c r="D1345" s="5">
        <v>0.1</v>
      </c>
      <c r="E1345" s="5">
        <v>99.7</v>
      </c>
      <c r="F1345" s="5">
        <v>193.6</v>
      </c>
      <c r="G1345" s="5">
        <v>96.6</v>
      </c>
      <c r="H1345" s="5">
        <v>96.4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96.5</v>
      </c>
      <c r="D1346" s="5">
        <v>0.1</v>
      </c>
      <c r="E1346" s="5">
        <v>96.7</v>
      </c>
      <c r="F1346" s="5">
        <v>192.3</v>
      </c>
      <c r="G1346" s="5">
        <v>96</v>
      </c>
      <c r="H1346" s="5">
        <v>95.9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96.5</v>
      </c>
      <c r="D1347" s="5">
        <v>0.1</v>
      </c>
      <c r="E1347" s="5">
        <v>96.7</v>
      </c>
      <c r="F1347" s="5">
        <v>192.3</v>
      </c>
      <c r="G1347" s="5">
        <v>96</v>
      </c>
      <c r="H1347" s="5">
        <v>95.9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96.7</v>
      </c>
      <c r="D1348" s="5">
        <v>0.1</v>
      </c>
      <c r="E1348" s="5">
        <v>96.9</v>
      </c>
      <c r="F1348" s="5">
        <v>191.2</v>
      </c>
      <c r="G1348" s="5">
        <v>95.4</v>
      </c>
      <c r="H1348" s="5">
        <v>95.4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96.7</v>
      </c>
      <c r="D1349" s="5">
        <v>0.1</v>
      </c>
      <c r="E1349" s="5">
        <v>96.9</v>
      </c>
      <c r="F1349" s="5">
        <v>191.2</v>
      </c>
      <c r="G1349" s="5">
        <v>95.4</v>
      </c>
      <c r="H1349" s="5">
        <v>95.4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96.7</v>
      </c>
      <c r="D1350" s="5">
        <v>0.1</v>
      </c>
      <c r="E1350" s="5">
        <v>96.9</v>
      </c>
      <c r="F1350" s="5">
        <v>191.2</v>
      </c>
      <c r="G1350" s="5">
        <v>95.4</v>
      </c>
      <c r="H1350" s="5">
        <v>95.4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96.7</v>
      </c>
      <c r="D1351" s="5">
        <v>0.1</v>
      </c>
      <c r="E1351" s="5">
        <v>96.9</v>
      </c>
      <c r="F1351" s="5">
        <v>191.2</v>
      </c>
      <c r="G1351" s="5">
        <v>95.4</v>
      </c>
      <c r="H1351" s="5">
        <v>95.4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100.5</v>
      </c>
      <c r="D1352" s="5">
        <v>0.1</v>
      </c>
      <c r="E1352" s="5">
        <v>100.5</v>
      </c>
      <c r="F1352" s="5">
        <v>200</v>
      </c>
      <c r="G1352" s="5">
        <v>99.8</v>
      </c>
      <c r="H1352" s="5">
        <v>99.7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100.5</v>
      </c>
      <c r="D1353" s="5">
        <v>0.1</v>
      </c>
      <c r="E1353" s="5">
        <v>100.5</v>
      </c>
      <c r="F1353" s="5">
        <v>200</v>
      </c>
      <c r="G1353" s="5">
        <v>99.8</v>
      </c>
      <c r="H1353" s="5">
        <v>99.7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100</v>
      </c>
      <c r="D1354" s="5">
        <v>0.1</v>
      </c>
      <c r="E1354" s="5">
        <v>100.2</v>
      </c>
      <c r="F1354" s="5">
        <v>199.5</v>
      </c>
      <c r="G1354" s="5">
        <v>99.6</v>
      </c>
      <c r="H1354" s="5">
        <v>99.4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100</v>
      </c>
      <c r="D1355" s="5">
        <v>0.1</v>
      </c>
      <c r="E1355" s="5">
        <v>100.2</v>
      </c>
      <c r="F1355" s="5">
        <v>199.5</v>
      </c>
      <c r="G1355" s="5">
        <v>99.6</v>
      </c>
      <c r="H1355" s="5">
        <v>99.4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100.4</v>
      </c>
      <c r="D1356" s="5">
        <v>0.1</v>
      </c>
      <c r="E1356" s="5">
        <v>100.5</v>
      </c>
      <c r="F1356" s="5">
        <v>200</v>
      </c>
      <c r="G1356" s="5">
        <v>99.8</v>
      </c>
      <c r="H1356" s="5">
        <v>99.6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100.4</v>
      </c>
      <c r="D1357" s="5">
        <v>0.1</v>
      </c>
      <c r="E1357" s="5">
        <v>100.5</v>
      </c>
      <c r="F1357" s="5">
        <v>200</v>
      </c>
      <c r="G1357" s="5">
        <v>99.8</v>
      </c>
      <c r="H1357" s="5">
        <v>99.6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100.4</v>
      </c>
      <c r="D1358" s="5">
        <v>0.1</v>
      </c>
      <c r="E1358" s="5">
        <v>100.5</v>
      </c>
      <c r="F1358" s="5">
        <v>199.6</v>
      </c>
      <c r="G1358" s="5">
        <v>99.6</v>
      </c>
      <c r="H1358" s="5">
        <v>99.5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100.4</v>
      </c>
      <c r="D1359" s="5">
        <v>0.1</v>
      </c>
      <c r="E1359" s="5">
        <v>100.5</v>
      </c>
      <c r="F1359" s="5">
        <v>199.6</v>
      </c>
      <c r="G1359" s="5">
        <v>99.6</v>
      </c>
      <c r="H1359" s="5">
        <v>99.5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100.4</v>
      </c>
      <c r="D1360" s="5">
        <v>0.1</v>
      </c>
      <c r="E1360" s="5">
        <v>100.5</v>
      </c>
      <c r="F1360" s="5">
        <v>199.6</v>
      </c>
      <c r="G1360" s="5">
        <v>99.6</v>
      </c>
      <c r="H1360" s="5">
        <v>99.5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100.4</v>
      </c>
      <c r="D1361" s="5">
        <v>0.1</v>
      </c>
      <c r="E1361" s="5">
        <v>100.5</v>
      </c>
      <c r="F1361" s="5">
        <v>199.6</v>
      </c>
      <c r="G1361" s="5">
        <v>99.6</v>
      </c>
      <c r="H1361" s="5">
        <v>99.5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101.1</v>
      </c>
      <c r="D1362" s="5">
        <v>0.1</v>
      </c>
      <c r="E1362" s="5">
        <v>101.2</v>
      </c>
      <c r="F1362" s="5">
        <v>201.9</v>
      </c>
      <c r="G1362" s="5">
        <v>100.8</v>
      </c>
      <c r="H1362" s="5">
        <v>100.6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101.1</v>
      </c>
      <c r="D1363" s="5">
        <v>0.1</v>
      </c>
      <c r="E1363" s="5">
        <v>101.2</v>
      </c>
      <c r="F1363" s="5">
        <v>201.9</v>
      </c>
      <c r="G1363" s="5">
        <v>100.8</v>
      </c>
      <c r="H1363" s="5">
        <v>100.6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101.1</v>
      </c>
      <c r="D1364" s="5">
        <v>0.1</v>
      </c>
      <c r="E1364" s="5">
        <v>101.2</v>
      </c>
      <c r="F1364" s="5">
        <v>202.6</v>
      </c>
      <c r="G1364" s="5">
        <v>101.1</v>
      </c>
      <c r="H1364" s="5">
        <v>101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101.1</v>
      </c>
      <c r="D1365" s="5">
        <v>0.1</v>
      </c>
      <c r="E1365" s="5">
        <v>101.2</v>
      </c>
      <c r="F1365" s="5">
        <v>202.6</v>
      </c>
      <c r="G1365" s="5">
        <v>101.1</v>
      </c>
      <c r="H1365" s="5">
        <v>101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101.1</v>
      </c>
      <c r="D1366" s="5">
        <v>0.1</v>
      </c>
      <c r="E1366" s="5">
        <v>101.2</v>
      </c>
      <c r="F1366" s="5">
        <v>202.4</v>
      </c>
      <c r="G1366" s="5">
        <v>101</v>
      </c>
      <c r="H1366" s="5">
        <v>100.8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101.1</v>
      </c>
      <c r="D1367" s="5">
        <v>0.1</v>
      </c>
      <c r="E1367" s="5">
        <v>101.2</v>
      </c>
      <c r="F1367" s="5">
        <v>202.4</v>
      </c>
      <c r="G1367" s="5">
        <v>101</v>
      </c>
      <c r="H1367" s="5">
        <v>100.8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101.8</v>
      </c>
      <c r="D1368" s="5">
        <v>0.1</v>
      </c>
      <c r="E1368" s="5">
        <v>101.9</v>
      </c>
      <c r="F1368" s="5">
        <v>202.9</v>
      </c>
      <c r="G1368" s="5">
        <v>101.3</v>
      </c>
      <c r="H1368" s="5">
        <v>101.2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101.8</v>
      </c>
      <c r="D1369" s="5">
        <v>0.1</v>
      </c>
      <c r="E1369" s="5">
        <v>101.9</v>
      </c>
      <c r="F1369" s="5">
        <v>202.9</v>
      </c>
      <c r="G1369" s="5">
        <v>101.3</v>
      </c>
      <c r="H1369" s="5">
        <v>101.2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101.8</v>
      </c>
      <c r="D1370" s="5">
        <v>0.1</v>
      </c>
      <c r="E1370" s="5">
        <v>101.9</v>
      </c>
      <c r="F1370" s="5">
        <v>202.9</v>
      </c>
      <c r="G1370" s="5">
        <v>101.3</v>
      </c>
      <c r="H1370" s="5">
        <v>101.2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101.8</v>
      </c>
      <c r="D1371" s="5">
        <v>0.1</v>
      </c>
      <c r="E1371" s="5">
        <v>101.9</v>
      </c>
      <c r="F1371" s="5">
        <v>202.9</v>
      </c>
      <c r="G1371" s="5">
        <v>101.3</v>
      </c>
      <c r="H1371" s="5">
        <v>101.2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101.5</v>
      </c>
      <c r="D1372" s="5">
        <v>0.1</v>
      </c>
      <c r="E1372" s="5">
        <v>101.6</v>
      </c>
      <c r="F1372" s="5">
        <v>202.4</v>
      </c>
      <c r="G1372" s="5">
        <v>101</v>
      </c>
      <c r="H1372" s="5">
        <v>100.9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101.5</v>
      </c>
      <c r="D1373" s="5">
        <v>0.1</v>
      </c>
      <c r="E1373" s="5">
        <v>101.6</v>
      </c>
      <c r="F1373" s="5">
        <v>202.4</v>
      </c>
      <c r="G1373" s="5">
        <v>101</v>
      </c>
      <c r="H1373" s="5">
        <v>100.9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101.8</v>
      </c>
      <c r="D1374" s="5">
        <v>0.1</v>
      </c>
      <c r="E1374" s="5">
        <v>101.9</v>
      </c>
      <c r="F1374" s="5">
        <v>203.1</v>
      </c>
      <c r="G1374" s="5">
        <v>101.3</v>
      </c>
      <c r="H1374" s="5">
        <v>101.2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101.8</v>
      </c>
      <c r="D1375" s="5">
        <v>0.1</v>
      </c>
      <c r="E1375" s="5">
        <v>101.9</v>
      </c>
      <c r="F1375" s="5">
        <v>203.1</v>
      </c>
      <c r="G1375" s="5">
        <v>101.3</v>
      </c>
      <c r="H1375" s="5">
        <v>101.2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101.3</v>
      </c>
      <c r="D1376" s="5">
        <v>0.1</v>
      </c>
      <c r="E1376" s="5">
        <v>101.5</v>
      </c>
      <c r="F1376" s="5">
        <v>201.9</v>
      </c>
      <c r="G1376" s="5">
        <v>100.8</v>
      </c>
      <c r="H1376" s="5">
        <v>100.6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101.3</v>
      </c>
      <c r="D1377" s="5">
        <v>0.1</v>
      </c>
      <c r="E1377" s="5">
        <v>101.5</v>
      </c>
      <c r="F1377" s="5">
        <v>201.9</v>
      </c>
      <c r="G1377" s="5">
        <v>100.8</v>
      </c>
      <c r="H1377" s="5">
        <v>100.6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100.8</v>
      </c>
      <c r="D1378" s="5">
        <v>0.1</v>
      </c>
      <c r="E1378" s="5">
        <v>100.9</v>
      </c>
      <c r="F1378" s="5">
        <v>201.8</v>
      </c>
      <c r="G1378" s="5">
        <v>100.7</v>
      </c>
      <c r="H1378" s="5">
        <v>100.5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100.8</v>
      </c>
      <c r="D1379" s="5">
        <v>0.1</v>
      </c>
      <c r="E1379" s="5">
        <v>100.9</v>
      </c>
      <c r="F1379" s="5">
        <v>201.8</v>
      </c>
      <c r="G1379" s="5">
        <v>100.7</v>
      </c>
      <c r="H1379" s="5">
        <v>100.5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100.8</v>
      </c>
      <c r="D1380" s="5">
        <v>0.1</v>
      </c>
      <c r="E1380" s="5">
        <v>100.9</v>
      </c>
      <c r="F1380" s="5">
        <v>201.8</v>
      </c>
      <c r="G1380" s="5">
        <v>100.7</v>
      </c>
      <c r="H1380" s="5">
        <v>100.5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100.8</v>
      </c>
      <c r="D1381" s="5">
        <v>0.1</v>
      </c>
      <c r="E1381" s="5">
        <v>98.4</v>
      </c>
      <c r="F1381" s="5">
        <v>196.6</v>
      </c>
      <c r="G1381" s="5">
        <v>98.1</v>
      </c>
      <c r="H1381" s="5">
        <v>97.9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98.3</v>
      </c>
      <c r="D1382" s="5">
        <v>0.1</v>
      </c>
      <c r="E1382" s="5">
        <v>98.4</v>
      </c>
      <c r="F1382" s="5">
        <v>196.6</v>
      </c>
      <c r="G1382" s="5">
        <v>98.1</v>
      </c>
      <c r="H1382" s="5">
        <v>97.9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98.3</v>
      </c>
      <c r="D1383" s="5">
        <v>0.1</v>
      </c>
      <c r="E1383" s="5">
        <v>98</v>
      </c>
      <c r="F1383" s="5">
        <v>192.7</v>
      </c>
      <c r="G1383" s="5">
        <v>96.2</v>
      </c>
      <c r="H1383" s="5">
        <v>96.2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97.9</v>
      </c>
      <c r="D1384" s="5">
        <v>0.1</v>
      </c>
      <c r="E1384" s="5">
        <v>98</v>
      </c>
      <c r="F1384" s="5">
        <v>192.7</v>
      </c>
      <c r="G1384" s="5">
        <v>96.2</v>
      </c>
      <c r="H1384" s="5">
        <v>96.2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97.9</v>
      </c>
      <c r="D1385" s="5">
        <v>0.1</v>
      </c>
      <c r="E1385" s="5">
        <v>95.5</v>
      </c>
      <c r="F1385" s="5">
        <v>191.3</v>
      </c>
      <c r="G1385" s="5">
        <v>95.4</v>
      </c>
      <c r="H1385" s="5">
        <v>95.3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95.4</v>
      </c>
      <c r="D1386" s="5">
        <v>0.1</v>
      </c>
      <c r="E1386" s="5">
        <v>95.5</v>
      </c>
      <c r="F1386" s="5">
        <v>191.3</v>
      </c>
      <c r="G1386" s="5">
        <v>95.4</v>
      </c>
      <c r="H1386" s="5">
        <v>95.3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95.4</v>
      </c>
      <c r="D1387" s="5">
        <v>0.1</v>
      </c>
      <c r="E1387" s="5">
        <v>95</v>
      </c>
      <c r="F1387" s="5">
        <v>198.1</v>
      </c>
      <c r="G1387" s="5">
        <v>98.6</v>
      </c>
      <c r="H1387" s="5">
        <v>98.3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94.8</v>
      </c>
      <c r="D1388" s="5">
        <v>0.1</v>
      </c>
      <c r="E1388" s="5">
        <v>95</v>
      </c>
      <c r="F1388" s="5">
        <v>198.1</v>
      </c>
      <c r="G1388" s="5">
        <v>98.6</v>
      </c>
      <c r="H1388" s="5">
        <v>98.3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94.8</v>
      </c>
      <c r="D1389" s="5">
        <v>0.1</v>
      </c>
      <c r="E1389" s="5">
        <v>95</v>
      </c>
      <c r="F1389" s="5">
        <v>198.1</v>
      </c>
      <c r="G1389" s="5">
        <v>98.6</v>
      </c>
      <c r="H1389" s="5">
        <v>98.3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94.8</v>
      </c>
      <c r="D1390" s="5">
        <v>0.1</v>
      </c>
      <c r="E1390" s="5">
        <v>95</v>
      </c>
      <c r="F1390" s="5">
        <v>198.1</v>
      </c>
      <c r="G1390" s="5">
        <v>98.6</v>
      </c>
      <c r="H1390" s="5">
        <v>98.3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96.6</v>
      </c>
      <c r="D1391" s="5">
        <v>0.1</v>
      </c>
      <c r="E1391" s="5">
        <v>96.7</v>
      </c>
      <c r="F1391" s="5">
        <v>192.5</v>
      </c>
      <c r="G1391" s="5">
        <v>96.1</v>
      </c>
      <c r="H1391" s="5">
        <v>96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96.6</v>
      </c>
      <c r="D1392" s="5">
        <v>0.1</v>
      </c>
      <c r="E1392" s="5">
        <v>96.7</v>
      </c>
      <c r="F1392" s="5">
        <v>192.5</v>
      </c>
      <c r="G1392" s="5">
        <v>96.1</v>
      </c>
      <c r="H1392" s="5">
        <v>96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96.1</v>
      </c>
      <c r="D1393" s="5">
        <v>0.1</v>
      </c>
      <c r="E1393" s="5">
        <v>96.3</v>
      </c>
      <c r="F1393" s="5">
        <v>191</v>
      </c>
      <c r="G1393" s="5">
        <v>95.3</v>
      </c>
      <c r="H1393" s="5">
        <v>95.2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96.1</v>
      </c>
      <c r="D1394" s="5">
        <v>0.1</v>
      </c>
      <c r="E1394" s="5">
        <v>96.3</v>
      </c>
      <c r="F1394" s="5">
        <v>191</v>
      </c>
      <c r="G1394" s="5">
        <v>95.3</v>
      </c>
      <c r="H1394" s="5">
        <v>95.2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100.8</v>
      </c>
      <c r="D1395" s="5">
        <v>0.1</v>
      </c>
      <c r="E1395" s="5">
        <v>101</v>
      </c>
      <c r="F1395" s="5">
        <v>201</v>
      </c>
      <c r="G1395" s="5">
        <v>100.4</v>
      </c>
      <c r="H1395" s="5">
        <v>100.2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100.8</v>
      </c>
      <c r="D1396" s="5">
        <v>0.1</v>
      </c>
      <c r="E1396" s="5">
        <v>101</v>
      </c>
      <c r="F1396" s="5">
        <v>201</v>
      </c>
      <c r="G1396" s="5">
        <v>100.4</v>
      </c>
      <c r="H1396" s="5">
        <v>100.2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97.9</v>
      </c>
      <c r="D1397" s="5">
        <v>0.1</v>
      </c>
      <c r="E1397" s="5">
        <v>98</v>
      </c>
      <c r="F1397" s="5">
        <v>195</v>
      </c>
      <c r="G1397" s="5">
        <v>100.4</v>
      </c>
      <c r="H1397" s="5">
        <v>100.2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97.9</v>
      </c>
      <c r="D1398" s="5">
        <v>0.1</v>
      </c>
      <c r="E1398" s="5">
        <v>98</v>
      </c>
      <c r="F1398" s="5">
        <v>195</v>
      </c>
      <c r="G1398" s="5">
        <v>97.3</v>
      </c>
      <c r="H1398" s="5">
        <v>97.2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97.9</v>
      </c>
      <c r="D1399" s="5">
        <v>0.1</v>
      </c>
      <c r="E1399" s="5">
        <v>98</v>
      </c>
      <c r="F1399" s="5">
        <v>195</v>
      </c>
      <c r="G1399" s="5">
        <v>97.3</v>
      </c>
      <c r="H1399" s="5">
        <v>97.2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97.9</v>
      </c>
      <c r="D1400" s="5">
        <v>0.1</v>
      </c>
      <c r="E1400" s="5">
        <v>98</v>
      </c>
      <c r="F1400" s="5">
        <v>195</v>
      </c>
      <c r="G1400" s="5">
        <v>97.3</v>
      </c>
      <c r="H1400" s="5">
        <v>97.2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96.8</v>
      </c>
      <c r="D1401" s="5">
        <v>0.1</v>
      </c>
      <c r="E1401" s="5">
        <v>97</v>
      </c>
      <c r="F1401" s="5">
        <v>189.3</v>
      </c>
      <c r="G1401" s="5">
        <v>97.3</v>
      </c>
      <c r="H1401" s="5">
        <v>97.2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96.8</v>
      </c>
      <c r="D1402" s="5">
        <v>0.1</v>
      </c>
      <c r="E1402" s="5">
        <v>97</v>
      </c>
      <c r="F1402" s="5">
        <v>189.3</v>
      </c>
      <c r="G1402" s="5">
        <v>94.5</v>
      </c>
      <c r="H1402" s="5">
        <v>94.4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96.7</v>
      </c>
      <c r="D1403" s="5">
        <v>0.1</v>
      </c>
      <c r="E1403" s="5">
        <v>97</v>
      </c>
      <c r="F1403" s="5">
        <v>189.3</v>
      </c>
      <c r="G1403" s="5">
        <v>94.5</v>
      </c>
      <c r="H1403" s="5">
        <v>94.4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96.7</v>
      </c>
      <c r="D1404" s="5">
        <v>0.1</v>
      </c>
      <c r="E1404" s="5">
        <v>96.9</v>
      </c>
      <c r="F1404" s="5">
        <v>189.2</v>
      </c>
      <c r="G1404" s="5">
        <v>94.5</v>
      </c>
      <c r="H1404" s="5">
        <v>94.4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96.7</v>
      </c>
      <c r="D1405" s="5">
        <v>0.1</v>
      </c>
      <c r="E1405" s="5">
        <v>96.9</v>
      </c>
      <c r="F1405" s="5">
        <v>189.2</v>
      </c>
      <c r="G1405" s="5">
        <v>94.5</v>
      </c>
      <c r="H1405" s="5">
        <v>94.4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96.6</v>
      </c>
      <c r="D1406" s="5">
        <v>0.1</v>
      </c>
      <c r="E1406" s="5">
        <v>96.7</v>
      </c>
      <c r="F1406" s="5">
        <v>190</v>
      </c>
      <c r="G1406" s="5">
        <v>94.8</v>
      </c>
      <c r="H1406" s="5">
        <v>94.6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96.6</v>
      </c>
      <c r="D1407" s="5">
        <v>0.1</v>
      </c>
      <c r="E1407" s="5">
        <v>96.7</v>
      </c>
      <c r="F1407" s="5">
        <v>190</v>
      </c>
      <c r="G1407" s="5">
        <v>94.8</v>
      </c>
      <c r="H1407" s="5">
        <v>94.6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95.7</v>
      </c>
      <c r="D1408" s="5">
        <v>0.1</v>
      </c>
      <c r="E1408" s="5">
        <v>95.8</v>
      </c>
      <c r="F1408" s="5">
        <v>191.4</v>
      </c>
      <c r="G1408" s="5">
        <v>95.8</v>
      </c>
      <c r="H1408" s="5">
        <v>95.9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95.7</v>
      </c>
      <c r="D1409" s="5">
        <v>0.1</v>
      </c>
      <c r="E1409" s="5">
        <v>95.8</v>
      </c>
      <c r="F1409" s="5">
        <v>191.4</v>
      </c>
      <c r="G1409" s="5">
        <v>95.8</v>
      </c>
      <c r="H1409" s="5">
        <v>95.9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95.7</v>
      </c>
      <c r="D1410" s="5">
        <v>0.1</v>
      </c>
      <c r="E1410" s="5">
        <v>95.8</v>
      </c>
      <c r="F1410" s="5">
        <v>191.4</v>
      </c>
      <c r="G1410" s="5">
        <v>95.8</v>
      </c>
      <c r="H1410" s="5">
        <v>95.9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99</v>
      </c>
      <c r="D1411" s="5">
        <v>0.1</v>
      </c>
      <c r="E1411" s="5">
        <v>99.2</v>
      </c>
      <c r="F1411" s="5">
        <v>196.4</v>
      </c>
      <c r="G1411" s="5">
        <v>98</v>
      </c>
      <c r="H1411" s="5">
        <v>97.9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99</v>
      </c>
      <c r="D1412" s="5">
        <v>0.1</v>
      </c>
      <c r="E1412" s="5">
        <v>99.2</v>
      </c>
      <c r="F1412" s="5">
        <v>196.4</v>
      </c>
      <c r="G1412" s="5">
        <v>98</v>
      </c>
      <c r="H1412" s="5">
        <v>97.9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103.9</v>
      </c>
      <c r="D1413" s="5">
        <v>0.1</v>
      </c>
      <c r="E1413" s="5">
        <v>104</v>
      </c>
      <c r="F1413" s="5">
        <v>205.2</v>
      </c>
      <c r="G1413" s="5">
        <v>102.5</v>
      </c>
      <c r="H1413" s="5">
        <v>102.4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103.9</v>
      </c>
      <c r="D1414" s="5">
        <v>0.1</v>
      </c>
      <c r="E1414" s="5">
        <v>104</v>
      </c>
      <c r="F1414" s="5">
        <v>205.2</v>
      </c>
      <c r="G1414" s="5">
        <v>102.5</v>
      </c>
      <c r="H1414" s="5">
        <v>102.4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101.2</v>
      </c>
      <c r="D1415" s="5">
        <v>0.1</v>
      </c>
      <c r="E1415" s="5">
        <v>101.3</v>
      </c>
      <c r="F1415" s="5">
        <v>205.5</v>
      </c>
      <c r="G1415" s="5">
        <v>102.5</v>
      </c>
      <c r="H1415" s="5">
        <v>102.3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101.2</v>
      </c>
      <c r="D1416" s="5">
        <v>0.1</v>
      </c>
      <c r="E1416" s="5">
        <v>101.3</v>
      </c>
      <c r="F1416" s="5">
        <v>205.5</v>
      </c>
      <c r="G1416" s="5">
        <v>102.5</v>
      </c>
      <c r="H1416" s="5">
        <v>102.3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97.3</v>
      </c>
      <c r="D1417" s="5">
        <v>0.1</v>
      </c>
      <c r="E1417" s="5">
        <v>97.5</v>
      </c>
      <c r="F1417" s="5">
        <v>194.5</v>
      </c>
      <c r="G1417" s="5">
        <v>97</v>
      </c>
      <c r="H1417" s="5">
        <v>96.8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97.3</v>
      </c>
      <c r="D1418" s="5">
        <v>0.1</v>
      </c>
      <c r="E1418" s="5">
        <v>97.5</v>
      </c>
      <c r="F1418" s="5">
        <v>194.5</v>
      </c>
      <c r="G1418" s="5">
        <v>97</v>
      </c>
      <c r="H1418" s="5">
        <v>96.8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97.3</v>
      </c>
      <c r="D1419" s="5">
        <v>0.1</v>
      </c>
      <c r="E1419" s="5">
        <v>97.5</v>
      </c>
      <c r="F1419" s="5">
        <v>194.5</v>
      </c>
      <c r="G1419" s="5">
        <v>97</v>
      </c>
      <c r="H1419" s="5">
        <v>96.8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97.3</v>
      </c>
      <c r="D1420" s="5">
        <v>0.1</v>
      </c>
      <c r="E1420" s="5">
        <v>97.5</v>
      </c>
      <c r="F1420" s="5">
        <v>194.5</v>
      </c>
      <c r="G1420" s="5">
        <v>97</v>
      </c>
      <c r="H1420" s="5">
        <v>96.8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94.5</v>
      </c>
      <c r="D1421" s="5">
        <v>0.1</v>
      </c>
      <c r="E1421" s="5">
        <v>94.6</v>
      </c>
      <c r="F1421" s="5">
        <v>192.3</v>
      </c>
      <c r="G1421" s="5">
        <v>95.9</v>
      </c>
      <c r="H1421" s="5">
        <v>95.6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94.5</v>
      </c>
      <c r="D1422" s="5">
        <v>0.1</v>
      </c>
      <c r="E1422" s="5">
        <v>94.6</v>
      </c>
      <c r="F1422" s="5">
        <v>192.3</v>
      </c>
      <c r="G1422" s="5">
        <v>95.9</v>
      </c>
      <c r="H1422" s="5">
        <v>95.6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96.2</v>
      </c>
      <c r="D1423" s="5">
        <v>0.1</v>
      </c>
      <c r="E1423" s="5">
        <v>96.4</v>
      </c>
      <c r="F1423" s="5">
        <v>191.9</v>
      </c>
      <c r="G1423" s="5">
        <v>96.8</v>
      </c>
      <c r="H1423" s="5">
        <v>98.2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96.2</v>
      </c>
      <c r="D1424" s="5">
        <v>0.1</v>
      </c>
      <c r="E1424" s="5">
        <v>96.4</v>
      </c>
      <c r="F1424" s="5">
        <v>191.9</v>
      </c>
      <c r="G1424" s="5">
        <v>96.8</v>
      </c>
      <c r="H1424" s="5">
        <v>98.2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96.9</v>
      </c>
      <c r="D1425" s="5">
        <v>0.1</v>
      </c>
      <c r="E1425" s="5">
        <v>97</v>
      </c>
      <c r="F1425" s="5">
        <v>194</v>
      </c>
      <c r="G1425" s="5">
        <v>96.7</v>
      </c>
      <c r="H1425" s="5">
        <v>96.8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96.9</v>
      </c>
      <c r="D1426" s="5">
        <v>0.1</v>
      </c>
      <c r="E1426" s="5">
        <v>97</v>
      </c>
      <c r="F1426" s="5">
        <v>194</v>
      </c>
      <c r="G1426" s="5">
        <v>96.7</v>
      </c>
      <c r="H1426" s="5">
        <v>96.8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97.5</v>
      </c>
      <c r="D1427" s="5">
        <v>0.1</v>
      </c>
      <c r="E1427" s="5">
        <v>97.6</v>
      </c>
      <c r="F1427" s="5">
        <v>193.9</v>
      </c>
      <c r="G1427" s="5">
        <v>96.7</v>
      </c>
      <c r="H1427" s="5">
        <v>96.5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97.5</v>
      </c>
      <c r="D1428" s="5">
        <v>0.1</v>
      </c>
      <c r="E1428" s="5">
        <v>97.6</v>
      </c>
      <c r="F1428" s="5">
        <v>193.9</v>
      </c>
      <c r="G1428" s="5">
        <v>96.7</v>
      </c>
      <c r="H1428" s="5">
        <v>96.5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97.5</v>
      </c>
      <c r="D1429" s="5">
        <v>0.1</v>
      </c>
      <c r="E1429" s="5">
        <v>97.6</v>
      </c>
      <c r="F1429" s="5">
        <v>193.9</v>
      </c>
      <c r="G1429" s="5">
        <v>96.7</v>
      </c>
      <c r="H1429" s="5">
        <v>96.5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97.5</v>
      </c>
      <c r="D1430" s="5">
        <v>0.1</v>
      </c>
      <c r="E1430" s="5">
        <v>97.6</v>
      </c>
      <c r="F1430" s="5">
        <v>193.9</v>
      </c>
      <c r="G1430" s="5">
        <v>96.7</v>
      </c>
      <c r="H1430" s="5">
        <v>96.5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93.8</v>
      </c>
      <c r="D1431" s="5">
        <v>0.1</v>
      </c>
      <c r="E1431" s="5">
        <v>94</v>
      </c>
      <c r="F1431" s="5">
        <v>188.8</v>
      </c>
      <c r="G1431" s="5">
        <v>94.1</v>
      </c>
      <c r="H1431" s="5">
        <v>94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93.8</v>
      </c>
      <c r="D1432" s="5">
        <v>0.1</v>
      </c>
      <c r="E1432" s="5">
        <v>94</v>
      </c>
      <c r="F1432" s="5">
        <v>188.8</v>
      </c>
      <c r="G1432" s="5">
        <v>94.1</v>
      </c>
      <c r="H1432" s="5">
        <v>94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93.7</v>
      </c>
      <c r="D1433" s="5">
        <v>0.1</v>
      </c>
      <c r="E1433" s="5">
        <v>93.8</v>
      </c>
      <c r="F1433" s="5">
        <v>189.2</v>
      </c>
      <c r="G1433" s="5">
        <v>94.3</v>
      </c>
      <c r="H1433" s="5">
        <v>94.1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93.7</v>
      </c>
      <c r="D1434" s="5">
        <v>0.1</v>
      </c>
      <c r="E1434" s="5">
        <v>93.8</v>
      </c>
      <c r="F1434" s="5">
        <v>189.2</v>
      </c>
      <c r="G1434" s="5">
        <v>94.3</v>
      </c>
      <c r="H1434" s="5">
        <v>94.1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94.2</v>
      </c>
      <c r="D1435" s="5">
        <v>0.1</v>
      </c>
      <c r="E1435" s="5">
        <v>94.4</v>
      </c>
      <c r="F1435" s="5">
        <v>195.7</v>
      </c>
      <c r="G1435" s="5">
        <v>97.4</v>
      </c>
      <c r="H1435" s="5">
        <v>96.9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94.2</v>
      </c>
      <c r="D1436" s="5">
        <v>0.1</v>
      </c>
      <c r="E1436" s="5">
        <v>94.4</v>
      </c>
      <c r="F1436" s="5">
        <v>195.7</v>
      </c>
      <c r="G1436" s="5">
        <v>97.4</v>
      </c>
      <c r="H1436" s="5">
        <v>96.9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95.5</v>
      </c>
      <c r="D1437" s="5">
        <v>0.1</v>
      </c>
      <c r="E1437" s="5">
        <v>95.7</v>
      </c>
      <c r="F1437" s="5">
        <v>193.1</v>
      </c>
      <c r="G1437" s="5">
        <v>96.3</v>
      </c>
      <c r="H1437" s="5">
        <v>96.1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95.5</v>
      </c>
      <c r="D1438" s="5">
        <v>0.1</v>
      </c>
      <c r="E1438" s="5">
        <v>95.7</v>
      </c>
      <c r="F1438" s="5">
        <v>193.1</v>
      </c>
      <c r="G1438" s="5">
        <v>96.3</v>
      </c>
      <c r="H1438" s="5">
        <v>96.1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95.5</v>
      </c>
      <c r="D1439" s="5">
        <v>0.1</v>
      </c>
      <c r="E1439" s="5">
        <v>95.7</v>
      </c>
      <c r="F1439" s="5">
        <v>193.1</v>
      </c>
      <c r="G1439" s="5">
        <v>96.3</v>
      </c>
      <c r="H1439" s="5">
        <v>96.1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95.5</v>
      </c>
      <c r="D1440" s="5">
        <v>0.1</v>
      </c>
      <c r="E1440" s="5">
        <v>95.7</v>
      </c>
      <c r="F1440" s="5">
        <v>193.1</v>
      </c>
      <c r="G1440" s="5">
        <v>96.3</v>
      </c>
      <c r="H1440" s="5">
        <v>96.1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101.3</v>
      </c>
      <c r="D1441" s="5">
        <v>0.1</v>
      </c>
      <c r="E1441" s="5">
        <v>101.5</v>
      </c>
      <c r="F1441" s="5">
        <v>202.1</v>
      </c>
      <c r="G1441" s="5">
        <v>100.8</v>
      </c>
      <c r="H1441" s="5">
        <v>100.6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101.3</v>
      </c>
      <c r="D1442" s="5">
        <v>0.1</v>
      </c>
      <c r="E1442" s="5">
        <v>101.5</v>
      </c>
      <c r="F1442" s="5">
        <v>202.1</v>
      </c>
      <c r="G1442" s="5">
        <v>100.8</v>
      </c>
      <c r="H1442" s="5">
        <v>100.6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100.8</v>
      </c>
      <c r="D1443" s="5">
        <v>0.1</v>
      </c>
      <c r="E1443" s="5">
        <v>100.9</v>
      </c>
      <c r="F1443" s="5">
        <v>201.5</v>
      </c>
      <c r="G1443" s="5">
        <v>100.5</v>
      </c>
      <c r="H1443" s="5">
        <v>100.4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100.8</v>
      </c>
      <c r="D1444" s="5">
        <v>0.1</v>
      </c>
      <c r="E1444" s="5">
        <v>100.9</v>
      </c>
      <c r="F1444" s="5">
        <v>201.5</v>
      </c>
      <c r="G1444" s="5">
        <v>100.5</v>
      </c>
      <c r="H1444" s="5">
        <v>100.4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101.1</v>
      </c>
      <c r="D1445" s="5">
        <v>0.1</v>
      </c>
      <c r="E1445" s="5">
        <v>101.2</v>
      </c>
      <c r="F1445" s="5">
        <v>201.9</v>
      </c>
      <c r="G1445" s="5">
        <v>100.7</v>
      </c>
      <c r="H1445" s="5">
        <v>100.6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101.1</v>
      </c>
      <c r="D1446" s="5">
        <v>0.1</v>
      </c>
      <c r="E1446" s="5">
        <v>101.2</v>
      </c>
      <c r="F1446" s="5">
        <v>201.9</v>
      </c>
      <c r="G1446" s="5">
        <v>100.7</v>
      </c>
      <c r="H1446" s="5">
        <v>100.6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101.5</v>
      </c>
      <c r="D1447" s="5">
        <v>0.1</v>
      </c>
      <c r="E1447" s="5">
        <v>101.5</v>
      </c>
      <c r="F1447" s="5">
        <v>201.8</v>
      </c>
      <c r="G1447" s="5">
        <v>100.7</v>
      </c>
      <c r="H1447" s="5">
        <v>100.5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101.5</v>
      </c>
      <c r="D1448" s="5">
        <v>0.1</v>
      </c>
      <c r="E1448" s="5">
        <v>101.5</v>
      </c>
      <c r="F1448" s="5">
        <v>201.8</v>
      </c>
      <c r="G1448" s="5">
        <v>100.7</v>
      </c>
      <c r="H1448" s="5">
        <v>100.5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101.5</v>
      </c>
      <c r="D1449" s="5">
        <v>0.1</v>
      </c>
      <c r="E1449" s="5">
        <v>101.5</v>
      </c>
      <c r="F1449" s="5">
        <v>201.8</v>
      </c>
      <c r="G1449" s="5">
        <v>100.7</v>
      </c>
      <c r="H1449" s="5">
        <v>100.5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101.5</v>
      </c>
      <c r="D1450" s="5">
        <v>0.1</v>
      </c>
      <c r="E1450" s="5">
        <v>101.5</v>
      </c>
      <c r="F1450" s="5">
        <v>201.8</v>
      </c>
      <c r="G1450" s="5">
        <v>100.7</v>
      </c>
      <c r="H1450" s="5">
        <v>100.5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100.6</v>
      </c>
      <c r="D1451" s="5">
        <v>0.1</v>
      </c>
      <c r="E1451" s="5">
        <v>100.8</v>
      </c>
      <c r="F1451" s="5">
        <v>201.6</v>
      </c>
      <c r="G1451" s="5">
        <v>100.6</v>
      </c>
      <c r="H1451" s="5">
        <v>100.4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100.6</v>
      </c>
      <c r="D1452" s="5">
        <v>0.1</v>
      </c>
      <c r="E1452" s="5">
        <v>100.8</v>
      </c>
      <c r="F1452" s="5">
        <v>201.6</v>
      </c>
      <c r="G1452" s="5">
        <v>100.6</v>
      </c>
      <c r="H1452" s="5">
        <v>100.4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100.8</v>
      </c>
      <c r="D1453" s="5">
        <v>0.1</v>
      </c>
      <c r="E1453" s="5">
        <v>100.9</v>
      </c>
      <c r="F1453" s="5">
        <v>201.4</v>
      </c>
      <c r="G1453" s="5">
        <v>100.5</v>
      </c>
      <c r="H1453" s="5">
        <v>100.3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100.8</v>
      </c>
      <c r="D1454" s="5">
        <v>0.1</v>
      </c>
      <c r="E1454" s="5">
        <v>100.9</v>
      </c>
      <c r="F1454" s="5">
        <v>201.4</v>
      </c>
      <c r="G1454" s="5">
        <v>100.5</v>
      </c>
      <c r="H1454" s="5">
        <v>100.3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100.3</v>
      </c>
      <c r="D1455" s="5">
        <v>0.1</v>
      </c>
      <c r="E1455" s="5">
        <v>100.5</v>
      </c>
      <c r="F1455" s="5">
        <v>200.9</v>
      </c>
      <c r="G1455" s="5">
        <v>100.2</v>
      </c>
      <c r="H1455" s="5">
        <v>100.1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100.3</v>
      </c>
      <c r="D1456" s="5">
        <v>0.1</v>
      </c>
      <c r="E1456" s="5">
        <v>100.5</v>
      </c>
      <c r="F1456" s="5">
        <v>200.9</v>
      </c>
      <c r="G1456" s="5">
        <v>100.2</v>
      </c>
      <c r="H1456" s="5">
        <v>100.1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99.4</v>
      </c>
      <c r="D1457" s="5">
        <v>0.1</v>
      </c>
      <c r="E1457" s="5">
        <v>99.5</v>
      </c>
      <c r="F1457" s="5">
        <v>193.1</v>
      </c>
      <c r="G1457" s="5">
        <v>96.5</v>
      </c>
      <c r="H1457" s="5">
        <v>96.5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99.4</v>
      </c>
      <c r="D1458" s="5">
        <v>0.1</v>
      </c>
      <c r="E1458" s="5">
        <v>99.5</v>
      </c>
      <c r="F1458" s="5">
        <v>193.1</v>
      </c>
      <c r="G1458" s="5">
        <v>96.5</v>
      </c>
      <c r="H1458" s="5">
        <v>96.5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99.4</v>
      </c>
      <c r="D1459" s="5">
        <v>0.1</v>
      </c>
      <c r="E1459" s="5">
        <v>99.5</v>
      </c>
      <c r="F1459" s="5">
        <v>193.1</v>
      </c>
      <c r="G1459" s="5">
        <v>96.5</v>
      </c>
      <c r="H1459" s="5">
        <v>96.5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99.4</v>
      </c>
      <c r="D1460" s="5">
        <v>0.1</v>
      </c>
      <c r="E1460" s="5">
        <v>99.5</v>
      </c>
      <c r="F1460" s="5">
        <v>193.1</v>
      </c>
      <c r="G1460" s="5">
        <v>96.5</v>
      </c>
      <c r="H1460" s="5">
        <v>96.5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99.7</v>
      </c>
      <c r="D1461" s="5">
        <v>0.1</v>
      </c>
      <c r="E1461" s="5">
        <v>99.8</v>
      </c>
      <c r="F1461" s="5">
        <v>199.4</v>
      </c>
      <c r="G1461" s="5">
        <v>99.5</v>
      </c>
      <c r="H1461" s="5">
        <v>99.4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99.7</v>
      </c>
      <c r="D1462" s="5">
        <v>0.1</v>
      </c>
      <c r="E1462" s="5">
        <v>99.8</v>
      </c>
      <c r="F1462" s="5">
        <v>199.4</v>
      </c>
      <c r="G1462" s="5">
        <v>99.5</v>
      </c>
      <c r="H1462" s="5">
        <v>99.4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100.8</v>
      </c>
      <c r="D1463" s="5">
        <v>0.1</v>
      </c>
      <c r="E1463" s="5">
        <v>100.9</v>
      </c>
      <c r="F1463" s="5">
        <v>200.7</v>
      </c>
      <c r="G1463" s="5">
        <v>100</v>
      </c>
      <c r="H1463" s="5">
        <v>99.6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100.8</v>
      </c>
      <c r="D1464" s="5">
        <v>0.1</v>
      </c>
      <c r="E1464" s="5">
        <v>100.9</v>
      </c>
      <c r="F1464" s="5">
        <v>200.7</v>
      </c>
      <c r="G1464" s="5">
        <v>100</v>
      </c>
      <c r="H1464" s="5">
        <v>99.6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99.8</v>
      </c>
      <c r="D1465" s="5">
        <v>0.1</v>
      </c>
      <c r="E1465" s="5">
        <v>99.9</v>
      </c>
      <c r="F1465" s="5">
        <v>198.6</v>
      </c>
      <c r="G1465" s="5">
        <v>99.1</v>
      </c>
      <c r="H1465" s="5">
        <v>98.9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99.8</v>
      </c>
      <c r="D1466" s="5">
        <v>0.1</v>
      </c>
      <c r="E1466" s="5">
        <v>99.9</v>
      </c>
      <c r="F1466" s="5">
        <v>198.6</v>
      </c>
      <c r="G1466" s="5">
        <v>99.1</v>
      </c>
      <c r="H1466" s="5">
        <v>98.9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96</v>
      </c>
      <c r="D1467" s="5">
        <v>0.1</v>
      </c>
      <c r="E1467" s="5">
        <v>96.2</v>
      </c>
      <c r="F1467" s="5">
        <v>192</v>
      </c>
      <c r="G1467" s="5">
        <v>95.7</v>
      </c>
      <c r="H1467" s="5">
        <v>95.5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96</v>
      </c>
      <c r="D1468" s="5">
        <v>0.1</v>
      </c>
      <c r="E1468" s="5">
        <v>96.2</v>
      </c>
      <c r="F1468" s="5">
        <v>192</v>
      </c>
      <c r="G1468" s="5">
        <v>95.7</v>
      </c>
      <c r="H1468" s="5">
        <v>95.5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96</v>
      </c>
      <c r="D1469" s="5">
        <v>0.1</v>
      </c>
      <c r="E1469" s="5">
        <v>96.2</v>
      </c>
      <c r="F1469" s="5">
        <v>192</v>
      </c>
      <c r="G1469" s="5">
        <v>95.7</v>
      </c>
      <c r="H1469" s="5">
        <v>95.5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96</v>
      </c>
      <c r="D1470" s="5">
        <v>0.1</v>
      </c>
      <c r="E1470" s="5">
        <v>96.2</v>
      </c>
      <c r="F1470" s="5">
        <v>192</v>
      </c>
      <c r="G1470" s="5">
        <v>95.7</v>
      </c>
      <c r="H1470" s="5">
        <v>95.5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96.4</v>
      </c>
      <c r="D1471" s="5">
        <v>0.1</v>
      </c>
      <c r="E1471" s="5">
        <v>96.4</v>
      </c>
      <c r="F1471" s="5">
        <v>200.5</v>
      </c>
      <c r="G1471" s="5">
        <v>100</v>
      </c>
      <c r="H1471" s="5">
        <v>99.9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96.4</v>
      </c>
      <c r="D1472" s="5">
        <v>0.1</v>
      </c>
      <c r="E1472" s="5">
        <v>96.4</v>
      </c>
      <c r="F1472" s="5">
        <v>200.5</v>
      </c>
      <c r="G1472" s="5">
        <v>100</v>
      </c>
      <c r="H1472" s="5">
        <v>99.9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95.3</v>
      </c>
      <c r="D1473" s="5">
        <v>0.1</v>
      </c>
      <c r="E1473" s="5">
        <v>95.4</v>
      </c>
      <c r="F1473" s="5">
        <v>196.1</v>
      </c>
      <c r="G1473" s="5">
        <v>97.8</v>
      </c>
      <c r="H1473" s="5">
        <v>97.7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95.3</v>
      </c>
      <c r="D1474" s="5">
        <v>0.1</v>
      </c>
      <c r="E1474" s="5">
        <v>95.4</v>
      </c>
      <c r="F1474" s="5">
        <v>196.1</v>
      </c>
      <c r="G1474" s="5">
        <v>97.8</v>
      </c>
      <c r="H1474" s="5">
        <v>97.7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97.3</v>
      </c>
      <c r="D1475" s="5">
        <v>0.1</v>
      </c>
      <c r="E1475" s="5">
        <v>97.4</v>
      </c>
      <c r="F1475" s="5">
        <v>189</v>
      </c>
      <c r="G1475" s="5">
        <v>94.4</v>
      </c>
      <c r="H1475" s="5">
        <v>94.3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97.3</v>
      </c>
      <c r="D1476" s="5">
        <v>0.1</v>
      </c>
      <c r="E1476" s="5">
        <v>97.4</v>
      </c>
      <c r="F1476" s="5">
        <v>189</v>
      </c>
      <c r="G1476" s="5">
        <v>94.4</v>
      </c>
      <c r="H1476" s="5">
        <v>94.3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96.7</v>
      </c>
      <c r="D1477" s="5">
        <v>0.1</v>
      </c>
      <c r="E1477" s="5">
        <v>96.8</v>
      </c>
      <c r="F1477" s="5">
        <v>191.8</v>
      </c>
      <c r="G1477" s="5">
        <v>95.7</v>
      </c>
      <c r="H1477" s="5">
        <v>95.5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96.7</v>
      </c>
      <c r="D1478" s="5">
        <v>0.1</v>
      </c>
      <c r="E1478" s="5">
        <v>96.8</v>
      </c>
      <c r="F1478" s="5">
        <v>191.8</v>
      </c>
      <c r="G1478" s="5">
        <v>95.7</v>
      </c>
      <c r="H1478" s="5">
        <v>95.5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96.7</v>
      </c>
      <c r="D1479" s="5">
        <v>0.1</v>
      </c>
      <c r="E1479" s="5">
        <v>96.8</v>
      </c>
      <c r="F1479" s="5">
        <v>191.8</v>
      </c>
      <c r="G1479" s="5">
        <v>95.7</v>
      </c>
      <c r="H1479" s="5">
        <v>95.5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96.7</v>
      </c>
      <c r="D1480" s="5">
        <v>0.1</v>
      </c>
      <c r="E1480" s="5">
        <v>96.8</v>
      </c>
      <c r="F1480" s="5">
        <v>191.8</v>
      </c>
      <c r="G1480" s="5">
        <v>95.7</v>
      </c>
      <c r="H1480" s="5">
        <v>95.5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102.1</v>
      </c>
      <c r="D1481" s="5">
        <v>0.1</v>
      </c>
      <c r="E1481" s="5">
        <v>102.3</v>
      </c>
      <c r="F1481" s="5">
        <v>198</v>
      </c>
      <c r="G1481" s="5">
        <v>99</v>
      </c>
      <c r="H1481" s="5">
        <v>99.2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102.1</v>
      </c>
      <c r="D1482" s="5">
        <v>0.1</v>
      </c>
      <c r="E1482" s="5">
        <v>102.3</v>
      </c>
      <c r="F1482" s="5">
        <v>198</v>
      </c>
      <c r="G1482" s="5">
        <v>99</v>
      </c>
      <c r="H1482" s="5">
        <v>99.2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96.7</v>
      </c>
      <c r="D1483" s="5">
        <v>0.1</v>
      </c>
      <c r="E1483" s="5">
        <v>96.7</v>
      </c>
      <c r="F1483" s="5">
        <v>193.1</v>
      </c>
      <c r="G1483" s="5">
        <v>96.3</v>
      </c>
      <c r="H1483" s="5">
        <v>96.2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96.7</v>
      </c>
      <c r="D1484" s="5">
        <v>0.1</v>
      </c>
      <c r="E1484" s="5">
        <v>96.7</v>
      </c>
      <c r="F1484" s="5">
        <v>193.1</v>
      </c>
      <c r="G1484" s="5">
        <v>96.3</v>
      </c>
      <c r="H1484" s="5">
        <v>96.2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100.8</v>
      </c>
      <c r="D1485" s="5">
        <v>0.1</v>
      </c>
      <c r="E1485" s="5">
        <v>101</v>
      </c>
      <c r="F1485" s="5">
        <v>193.6</v>
      </c>
      <c r="G1485" s="5">
        <v>96.8</v>
      </c>
      <c r="H1485" s="5">
        <v>97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100.8</v>
      </c>
      <c r="D1486" s="5">
        <v>0.1</v>
      </c>
      <c r="E1486" s="5">
        <v>101</v>
      </c>
      <c r="F1486" s="5">
        <v>193.6</v>
      </c>
      <c r="G1486" s="5">
        <v>96.8</v>
      </c>
      <c r="H1486" s="5">
        <v>97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102.8</v>
      </c>
      <c r="D1487" s="5">
        <v>0.1</v>
      </c>
      <c r="E1487" s="5">
        <v>103</v>
      </c>
      <c r="F1487" s="5">
        <v>204.3</v>
      </c>
      <c r="G1487" s="5">
        <v>102</v>
      </c>
      <c r="H1487" s="5">
        <v>101.9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102.8</v>
      </c>
      <c r="D1488" s="5">
        <v>0.1</v>
      </c>
      <c r="E1488" s="5">
        <v>103</v>
      </c>
      <c r="F1488" s="5">
        <v>204.3</v>
      </c>
      <c r="G1488" s="5">
        <v>102</v>
      </c>
      <c r="H1488" s="5">
        <v>101.9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102.8</v>
      </c>
      <c r="D1489" s="5">
        <v>0.1</v>
      </c>
      <c r="E1489" s="5">
        <v>103</v>
      </c>
      <c r="F1489" s="5">
        <v>204.3</v>
      </c>
      <c r="G1489" s="5">
        <v>102</v>
      </c>
      <c r="H1489" s="5">
        <v>101.9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102.7</v>
      </c>
      <c r="D1490" s="5">
        <v>0.1</v>
      </c>
      <c r="E1490" s="5">
        <v>102.9</v>
      </c>
      <c r="F1490" s="5">
        <v>205.1</v>
      </c>
      <c r="G1490" s="5">
        <v>102</v>
      </c>
      <c r="H1490" s="5">
        <v>101.9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102.7</v>
      </c>
      <c r="D1491" s="5">
        <v>0.1</v>
      </c>
      <c r="E1491" s="5">
        <v>102.9</v>
      </c>
      <c r="F1491" s="5">
        <v>205.1</v>
      </c>
      <c r="G1491" s="5">
        <v>102.4</v>
      </c>
      <c r="H1491" s="5">
        <v>102.3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102.6</v>
      </c>
      <c r="D1492" s="5">
        <v>0.1</v>
      </c>
      <c r="E1492" s="5">
        <v>102.9</v>
      </c>
      <c r="F1492" s="5">
        <v>205.1</v>
      </c>
      <c r="G1492" s="5">
        <v>102.4</v>
      </c>
      <c r="H1492" s="5">
        <v>102.3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102.6</v>
      </c>
      <c r="D1493" s="5">
        <v>0.1</v>
      </c>
      <c r="E1493" s="5">
        <v>102.7</v>
      </c>
      <c r="F1493" s="5">
        <v>204</v>
      </c>
      <c r="G1493" s="5">
        <v>101.8</v>
      </c>
      <c r="H1493" s="5">
        <v>101.7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102.6</v>
      </c>
      <c r="D1494" s="5">
        <v>0.1</v>
      </c>
      <c r="E1494" s="5">
        <v>102.7</v>
      </c>
      <c r="F1494" s="5">
        <v>204</v>
      </c>
      <c r="G1494" s="5">
        <v>101.8</v>
      </c>
      <c r="H1494" s="5">
        <v>101.7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98</v>
      </c>
      <c r="D1495" s="5">
        <v>0.1</v>
      </c>
      <c r="E1495" s="5">
        <v>98.1</v>
      </c>
      <c r="F1495" s="5">
        <v>197.4</v>
      </c>
      <c r="G1495" s="5">
        <v>98.3</v>
      </c>
      <c r="H1495" s="5">
        <v>98.1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98</v>
      </c>
      <c r="D1496" s="5">
        <v>0.1</v>
      </c>
      <c r="E1496" s="5">
        <v>98.1</v>
      </c>
      <c r="F1496" s="5">
        <v>197.4</v>
      </c>
      <c r="G1496" s="5">
        <v>98.3</v>
      </c>
      <c r="H1496" s="5">
        <v>98.1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97.4</v>
      </c>
      <c r="D1497" s="5">
        <v>0.1</v>
      </c>
      <c r="E1497" s="5">
        <v>97.5</v>
      </c>
      <c r="F1497" s="5">
        <v>194.7</v>
      </c>
      <c r="G1497" s="5">
        <v>97.2</v>
      </c>
      <c r="H1497" s="5">
        <v>97.1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97.4</v>
      </c>
      <c r="D1498" s="5">
        <v>0.1</v>
      </c>
      <c r="E1498" s="5">
        <v>97.5</v>
      </c>
      <c r="F1498" s="5">
        <v>194.7</v>
      </c>
      <c r="G1498" s="5">
        <v>97.2</v>
      </c>
      <c r="H1498" s="5">
        <v>97.1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97.4</v>
      </c>
      <c r="D1499" s="5">
        <v>0.1</v>
      </c>
      <c r="E1499" s="5">
        <v>97.5</v>
      </c>
      <c r="F1499" s="5">
        <v>194.7</v>
      </c>
      <c r="G1499" s="5">
        <v>97.2</v>
      </c>
      <c r="H1499" s="5">
        <v>97.1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97.4</v>
      </c>
      <c r="D1500" s="5">
        <v>0.1</v>
      </c>
      <c r="E1500" s="5">
        <v>97.5</v>
      </c>
      <c r="F1500" s="5">
        <v>194.7</v>
      </c>
      <c r="G1500" s="5">
        <v>97.2</v>
      </c>
      <c r="H1500" s="5">
        <v>97.1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97.3</v>
      </c>
      <c r="D1501" s="5">
        <v>0.1</v>
      </c>
      <c r="E1501" s="5">
        <v>97.3</v>
      </c>
      <c r="F1501" s="5">
        <v>197.4</v>
      </c>
      <c r="G1501" s="5">
        <v>98.4</v>
      </c>
      <c r="H1501" s="5">
        <v>98.2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97.3</v>
      </c>
      <c r="D1502" s="5">
        <v>0.1</v>
      </c>
      <c r="E1502" s="5">
        <v>97.3</v>
      </c>
      <c r="F1502" s="5">
        <v>197.4</v>
      </c>
      <c r="G1502" s="5">
        <v>98.4</v>
      </c>
      <c r="H1502" s="5">
        <v>98.2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102.6</v>
      </c>
      <c r="D1503" s="5">
        <v>0.1</v>
      </c>
      <c r="E1503" s="5">
        <v>102.7</v>
      </c>
      <c r="F1503" s="5">
        <v>204.1</v>
      </c>
      <c r="G1503" s="5">
        <v>101.9</v>
      </c>
      <c r="H1503" s="5">
        <v>101.8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102.6</v>
      </c>
      <c r="D1504" s="5">
        <v>0.1</v>
      </c>
      <c r="E1504" s="5">
        <v>102.7</v>
      </c>
      <c r="F1504" s="5">
        <v>204.1</v>
      </c>
      <c r="G1504" s="5">
        <v>101.9</v>
      </c>
      <c r="H1504" s="5">
        <v>101.8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97.3</v>
      </c>
      <c r="D1505" s="5">
        <v>0.1</v>
      </c>
      <c r="E1505" s="5">
        <v>97.3</v>
      </c>
      <c r="F1505" s="5">
        <v>194</v>
      </c>
      <c r="G1505" s="5">
        <v>96.8</v>
      </c>
      <c r="H1505" s="5">
        <v>96.7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97.3</v>
      </c>
      <c r="D1506" s="5">
        <v>0.1</v>
      </c>
      <c r="E1506" s="5">
        <v>97.3</v>
      </c>
      <c r="F1506" s="5">
        <v>194</v>
      </c>
      <c r="G1506" s="5">
        <v>96.8</v>
      </c>
      <c r="H1506" s="5">
        <v>96.7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102.9</v>
      </c>
      <c r="D1507" s="5">
        <v>0.1</v>
      </c>
      <c r="E1507" s="5">
        <v>103.1</v>
      </c>
      <c r="F1507" s="5">
        <v>204.9</v>
      </c>
      <c r="G1507" s="5">
        <v>102.3</v>
      </c>
      <c r="H1507" s="5">
        <v>102.2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102.9</v>
      </c>
      <c r="D1508" s="5">
        <v>0.1</v>
      </c>
      <c r="E1508" s="5">
        <v>103.1</v>
      </c>
      <c r="F1508" s="5">
        <v>204.9</v>
      </c>
      <c r="G1508" s="5">
        <v>102.3</v>
      </c>
      <c r="H1508" s="5">
        <v>102.2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102.9</v>
      </c>
      <c r="D1509" s="5">
        <v>0.1</v>
      </c>
      <c r="E1509" s="5">
        <v>103.1</v>
      </c>
      <c r="F1509" s="5">
        <v>204.9</v>
      </c>
      <c r="G1509" s="5">
        <v>102.3</v>
      </c>
      <c r="H1509" s="5">
        <v>102.2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102.9</v>
      </c>
      <c r="D1510" s="5">
        <v>0.1</v>
      </c>
      <c r="E1510" s="5">
        <v>103.1</v>
      </c>
      <c r="F1510" s="5">
        <v>204.9</v>
      </c>
      <c r="G1510" s="5">
        <v>102.3</v>
      </c>
      <c r="H1510" s="5">
        <v>102.2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96.9</v>
      </c>
      <c r="D1511" s="5">
        <v>0.1</v>
      </c>
      <c r="E1511" s="5">
        <v>97</v>
      </c>
      <c r="F1511" s="5">
        <v>194.6</v>
      </c>
      <c r="G1511" s="5">
        <v>97.1</v>
      </c>
      <c r="H1511" s="5">
        <v>96.9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96.9</v>
      </c>
      <c r="D1512" s="5">
        <v>0.1</v>
      </c>
      <c r="E1512" s="5">
        <v>97</v>
      </c>
      <c r="F1512" s="5">
        <v>194.6</v>
      </c>
      <c r="G1512" s="5">
        <v>97.1</v>
      </c>
      <c r="H1512" s="5">
        <v>96.9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97.3</v>
      </c>
      <c r="D1513" s="5">
        <v>0.1</v>
      </c>
      <c r="E1513" s="5">
        <v>97.4</v>
      </c>
      <c r="F1513" s="5">
        <v>194.2</v>
      </c>
      <c r="G1513" s="5">
        <v>96.9</v>
      </c>
      <c r="H1513" s="5">
        <v>96.7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97.3</v>
      </c>
      <c r="D1514" s="5">
        <v>0.1</v>
      </c>
      <c r="E1514" s="5">
        <v>97.4</v>
      </c>
      <c r="F1514" s="5">
        <v>194.2</v>
      </c>
      <c r="G1514" s="5">
        <v>96.9</v>
      </c>
      <c r="H1514" s="5">
        <v>96.7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97</v>
      </c>
      <c r="D1515" s="5">
        <v>0.1</v>
      </c>
      <c r="E1515" s="5">
        <v>97.1</v>
      </c>
      <c r="F1515" s="5">
        <v>193.5</v>
      </c>
      <c r="G1515" s="5">
        <v>96.5</v>
      </c>
      <c r="H1515" s="5">
        <v>96.3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97</v>
      </c>
      <c r="D1516" s="5">
        <v>0.1</v>
      </c>
      <c r="E1516" s="5">
        <v>97.1</v>
      </c>
      <c r="F1516" s="5">
        <v>193.5</v>
      </c>
      <c r="G1516" s="5">
        <v>96.5</v>
      </c>
      <c r="H1516" s="5">
        <v>96.3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98.5</v>
      </c>
      <c r="D1517" s="5">
        <v>0.1</v>
      </c>
      <c r="E1517" s="5">
        <v>98.6</v>
      </c>
      <c r="F1517" s="5">
        <v>195.4</v>
      </c>
      <c r="G1517" s="5">
        <v>97.5</v>
      </c>
      <c r="H1517" s="5">
        <v>97.3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98.5</v>
      </c>
      <c r="D1518" s="5">
        <v>0.1</v>
      </c>
      <c r="E1518" s="5">
        <v>98.6</v>
      </c>
      <c r="F1518" s="5">
        <v>195.4</v>
      </c>
      <c r="G1518" s="5">
        <v>97.5</v>
      </c>
      <c r="H1518" s="5">
        <v>97.3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98.5</v>
      </c>
      <c r="D1519" s="5">
        <v>0.1</v>
      </c>
      <c r="E1519" s="5">
        <v>98.6</v>
      </c>
      <c r="F1519" s="5">
        <v>195.4</v>
      </c>
      <c r="G1519" s="5">
        <v>97.5</v>
      </c>
      <c r="H1519" s="5">
        <v>97.3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97.9</v>
      </c>
      <c r="D1520" s="5">
        <v>0.1</v>
      </c>
      <c r="E1520" s="5">
        <v>98</v>
      </c>
      <c r="F1520" s="5">
        <v>195.6</v>
      </c>
      <c r="G1520" s="5">
        <v>97.6</v>
      </c>
      <c r="H1520" s="5">
        <v>97.4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97.9</v>
      </c>
      <c r="D1521" s="5">
        <v>0.1</v>
      </c>
      <c r="E1521" s="5">
        <v>98</v>
      </c>
      <c r="F1521" s="5">
        <v>195.6</v>
      </c>
      <c r="G1521" s="5">
        <v>97.6</v>
      </c>
      <c r="H1521" s="5">
        <v>97.4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98.5</v>
      </c>
      <c r="D1522" s="5">
        <v>0.1</v>
      </c>
      <c r="E1522" s="5">
        <v>98.6</v>
      </c>
      <c r="F1522" s="5">
        <v>194.2</v>
      </c>
      <c r="G1522" s="5">
        <v>97</v>
      </c>
      <c r="H1522" s="5">
        <v>96.9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98.5</v>
      </c>
      <c r="D1523" s="5">
        <v>0.1</v>
      </c>
      <c r="E1523" s="5">
        <v>98.6</v>
      </c>
      <c r="F1523" s="5">
        <v>194.2</v>
      </c>
      <c r="G1523" s="5">
        <v>97</v>
      </c>
      <c r="H1523" s="5">
        <v>96.9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97.8</v>
      </c>
      <c r="D1524" s="5">
        <v>0.1</v>
      </c>
      <c r="E1524" s="5">
        <v>98</v>
      </c>
      <c r="F1524" s="5">
        <v>195.5</v>
      </c>
      <c r="G1524" s="5">
        <v>97.6</v>
      </c>
      <c r="H1524" s="5">
        <v>97.4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97.8</v>
      </c>
      <c r="D1525" s="5">
        <v>0.1</v>
      </c>
      <c r="E1525" s="5">
        <v>98</v>
      </c>
      <c r="F1525" s="5">
        <v>195.5</v>
      </c>
      <c r="G1525" s="5">
        <v>97.6</v>
      </c>
      <c r="H1525" s="5">
        <v>97.4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103</v>
      </c>
      <c r="D1526" s="5">
        <v>0.1</v>
      </c>
      <c r="E1526" s="5">
        <v>103.1</v>
      </c>
      <c r="F1526" s="5">
        <v>205.5</v>
      </c>
      <c r="G1526" s="5">
        <v>102.6</v>
      </c>
      <c r="H1526" s="5">
        <v>102.4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103</v>
      </c>
      <c r="D1527" s="5">
        <v>0.1</v>
      </c>
      <c r="E1527" s="5">
        <v>103.1</v>
      </c>
      <c r="F1527" s="5">
        <v>205.5</v>
      </c>
      <c r="G1527" s="5">
        <v>102.6</v>
      </c>
      <c r="H1527" s="5">
        <v>102.4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103</v>
      </c>
      <c r="D1528" s="5">
        <v>0.1</v>
      </c>
      <c r="E1528" s="5">
        <v>103.1</v>
      </c>
      <c r="F1528" s="5">
        <v>205.5</v>
      </c>
      <c r="G1528" s="5">
        <v>102.6</v>
      </c>
      <c r="H1528" s="5">
        <v>102.4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103</v>
      </c>
      <c r="D1529" s="5">
        <v>0.1</v>
      </c>
      <c r="E1529" s="5">
        <v>103.1</v>
      </c>
      <c r="F1529" s="5">
        <v>205.5</v>
      </c>
      <c r="G1529" s="5">
        <v>102.6</v>
      </c>
      <c r="H1529" s="5">
        <v>102.4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104</v>
      </c>
      <c r="D1530" s="5">
        <v>0.1</v>
      </c>
      <c r="E1530" s="5">
        <v>104.1</v>
      </c>
      <c r="F1530" s="5">
        <v>206.1</v>
      </c>
      <c r="G1530" s="5">
        <v>102.9</v>
      </c>
      <c r="H1530" s="5">
        <v>102.8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104</v>
      </c>
      <c r="D1531" s="5">
        <v>0.1</v>
      </c>
      <c r="E1531" s="5">
        <v>104.1</v>
      </c>
      <c r="F1531" s="5">
        <v>206.1</v>
      </c>
      <c r="G1531" s="5">
        <v>102.9</v>
      </c>
      <c r="H1531" s="5">
        <v>102.8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98.3</v>
      </c>
      <c r="D1532" s="5">
        <v>0.1</v>
      </c>
      <c r="E1532" s="5">
        <v>98.3</v>
      </c>
      <c r="F1532" s="5">
        <v>194.2</v>
      </c>
      <c r="G1532" s="5">
        <v>96.9</v>
      </c>
      <c r="H1532" s="5">
        <v>96.8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98.3</v>
      </c>
      <c r="D1533" s="5">
        <v>0.1</v>
      </c>
      <c r="E1533" s="5">
        <v>98.3</v>
      </c>
      <c r="F1533" s="5">
        <v>194.2</v>
      </c>
      <c r="G1533" s="5">
        <v>96.9</v>
      </c>
      <c r="H1533" s="5">
        <v>96.8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98.5</v>
      </c>
      <c r="D1534" s="5">
        <v>0.1</v>
      </c>
      <c r="E1534" s="5">
        <v>98.6</v>
      </c>
      <c r="F1534" s="5">
        <v>196.1</v>
      </c>
      <c r="G1534" s="5">
        <v>97.9</v>
      </c>
      <c r="H1534" s="5">
        <v>96.8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98.5</v>
      </c>
      <c r="D1535" s="5">
        <v>0.1</v>
      </c>
      <c r="E1535" s="5">
        <v>98.6</v>
      </c>
      <c r="F1535" s="5">
        <v>196.1</v>
      </c>
      <c r="G1535" s="5">
        <v>97.9</v>
      </c>
      <c r="H1535" s="5">
        <v>97.8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98</v>
      </c>
      <c r="D1536" s="5">
        <v>0.1</v>
      </c>
      <c r="E1536" s="5">
        <v>98.6</v>
      </c>
      <c r="F1536" s="5">
        <v>196.1</v>
      </c>
      <c r="G1536" s="5">
        <v>97.9</v>
      </c>
      <c r="H1536" s="5">
        <v>97.8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98</v>
      </c>
      <c r="D1537" s="5">
        <v>0.1</v>
      </c>
      <c r="E1537" s="5">
        <v>98.2</v>
      </c>
      <c r="F1537" s="5">
        <v>195.8</v>
      </c>
      <c r="G1537" s="5">
        <v>97.7</v>
      </c>
      <c r="H1537" s="5">
        <v>97.5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98</v>
      </c>
      <c r="D1538" s="5">
        <v>0.1</v>
      </c>
      <c r="E1538" s="5">
        <v>98.2</v>
      </c>
      <c r="F1538" s="5">
        <v>195.8</v>
      </c>
      <c r="G1538" s="5">
        <v>97.7</v>
      </c>
      <c r="H1538" s="5">
        <v>97.5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98</v>
      </c>
      <c r="D1539" s="5">
        <v>0.1</v>
      </c>
      <c r="E1539" s="5">
        <v>98.2</v>
      </c>
      <c r="F1539" s="5">
        <v>195.8</v>
      </c>
      <c r="G1539" s="5">
        <v>97.7</v>
      </c>
      <c r="H1539" s="5">
        <v>97.5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102.7</v>
      </c>
      <c r="D1540" s="5">
        <v>0.1</v>
      </c>
      <c r="E1540" s="5">
        <v>102.8</v>
      </c>
      <c r="F1540" s="5">
        <v>205.8</v>
      </c>
      <c r="G1540" s="5">
        <v>102.7</v>
      </c>
      <c r="H1540" s="5">
        <v>102.5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102.7</v>
      </c>
      <c r="D1541" s="5">
        <v>0.1</v>
      </c>
      <c r="E1541" s="5">
        <v>102.8</v>
      </c>
      <c r="F1541" s="5">
        <v>205.8</v>
      </c>
      <c r="G1541" s="5">
        <v>102.7</v>
      </c>
      <c r="H1541" s="5">
        <v>102.5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96.8</v>
      </c>
      <c r="D1542" s="5">
        <v>0.1</v>
      </c>
      <c r="E1542" s="5">
        <v>96.9</v>
      </c>
      <c r="F1542" s="5">
        <v>195.5</v>
      </c>
      <c r="G1542" s="5">
        <v>97.5</v>
      </c>
      <c r="H1542" s="5">
        <v>97.2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96.8</v>
      </c>
      <c r="D1543" s="5">
        <v>0.1</v>
      </c>
      <c r="E1543" s="5">
        <v>96.9</v>
      </c>
      <c r="F1543" s="5">
        <v>195.5</v>
      </c>
      <c r="G1543" s="5">
        <v>97.5</v>
      </c>
      <c r="H1543" s="5">
        <v>97.2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96.8</v>
      </c>
      <c r="D1544" s="5">
        <v>0.1</v>
      </c>
      <c r="E1544" s="5">
        <v>98.5</v>
      </c>
      <c r="F1544" s="5">
        <v>195.8</v>
      </c>
      <c r="G1544" s="5">
        <v>97.7</v>
      </c>
      <c r="H1544" s="5">
        <v>97.5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98.3</v>
      </c>
      <c r="D1545" s="5">
        <v>0.1</v>
      </c>
      <c r="E1545" s="5">
        <v>98.5</v>
      </c>
      <c r="F1545" s="5">
        <v>195.8</v>
      </c>
      <c r="G1545" s="5">
        <v>97.7</v>
      </c>
      <c r="H1545" s="5">
        <v>97.5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98.3</v>
      </c>
      <c r="D1546" s="5">
        <v>0.1</v>
      </c>
      <c r="E1546" s="5">
        <v>98.5</v>
      </c>
      <c r="F1546" s="5">
        <v>195.9</v>
      </c>
      <c r="G1546" s="5">
        <v>97.6</v>
      </c>
      <c r="H1546" s="5">
        <v>97.4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97</v>
      </c>
      <c r="D1547" s="5">
        <v>0.1</v>
      </c>
      <c r="E1547" s="5">
        <v>97.2</v>
      </c>
      <c r="F1547" s="5">
        <v>195.9</v>
      </c>
      <c r="G1547" s="5">
        <v>97.6</v>
      </c>
      <c r="H1547" s="5">
        <v>97.4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97</v>
      </c>
      <c r="D1548" s="5">
        <v>0.1</v>
      </c>
      <c r="E1548" s="5">
        <v>97.2</v>
      </c>
      <c r="F1548" s="5">
        <v>195.9</v>
      </c>
      <c r="G1548" s="5">
        <v>97.6</v>
      </c>
      <c r="H1548" s="5">
        <v>97.4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97</v>
      </c>
      <c r="D1549" s="5">
        <v>0.1</v>
      </c>
      <c r="E1549" s="5">
        <v>97.2</v>
      </c>
      <c r="F1549" s="5">
        <v>195.9</v>
      </c>
      <c r="G1549" s="5">
        <v>97.6</v>
      </c>
      <c r="H1549" s="5">
        <v>97.4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101.4</v>
      </c>
      <c r="D1550" s="5">
        <v>0.1</v>
      </c>
      <c r="E1550" s="5">
        <v>101.5</v>
      </c>
      <c r="F1550" s="5">
        <v>195.8</v>
      </c>
      <c r="G1550" s="5">
        <v>97.6</v>
      </c>
      <c r="H1550" s="5">
        <v>97.3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101.4</v>
      </c>
      <c r="D1551" s="5">
        <v>0.1</v>
      </c>
      <c r="E1551" s="5">
        <v>101.5</v>
      </c>
      <c r="F1551" s="5">
        <v>195.8</v>
      </c>
      <c r="G1551" s="5">
        <v>97.6</v>
      </c>
      <c r="H1551" s="5">
        <v>97.3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98.3</v>
      </c>
      <c r="D1552" s="5">
        <v>0.1</v>
      </c>
      <c r="E1552" s="5">
        <v>98.5</v>
      </c>
      <c r="F1552" s="5">
        <v>193.5</v>
      </c>
      <c r="G1552" s="5">
        <v>96.5</v>
      </c>
      <c r="H1552" s="5">
        <v>96.4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98.3</v>
      </c>
      <c r="D1553" s="5">
        <v>0.1</v>
      </c>
      <c r="E1553" s="5">
        <v>98.5</v>
      </c>
      <c r="F1553" s="5">
        <v>193.5</v>
      </c>
      <c r="G1553" s="5">
        <v>96.5</v>
      </c>
      <c r="H1553" s="5">
        <v>96.4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98</v>
      </c>
      <c r="D1554" s="5">
        <v>0.1</v>
      </c>
      <c r="E1554" s="5">
        <v>98</v>
      </c>
      <c r="F1554" s="5">
        <v>196</v>
      </c>
      <c r="G1554" s="5">
        <v>97.5</v>
      </c>
      <c r="H1554" s="5">
        <v>97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98</v>
      </c>
      <c r="D1555" s="5">
        <v>0.1</v>
      </c>
      <c r="E1555" s="5">
        <v>98</v>
      </c>
      <c r="F1555" s="5">
        <v>196</v>
      </c>
      <c r="G1555" s="5">
        <v>97.5</v>
      </c>
      <c r="H1555" s="5">
        <v>97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96.7</v>
      </c>
      <c r="D1556" s="5">
        <v>0.1</v>
      </c>
      <c r="E1556" s="5">
        <v>96.8</v>
      </c>
      <c r="F1556" s="5">
        <v>193.3</v>
      </c>
      <c r="G1556" s="5">
        <v>96.4</v>
      </c>
      <c r="H1556" s="5">
        <v>96.3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96.7</v>
      </c>
      <c r="D1557" s="5">
        <v>0.1</v>
      </c>
      <c r="E1557" s="5">
        <v>96.8</v>
      </c>
      <c r="F1557" s="5">
        <v>193.3</v>
      </c>
      <c r="G1557" s="5">
        <v>96.4</v>
      </c>
      <c r="H1557" s="5">
        <v>96.3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96.7</v>
      </c>
      <c r="D1558" s="5">
        <v>0.1</v>
      </c>
      <c r="E1558" s="5">
        <v>96.8</v>
      </c>
      <c r="F1558" s="5">
        <v>193.3</v>
      </c>
      <c r="G1558" s="5">
        <v>96.4</v>
      </c>
      <c r="H1558" s="5">
        <v>96.3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96.7</v>
      </c>
      <c r="D1559" s="5">
        <v>0.1</v>
      </c>
      <c r="E1559" s="5">
        <v>96.8</v>
      </c>
      <c r="F1559" s="5">
        <v>193.3</v>
      </c>
      <c r="G1559" s="5">
        <v>96.4</v>
      </c>
      <c r="H1559" s="5">
        <v>96.3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96.7</v>
      </c>
      <c r="D1560" s="5">
        <v>0.1</v>
      </c>
      <c r="E1560" s="5">
        <v>96.9</v>
      </c>
      <c r="F1560" s="5">
        <v>192.6</v>
      </c>
      <c r="G1560" s="5">
        <v>96.1</v>
      </c>
      <c r="H1560" s="5">
        <v>96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96.7</v>
      </c>
      <c r="D1561" s="5">
        <v>0.1</v>
      </c>
      <c r="E1561" s="5">
        <v>96.9</v>
      </c>
      <c r="F1561" s="5">
        <v>192.6</v>
      </c>
      <c r="G1561" s="5">
        <v>96.1</v>
      </c>
      <c r="H1561" s="5">
        <v>96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97</v>
      </c>
      <c r="D1562" s="5">
        <v>0.1</v>
      </c>
      <c r="E1562" s="5">
        <v>97.1</v>
      </c>
      <c r="F1562" s="5">
        <v>194</v>
      </c>
      <c r="G1562" s="5">
        <v>96.8</v>
      </c>
      <c r="H1562" s="5">
        <v>96.6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97</v>
      </c>
      <c r="D1563" s="5">
        <v>0.1</v>
      </c>
      <c r="E1563" s="5">
        <v>97.1</v>
      </c>
      <c r="F1563" s="5">
        <v>194</v>
      </c>
      <c r="G1563" s="5">
        <v>96.8</v>
      </c>
      <c r="H1563" s="5">
        <v>96.6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95.4</v>
      </c>
      <c r="D1564" s="5">
        <v>0.1</v>
      </c>
      <c r="E1564" s="5">
        <v>95.6</v>
      </c>
      <c r="F1564" s="5">
        <v>192.1</v>
      </c>
      <c r="G1564" s="5">
        <v>95.8</v>
      </c>
      <c r="H1564" s="5">
        <v>95.6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95.4</v>
      </c>
      <c r="D1565" s="5">
        <v>0.1</v>
      </c>
      <c r="E1565" s="5">
        <v>95.6</v>
      </c>
      <c r="F1565" s="5">
        <v>192.1</v>
      </c>
      <c r="G1565" s="5">
        <v>95.8</v>
      </c>
      <c r="H1565" s="5">
        <v>95.6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96.3</v>
      </c>
      <c r="D1566" s="5">
        <v>0.1</v>
      </c>
      <c r="E1566" s="5">
        <v>96.4</v>
      </c>
      <c r="F1566" s="5">
        <v>199.4</v>
      </c>
      <c r="G1566" s="5">
        <v>99.1</v>
      </c>
      <c r="H1566" s="5">
        <v>98.7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96.3</v>
      </c>
      <c r="D1567" s="5">
        <v>0.1</v>
      </c>
      <c r="E1567" s="5">
        <v>96.4</v>
      </c>
      <c r="F1567" s="5">
        <v>199.4</v>
      </c>
      <c r="G1567" s="5">
        <v>99.1</v>
      </c>
      <c r="H1567" s="5">
        <v>98.7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96.3</v>
      </c>
      <c r="D1568" s="5">
        <v>0.1</v>
      </c>
      <c r="E1568" s="5">
        <v>96.4</v>
      </c>
      <c r="F1568" s="5">
        <v>199.4</v>
      </c>
      <c r="G1568" s="5">
        <v>99.1</v>
      </c>
      <c r="H1568" s="5">
        <v>98.7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96.3</v>
      </c>
      <c r="D1569" s="5">
        <v>0.1</v>
      </c>
      <c r="E1569" s="5">
        <v>96.4</v>
      </c>
      <c r="F1569" s="5">
        <v>199.4</v>
      </c>
      <c r="G1569" s="5">
        <v>99.1</v>
      </c>
      <c r="H1569" s="5">
        <v>98.7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103.7</v>
      </c>
      <c r="D1570" s="5">
        <v>0.1</v>
      </c>
      <c r="E1570" s="5">
        <v>103.9</v>
      </c>
      <c r="F1570" s="5">
        <v>201.7</v>
      </c>
      <c r="G1570" s="5">
        <v>100.4</v>
      </c>
      <c r="H1570" s="5">
        <v>100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103.7</v>
      </c>
      <c r="D1571" s="5">
        <v>0.1</v>
      </c>
      <c r="E1571" s="5">
        <v>103.9</v>
      </c>
      <c r="F1571" s="5">
        <v>201.7</v>
      </c>
      <c r="G1571" s="5">
        <v>100.4</v>
      </c>
      <c r="H1571" s="5">
        <v>100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101.5</v>
      </c>
      <c r="D1572" s="5">
        <v>0.1</v>
      </c>
      <c r="E1572" s="5">
        <v>101.6</v>
      </c>
      <c r="F1572" s="5">
        <v>202.9</v>
      </c>
      <c r="G1572" s="5">
        <v>101.2</v>
      </c>
      <c r="H1572" s="5">
        <v>101.1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101.5</v>
      </c>
      <c r="D1573" s="5">
        <v>0.1</v>
      </c>
      <c r="E1573" s="5">
        <v>101.6</v>
      </c>
      <c r="F1573" s="5">
        <v>202.9</v>
      </c>
      <c r="G1573" s="5">
        <v>101.2</v>
      </c>
      <c r="H1573" s="5">
        <v>101.1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101.1</v>
      </c>
      <c r="D1574" s="5">
        <v>0.1</v>
      </c>
      <c r="E1574" s="5">
        <v>101.2</v>
      </c>
      <c r="F1574" s="5">
        <v>202.8</v>
      </c>
      <c r="G1574" s="5">
        <v>101.2</v>
      </c>
      <c r="H1574" s="5">
        <v>101.1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101.1</v>
      </c>
      <c r="D1575" s="5">
        <v>0.1</v>
      </c>
      <c r="E1575" s="5">
        <v>101.2</v>
      </c>
      <c r="F1575" s="5">
        <v>202.8</v>
      </c>
      <c r="G1575" s="5">
        <v>101.2</v>
      </c>
      <c r="H1575" s="5">
        <v>101.1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100.7</v>
      </c>
      <c r="D1576" s="5">
        <v>0.1</v>
      </c>
      <c r="E1576" s="5">
        <v>100.8</v>
      </c>
      <c r="F1576" s="5">
        <v>202.1</v>
      </c>
      <c r="G1576" s="5">
        <v>100.8</v>
      </c>
      <c r="H1576" s="5">
        <v>100.7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100.7</v>
      </c>
      <c r="D1577" s="5">
        <v>0.1</v>
      </c>
      <c r="E1577" s="5">
        <v>100.8</v>
      </c>
      <c r="F1577" s="5">
        <v>202.1</v>
      </c>
      <c r="G1577" s="5">
        <v>100.8</v>
      </c>
      <c r="H1577" s="5">
        <v>100.7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100.7</v>
      </c>
      <c r="D1578" s="5">
        <v>0.1</v>
      </c>
      <c r="E1578" s="5">
        <v>100.8</v>
      </c>
      <c r="F1578" s="5">
        <v>202.1</v>
      </c>
      <c r="G1578" s="5">
        <v>100.8</v>
      </c>
      <c r="H1578" s="5">
        <v>100.7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100.7</v>
      </c>
      <c r="D1579" s="5">
        <v>0.1</v>
      </c>
      <c r="E1579" s="5">
        <v>100.8</v>
      </c>
      <c r="F1579" s="5">
        <v>202.1</v>
      </c>
      <c r="G1579" s="5">
        <v>100.8</v>
      </c>
      <c r="H1579" s="5">
        <v>100.7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96.7</v>
      </c>
      <c r="D1580" s="5">
        <v>0.1</v>
      </c>
      <c r="E1580" s="5">
        <v>96.9</v>
      </c>
      <c r="F1580" s="5">
        <v>193.5</v>
      </c>
      <c r="G1580" s="5">
        <v>96.5</v>
      </c>
      <c r="H1580" s="5">
        <v>96.3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96.7</v>
      </c>
      <c r="D1581" s="5">
        <v>0.1</v>
      </c>
      <c r="E1581" s="5">
        <v>96.9</v>
      </c>
      <c r="F1581" s="5">
        <v>193.5</v>
      </c>
      <c r="G1581" s="5">
        <v>96.5</v>
      </c>
      <c r="H1581" s="5">
        <v>96.3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96</v>
      </c>
      <c r="D1582" s="5">
        <v>0.1</v>
      </c>
      <c r="E1582" s="5">
        <v>96</v>
      </c>
      <c r="F1582" s="5">
        <v>192.5</v>
      </c>
      <c r="G1582" s="5">
        <v>96</v>
      </c>
      <c r="H1582" s="5">
        <v>95.8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96</v>
      </c>
      <c r="D1583" s="5">
        <v>0.1</v>
      </c>
      <c r="E1583" s="5">
        <v>96</v>
      </c>
      <c r="F1583" s="5">
        <v>192.5</v>
      </c>
      <c r="G1583" s="5">
        <v>96</v>
      </c>
      <c r="H1583" s="5">
        <v>95.8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97.3</v>
      </c>
      <c r="D1584" s="5">
        <v>0.1</v>
      </c>
      <c r="E1584" s="5">
        <v>97.4</v>
      </c>
      <c r="F1584" s="5">
        <v>194.1</v>
      </c>
      <c r="G1584" s="5">
        <v>96.8</v>
      </c>
      <c r="H1584" s="5">
        <v>96.7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97.3</v>
      </c>
      <c r="D1585" s="5">
        <v>0.1</v>
      </c>
      <c r="E1585" s="5">
        <v>97.4</v>
      </c>
      <c r="F1585" s="5">
        <v>194.1</v>
      </c>
      <c r="G1585" s="5">
        <v>96.8</v>
      </c>
      <c r="H1585" s="5">
        <v>96.7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100.7</v>
      </c>
      <c r="D1586" s="5">
        <v>0.1</v>
      </c>
      <c r="E1586" s="5">
        <v>100.8</v>
      </c>
      <c r="F1586" s="5">
        <v>201.2</v>
      </c>
      <c r="G1586" s="5">
        <v>100.4</v>
      </c>
      <c r="H1586" s="5">
        <v>100.2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100.7</v>
      </c>
      <c r="D1587" s="5">
        <v>0.1</v>
      </c>
      <c r="E1587" s="5">
        <v>100.8</v>
      </c>
      <c r="F1587" s="5">
        <v>201.2</v>
      </c>
      <c r="G1587" s="5">
        <v>100.4</v>
      </c>
      <c r="H1587" s="5">
        <v>100.2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100.7</v>
      </c>
      <c r="D1588" s="5">
        <v>0.1</v>
      </c>
      <c r="E1588" s="5">
        <v>100.8</v>
      </c>
      <c r="F1588" s="5">
        <v>201.2</v>
      </c>
      <c r="G1588" s="5">
        <v>100.4</v>
      </c>
      <c r="H1588" s="5">
        <v>100.2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100.7</v>
      </c>
      <c r="D1589" s="5">
        <v>0.1</v>
      </c>
      <c r="E1589" s="5">
        <v>100.8</v>
      </c>
      <c r="F1589" s="5">
        <v>201.2</v>
      </c>
      <c r="G1589" s="5">
        <v>100.4</v>
      </c>
      <c r="H1589" s="5">
        <v>100.2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100.9</v>
      </c>
      <c r="D1590" s="5">
        <v>0.1</v>
      </c>
      <c r="E1590" s="5">
        <v>101.1</v>
      </c>
      <c r="F1590" s="5">
        <v>201.7</v>
      </c>
      <c r="G1590" s="5">
        <v>100.6</v>
      </c>
      <c r="H1590" s="5">
        <v>100.5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100.9</v>
      </c>
      <c r="D1591" s="5">
        <v>0.1</v>
      </c>
      <c r="E1591" s="5">
        <v>101.1</v>
      </c>
      <c r="F1591" s="5">
        <v>201.7</v>
      </c>
      <c r="G1591" s="5">
        <v>100.6</v>
      </c>
      <c r="H1591" s="5">
        <v>100.5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102.8</v>
      </c>
      <c r="D1592" s="5">
        <v>0.1</v>
      </c>
      <c r="E1592" s="5">
        <v>102.9</v>
      </c>
      <c r="F1592" s="5">
        <v>205.6</v>
      </c>
      <c r="G1592" s="5">
        <v>102.6</v>
      </c>
      <c r="H1592" s="5">
        <v>102.4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102.8</v>
      </c>
      <c r="D1593" s="5">
        <v>0.1</v>
      </c>
      <c r="E1593" s="5">
        <v>102.9</v>
      </c>
      <c r="F1593" s="5">
        <v>205.6</v>
      </c>
      <c r="G1593" s="5">
        <v>102.6</v>
      </c>
      <c r="H1593" s="5">
        <v>102.4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95.8</v>
      </c>
      <c r="D1594" s="5">
        <v>0.1</v>
      </c>
      <c r="E1594" s="5">
        <v>96</v>
      </c>
      <c r="F1594" s="5">
        <v>201.7</v>
      </c>
      <c r="G1594" s="5">
        <v>100.9</v>
      </c>
      <c r="H1594" s="5">
        <v>101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95.8</v>
      </c>
      <c r="D1595" s="5">
        <v>0.1</v>
      </c>
      <c r="E1595" s="5">
        <v>96</v>
      </c>
      <c r="F1595" s="5">
        <v>201.7</v>
      </c>
      <c r="G1595" s="5">
        <v>100.9</v>
      </c>
      <c r="H1595" s="5">
        <v>101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95.2</v>
      </c>
      <c r="D1596" s="5">
        <v>0.1</v>
      </c>
      <c r="E1596" s="5">
        <v>95.3</v>
      </c>
      <c r="F1596" s="5">
        <v>190</v>
      </c>
      <c r="G1596" s="5">
        <v>94.8</v>
      </c>
      <c r="H1596" s="5">
        <v>94.6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95.2</v>
      </c>
      <c r="D1597" s="5">
        <v>0.1</v>
      </c>
      <c r="E1597" s="5">
        <v>95.3</v>
      </c>
      <c r="F1597" s="5">
        <v>190</v>
      </c>
      <c r="G1597" s="5">
        <v>94.8</v>
      </c>
      <c r="H1597" s="5">
        <v>94.6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95.2</v>
      </c>
      <c r="D1598" s="5">
        <v>0.1</v>
      </c>
      <c r="E1598" s="5">
        <v>95.3</v>
      </c>
      <c r="F1598" s="5">
        <v>190</v>
      </c>
      <c r="G1598" s="5">
        <v>94.8</v>
      </c>
      <c r="H1598" s="5">
        <v>94.6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95.2</v>
      </c>
      <c r="D1599" s="5">
        <v>0.1</v>
      </c>
      <c r="E1599" s="5">
        <v>95.3</v>
      </c>
      <c r="F1599" s="5">
        <v>190</v>
      </c>
      <c r="G1599" s="5">
        <v>94.8</v>
      </c>
      <c r="H1599" s="5">
        <v>94.6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97</v>
      </c>
      <c r="D1600" s="5">
        <v>0.1</v>
      </c>
      <c r="E1600" s="5">
        <v>97.2</v>
      </c>
      <c r="F1600" s="5">
        <v>191.6</v>
      </c>
      <c r="G1600" s="5">
        <v>95.6</v>
      </c>
      <c r="H1600" s="5">
        <v>95.4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97</v>
      </c>
      <c r="D1601" s="5">
        <v>0.1</v>
      </c>
      <c r="E1601" s="5">
        <v>97.2</v>
      </c>
      <c r="F1601" s="5">
        <v>191.6</v>
      </c>
      <c r="G1601" s="5">
        <v>95.6</v>
      </c>
      <c r="H1601" s="5">
        <v>95.4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94.8</v>
      </c>
      <c r="D1602" s="5">
        <v>0.1</v>
      </c>
      <c r="E1602" s="5">
        <v>94.8</v>
      </c>
      <c r="F1602" s="5">
        <v>188.9</v>
      </c>
      <c r="G1602" s="5">
        <v>94.2</v>
      </c>
      <c r="H1602" s="5">
        <v>94.1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94.8</v>
      </c>
      <c r="D1603" s="5">
        <v>0.1</v>
      </c>
      <c r="E1603" s="5">
        <v>94.8</v>
      </c>
      <c r="F1603" s="5">
        <v>188.9</v>
      </c>
      <c r="G1603" s="5">
        <v>94.2</v>
      </c>
      <c r="H1603" s="5">
        <v>94.1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95.7</v>
      </c>
      <c r="D1604" s="5">
        <v>0.1</v>
      </c>
      <c r="E1604" s="5">
        <v>95.9</v>
      </c>
      <c r="F1604" s="5">
        <v>189.4</v>
      </c>
      <c r="G1604" s="5">
        <v>94.4</v>
      </c>
      <c r="H1604" s="5">
        <v>94.2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95.7</v>
      </c>
      <c r="D1605" s="5">
        <v>0.1</v>
      </c>
      <c r="E1605" s="5">
        <v>95.9</v>
      </c>
      <c r="F1605" s="5">
        <v>189.4</v>
      </c>
      <c r="G1605" s="5">
        <v>94.4</v>
      </c>
      <c r="H1605" s="5">
        <v>94.2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95.4</v>
      </c>
      <c r="D1606" s="5">
        <v>0.1</v>
      </c>
      <c r="E1606" s="5">
        <v>95.5</v>
      </c>
      <c r="F1606" s="5">
        <v>187.1</v>
      </c>
      <c r="G1606" s="5">
        <v>93.3</v>
      </c>
      <c r="H1606" s="5">
        <v>93.1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95.4</v>
      </c>
      <c r="D1607" s="5">
        <v>0.1</v>
      </c>
      <c r="E1607" s="5">
        <v>95.5</v>
      </c>
      <c r="F1607" s="5">
        <v>187.1</v>
      </c>
      <c r="G1607" s="5">
        <v>93.3</v>
      </c>
      <c r="H1607" s="5">
        <v>93.1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95.4</v>
      </c>
      <c r="D1608" s="5">
        <v>0.1</v>
      </c>
      <c r="E1608" s="5">
        <v>95.5</v>
      </c>
      <c r="F1608" s="5">
        <v>187.1</v>
      </c>
      <c r="G1608" s="5">
        <v>93.3</v>
      </c>
      <c r="H1608" s="5">
        <v>93.1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95.4</v>
      </c>
      <c r="D1609" s="5">
        <v>0.1</v>
      </c>
      <c r="E1609" s="5">
        <v>95.5</v>
      </c>
      <c r="F1609" s="5">
        <v>187.1</v>
      </c>
      <c r="G1609" s="5">
        <v>93.3</v>
      </c>
      <c r="H1609" s="5">
        <v>93.1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94.9</v>
      </c>
      <c r="D1610" s="5">
        <v>0.1</v>
      </c>
      <c r="E1610" s="5">
        <v>95.1</v>
      </c>
      <c r="F1610" s="5">
        <v>190.9</v>
      </c>
      <c r="G1610" s="5">
        <v>95.2</v>
      </c>
      <c r="H1610" s="5">
        <v>95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94.9</v>
      </c>
      <c r="D1611" s="5">
        <v>0.1</v>
      </c>
      <c r="E1611" s="5">
        <v>95.1</v>
      </c>
      <c r="F1611" s="5">
        <v>190.9</v>
      </c>
      <c r="G1611" s="5">
        <v>95.2</v>
      </c>
      <c r="H1611" s="5">
        <v>95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93.8</v>
      </c>
      <c r="D1612" s="5">
        <v>0.1</v>
      </c>
      <c r="E1612" s="5">
        <v>93.9</v>
      </c>
      <c r="F1612" s="5">
        <v>187.7</v>
      </c>
      <c r="G1612" s="5">
        <v>93.6</v>
      </c>
      <c r="H1612" s="5">
        <v>93.4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93.8</v>
      </c>
      <c r="D1613" s="5">
        <v>0.1</v>
      </c>
      <c r="E1613" s="5">
        <v>93.9</v>
      </c>
      <c r="F1613" s="5">
        <v>187.7</v>
      </c>
      <c r="G1613" s="5">
        <v>93.6</v>
      </c>
      <c r="H1613" s="5">
        <v>93.4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94.5</v>
      </c>
      <c r="D1614" s="5">
        <v>0.1</v>
      </c>
      <c r="E1614" s="5">
        <v>94.6</v>
      </c>
      <c r="F1614" s="5">
        <v>189.6</v>
      </c>
      <c r="G1614" s="5">
        <v>94.5</v>
      </c>
      <c r="H1614" s="5">
        <v>94.4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94.5</v>
      </c>
      <c r="D1615" s="5">
        <v>0.1</v>
      </c>
      <c r="E1615" s="5">
        <v>94.6</v>
      </c>
      <c r="F1615" s="5">
        <v>189.6</v>
      </c>
      <c r="G1615" s="5">
        <v>94.5</v>
      </c>
      <c r="H1615" s="5">
        <v>94.4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94.2</v>
      </c>
      <c r="D1616" s="5">
        <v>0.1</v>
      </c>
      <c r="E1616" s="5">
        <v>94.4</v>
      </c>
      <c r="F1616" s="5">
        <v>188.5</v>
      </c>
      <c r="G1616" s="5">
        <v>94</v>
      </c>
      <c r="H1616" s="5">
        <v>93.9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94.2</v>
      </c>
      <c r="D1617" s="5">
        <v>0.1</v>
      </c>
      <c r="E1617" s="5">
        <v>94.4</v>
      </c>
      <c r="F1617" s="5">
        <v>188.5</v>
      </c>
      <c r="G1617" s="5">
        <v>94</v>
      </c>
      <c r="H1617" s="5">
        <v>93.9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94.2</v>
      </c>
      <c r="D1618" s="5">
        <v>0.1</v>
      </c>
      <c r="E1618" s="5">
        <v>94.4</v>
      </c>
      <c r="F1618" s="5">
        <v>188.5</v>
      </c>
      <c r="G1618" s="5">
        <v>94</v>
      </c>
      <c r="H1618" s="5">
        <v>93.9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94.2</v>
      </c>
      <c r="D1619" s="5">
        <v>0.1</v>
      </c>
      <c r="E1619" s="5">
        <v>94.4</v>
      </c>
      <c r="F1619" s="5">
        <v>188.5</v>
      </c>
      <c r="G1619" s="5">
        <v>94</v>
      </c>
      <c r="H1619" s="5">
        <v>93.9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94.3</v>
      </c>
      <c r="D1620" s="5">
        <v>0.1</v>
      </c>
      <c r="E1620" s="5">
        <v>94.4</v>
      </c>
      <c r="F1620" s="5">
        <v>193.8</v>
      </c>
      <c r="G1620" s="5">
        <v>96.6</v>
      </c>
      <c r="H1620" s="5">
        <v>96.4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94.3</v>
      </c>
      <c r="D1621" s="5">
        <v>0.1</v>
      </c>
      <c r="E1621" s="5">
        <v>94.4</v>
      </c>
      <c r="F1621" s="5">
        <v>193.8</v>
      </c>
      <c r="G1621" s="5">
        <v>96.6</v>
      </c>
      <c r="H1621" s="5">
        <v>96.4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99.6</v>
      </c>
      <c r="D1622" s="5">
        <v>0.1</v>
      </c>
      <c r="E1622" s="5">
        <v>99.8</v>
      </c>
      <c r="F1622" s="5">
        <v>190.6</v>
      </c>
      <c r="G1622" s="5">
        <v>95.2</v>
      </c>
      <c r="H1622" s="5">
        <v>95.2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99.6</v>
      </c>
      <c r="D1623" s="5">
        <v>0.1</v>
      </c>
      <c r="E1623" s="5">
        <v>99.8</v>
      </c>
      <c r="F1623" s="5">
        <v>190.6</v>
      </c>
      <c r="G1623" s="5">
        <v>95.2</v>
      </c>
      <c r="H1623" s="5">
        <v>95.2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96.2</v>
      </c>
      <c r="D1624" s="5">
        <v>0.1</v>
      </c>
      <c r="E1624" s="5">
        <v>96.4</v>
      </c>
      <c r="F1624" s="5">
        <v>194.5</v>
      </c>
      <c r="G1624" s="5">
        <v>97</v>
      </c>
      <c r="H1624" s="5">
        <v>96.9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96.2</v>
      </c>
      <c r="D1625" s="5">
        <v>0.1</v>
      </c>
      <c r="E1625" s="5">
        <v>96.4</v>
      </c>
      <c r="F1625" s="5">
        <v>194.5</v>
      </c>
      <c r="G1625" s="5">
        <v>97</v>
      </c>
      <c r="H1625" s="5">
        <v>96.9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95.9</v>
      </c>
      <c r="D1626" s="5">
        <v>0.1</v>
      </c>
      <c r="E1626" s="5">
        <v>96</v>
      </c>
      <c r="F1626" s="5">
        <v>197</v>
      </c>
      <c r="G1626" s="5">
        <v>98.1</v>
      </c>
      <c r="H1626" s="5">
        <v>97.9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95.9</v>
      </c>
      <c r="D1627" s="5">
        <v>0.1</v>
      </c>
      <c r="E1627" s="5">
        <v>96</v>
      </c>
      <c r="F1627" s="5">
        <v>197</v>
      </c>
      <c r="G1627" s="5">
        <v>98.1</v>
      </c>
      <c r="H1627" s="5">
        <v>97.9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95.9</v>
      </c>
      <c r="D1628" s="5">
        <v>0.1</v>
      </c>
      <c r="E1628" s="5">
        <v>96</v>
      </c>
      <c r="F1628" s="5">
        <v>197</v>
      </c>
      <c r="G1628" s="5">
        <v>98.1</v>
      </c>
      <c r="H1628" s="5">
        <v>97.9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95.9</v>
      </c>
      <c r="D1629" s="5">
        <v>0.1</v>
      </c>
      <c r="E1629" s="5">
        <v>96</v>
      </c>
      <c r="F1629" s="5">
        <v>197</v>
      </c>
      <c r="G1629" s="5">
        <v>98.1</v>
      </c>
      <c r="H1629" s="5">
        <v>97.9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97.6</v>
      </c>
      <c r="D1630" s="5">
        <v>0.1</v>
      </c>
      <c r="E1630" s="5">
        <v>97.7</v>
      </c>
      <c r="F1630" s="5">
        <v>196.4</v>
      </c>
      <c r="G1630" s="5">
        <v>97.9</v>
      </c>
      <c r="H1630" s="5">
        <v>97.8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97.6</v>
      </c>
      <c r="D1631" s="5">
        <v>0.1</v>
      </c>
      <c r="E1631" s="5">
        <v>97.7</v>
      </c>
      <c r="F1631" s="5">
        <v>196.4</v>
      </c>
      <c r="G1631" s="5">
        <v>97.9</v>
      </c>
      <c r="H1631" s="5">
        <v>97.8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101.8</v>
      </c>
      <c r="D1632" s="5">
        <v>0.1</v>
      </c>
      <c r="E1632" s="5">
        <v>101.9</v>
      </c>
      <c r="F1632" s="5">
        <v>204.2</v>
      </c>
      <c r="G1632" s="5">
        <v>101.9</v>
      </c>
      <c r="H1632" s="5">
        <v>101.7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101.8</v>
      </c>
      <c r="D1633" s="5">
        <v>0.1</v>
      </c>
      <c r="E1633" s="5">
        <v>101.9</v>
      </c>
      <c r="F1633" s="5">
        <v>204.2</v>
      </c>
      <c r="G1633" s="5">
        <v>101.9</v>
      </c>
      <c r="H1633" s="5">
        <v>101.7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96.9</v>
      </c>
      <c r="D1634" s="5">
        <v>0.1</v>
      </c>
      <c r="E1634" s="5">
        <v>97</v>
      </c>
      <c r="F1634" s="5">
        <v>193.9</v>
      </c>
      <c r="G1634" s="5">
        <v>96.7</v>
      </c>
      <c r="H1634" s="5">
        <v>96.6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96.9</v>
      </c>
      <c r="D1635" s="5">
        <v>0.1</v>
      </c>
      <c r="E1635" s="5">
        <v>97</v>
      </c>
      <c r="F1635" s="5">
        <v>193.9</v>
      </c>
      <c r="G1635" s="5">
        <v>96.7</v>
      </c>
      <c r="H1635" s="5">
        <v>96.6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96.9</v>
      </c>
      <c r="D1636" s="5">
        <v>0.1</v>
      </c>
      <c r="E1636" s="5">
        <v>97</v>
      </c>
      <c r="F1636" s="5">
        <v>192.2</v>
      </c>
      <c r="G1636" s="5">
        <v>95.9</v>
      </c>
      <c r="H1636" s="5">
        <v>95.9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96.9</v>
      </c>
      <c r="D1637" s="5">
        <v>0.1</v>
      </c>
      <c r="E1637" s="5">
        <v>97</v>
      </c>
      <c r="F1637" s="5">
        <v>192.2</v>
      </c>
      <c r="G1637" s="5">
        <v>95.9</v>
      </c>
      <c r="H1637" s="5">
        <v>95.9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96.9</v>
      </c>
      <c r="D1638" s="5">
        <v>0.1</v>
      </c>
      <c r="E1638" s="5">
        <v>97</v>
      </c>
      <c r="F1638" s="5">
        <v>192.2</v>
      </c>
      <c r="G1638" s="5">
        <v>95.9</v>
      </c>
      <c r="H1638" s="5">
        <v>95.9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94.8</v>
      </c>
      <c r="D1639" s="5">
        <v>0.1</v>
      </c>
      <c r="E1639" s="5">
        <v>94.9</v>
      </c>
      <c r="F1639" s="5">
        <v>190.3</v>
      </c>
      <c r="G1639" s="5">
        <v>94.9</v>
      </c>
      <c r="H1639" s="5">
        <v>94.7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94.8</v>
      </c>
      <c r="D1640" s="5">
        <v>0.1</v>
      </c>
      <c r="E1640" s="5">
        <v>94.9</v>
      </c>
      <c r="F1640" s="5">
        <v>190.3</v>
      </c>
      <c r="G1640" s="5">
        <v>94.9</v>
      </c>
      <c r="H1640" s="5">
        <v>94.7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101.9</v>
      </c>
      <c r="D1641" s="5">
        <v>0.1</v>
      </c>
      <c r="E1641" s="5">
        <v>102.1</v>
      </c>
      <c r="F1641" s="5">
        <v>201.2</v>
      </c>
      <c r="G1641" s="5">
        <v>100.4</v>
      </c>
      <c r="H1641" s="5">
        <v>100.3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101.9</v>
      </c>
      <c r="D1642" s="5">
        <v>0.1</v>
      </c>
      <c r="E1642" s="5">
        <v>102.1</v>
      </c>
      <c r="F1642" s="5">
        <v>201.2</v>
      </c>
      <c r="G1642" s="5">
        <v>100.4</v>
      </c>
      <c r="H1642" s="5">
        <v>100.3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101.1</v>
      </c>
      <c r="D1643" s="5">
        <v>0.1</v>
      </c>
      <c r="E1643" s="5">
        <v>101.2</v>
      </c>
      <c r="F1643" s="5">
        <v>202.7</v>
      </c>
      <c r="G1643" s="5">
        <v>101.1</v>
      </c>
      <c r="H1643" s="5">
        <v>100.9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101.1</v>
      </c>
      <c r="D1644" s="5">
        <v>0.1</v>
      </c>
      <c r="E1644" s="5">
        <v>101.2</v>
      </c>
      <c r="F1644" s="5">
        <v>202.7</v>
      </c>
      <c r="G1644" s="5">
        <v>101.1</v>
      </c>
      <c r="H1644" s="5">
        <v>100.9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101.8</v>
      </c>
      <c r="D1645" s="5">
        <v>0.1</v>
      </c>
      <c r="E1645" s="5">
        <v>102</v>
      </c>
      <c r="F1645" s="5">
        <v>201.9</v>
      </c>
      <c r="G1645" s="5">
        <v>100.7</v>
      </c>
      <c r="H1645" s="5">
        <v>100.6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101.8</v>
      </c>
      <c r="D1646" s="5">
        <v>0.1</v>
      </c>
      <c r="E1646" s="5">
        <v>102</v>
      </c>
      <c r="F1646" s="5">
        <v>201.9</v>
      </c>
      <c r="G1646" s="5">
        <v>100.7</v>
      </c>
      <c r="H1646" s="5">
        <v>100.6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101.8</v>
      </c>
      <c r="D1647" s="5">
        <v>0.1</v>
      </c>
      <c r="E1647" s="5">
        <v>102</v>
      </c>
      <c r="F1647" s="5">
        <v>201.9</v>
      </c>
      <c r="G1647" s="5">
        <v>100.7</v>
      </c>
      <c r="H1647" s="5">
        <v>100.6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101.8</v>
      </c>
      <c r="D1648" s="5">
        <v>0.1</v>
      </c>
      <c r="E1648" s="5">
        <v>102</v>
      </c>
      <c r="F1648" s="5">
        <v>201.9</v>
      </c>
      <c r="G1648" s="5">
        <v>100.7</v>
      </c>
      <c r="H1648" s="5">
        <v>100.6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98.9</v>
      </c>
      <c r="D1649" s="5">
        <v>0.1</v>
      </c>
      <c r="E1649" s="5">
        <v>99.1</v>
      </c>
      <c r="F1649" s="5">
        <v>197.8</v>
      </c>
      <c r="G1649" s="5">
        <v>98.7</v>
      </c>
      <c r="H1649" s="5">
        <v>98.5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98.9</v>
      </c>
      <c r="D1650" s="5">
        <v>0.1</v>
      </c>
      <c r="E1650" s="5">
        <v>99.1</v>
      </c>
      <c r="F1650" s="5">
        <v>197.8</v>
      </c>
      <c r="G1650" s="5">
        <v>98.7</v>
      </c>
      <c r="H1650" s="5">
        <v>98.5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99.4</v>
      </c>
      <c r="D1651" s="5">
        <v>0.1</v>
      </c>
      <c r="E1651" s="5">
        <v>99.5</v>
      </c>
      <c r="F1651" s="5">
        <v>197.5</v>
      </c>
      <c r="G1651" s="5">
        <v>98.7</v>
      </c>
      <c r="H1651" s="5">
        <v>98.5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99.4</v>
      </c>
      <c r="D1652" s="5">
        <v>0.1</v>
      </c>
      <c r="E1652" s="5">
        <v>99.5</v>
      </c>
      <c r="F1652" s="5">
        <v>197.5</v>
      </c>
      <c r="G1652" s="5">
        <v>98.5</v>
      </c>
      <c r="H1652" s="5">
        <v>98.4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98.9</v>
      </c>
      <c r="D1653" s="5">
        <v>0.1</v>
      </c>
      <c r="E1653" s="5">
        <v>99.5</v>
      </c>
      <c r="F1653" s="5">
        <v>197.5</v>
      </c>
      <c r="G1653" s="5">
        <v>98.5</v>
      </c>
      <c r="H1653" s="5">
        <v>98.4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98.9</v>
      </c>
      <c r="D1654" s="5">
        <v>0.1</v>
      </c>
      <c r="E1654" s="5">
        <v>99.1</v>
      </c>
      <c r="F1654" s="5">
        <v>196.8</v>
      </c>
      <c r="G1654" s="5">
        <v>98.2</v>
      </c>
      <c r="H1654" s="5">
        <v>98.2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98.9</v>
      </c>
      <c r="D1655" s="5">
        <v>0.1</v>
      </c>
      <c r="E1655" s="5">
        <v>99.1</v>
      </c>
      <c r="F1655" s="5">
        <v>196.8</v>
      </c>
      <c r="G1655" s="5">
        <v>98.2</v>
      </c>
      <c r="H1655" s="5">
        <v>98.2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98.9</v>
      </c>
      <c r="D1656" s="5">
        <v>0.1</v>
      </c>
      <c r="E1656" s="5">
        <v>99.1</v>
      </c>
      <c r="F1656" s="5">
        <v>198</v>
      </c>
      <c r="G1656" s="5">
        <v>98.8</v>
      </c>
      <c r="H1656" s="5">
        <v>98.6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98.9</v>
      </c>
      <c r="D1657" s="5">
        <v>0.1</v>
      </c>
      <c r="E1657" s="5">
        <v>99.1</v>
      </c>
      <c r="F1657" s="5">
        <v>198</v>
      </c>
      <c r="G1657" s="5">
        <v>98.8</v>
      </c>
      <c r="H1657" s="5">
        <v>98.6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98.9</v>
      </c>
      <c r="D1658" s="5">
        <v>0.1</v>
      </c>
      <c r="E1658" s="5">
        <v>99.1</v>
      </c>
      <c r="F1658" s="5">
        <v>198</v>
      </c>
      <c r="G1658" s="5">
        <v>98.8</v>
      </c>
      <c r="H1658" s="5">
        <v>98.6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98.9</v>
      </c>
      <c r="D1659" s="5">
        <v>0.1</v>
      </c>
      <c r="E1659" s="5">
        <v>99.1</v>
      </c>
      <c r="F1659" s="5">
        <v>197.4</v>
      </c>
      <c r="G1659" s="5">
        <v>98.5</v>
      </c>
      <c r="H1659" s="5">
        <v>98.3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99.5</v>
      </c>
      <c r="D1660" s="5">
        <v>0.1</v>
      </c>
      <c r="E1660" s="5">
        <v>99.6</v>
      </c>
      <c r="F1660" s="5">
        <v>197.4</v>
      </c>
      <c r="G1660" s="5">
        <v>98.5</v>
      </c>
      <c r="H1660" s="5">
        <v>98.3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99.5</v>
      </c>
      <c r="D1661" s="5">
        <v>0.1</v>
      </c>
      <c r="E1661" s="5">
        <v>99.6</v>
      </c>
      <c r="F1661" s="5">
        <v>197.4</v>
      </c>
      <c r="G1661" s="5">
        <v>99.2</v>
      </c>
      <c r="H1661" s="5">
        <v>99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100</v>
      </c>
      <c r="D1662" s="5">
        <v>0.1</v>
      </c>
      <c r="E1662" s="5">
        <v>100.2</v>
      </c>
      <c r="F1662" s="5">
        <v>199</v>
      </c>
      <c r="G1662" s="5">
        <v>99.2</v>
      </c>
      <c r="H1662" s="5">
        <v>99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100</v>
      </c>
      <c r="D1663" s="5">
        <v>0.1</v>
      </c>
      <c r="E1663" s="5">
        <v>100.2</v>
      </c>
      <c r="F1663" s="5">
        <v>199</v>
      </c>
      <c r="G1663" s="5">
        <v>99.2</v>
      </c>
      <c r="H1663" s="5">
        <v>99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100.1</v>
      </c>
      <c r="D1664" s="5">
        <v>0.1</v>
      </c>
      <c r="E1664" s="5">
        <v>100.2</v>
      </c>
      <c r="F1664" s="5">
        <v>198.9</v>
      </c>
      <c r="G1664" s="5">
        <v>99.2</v>
      </c>
      <c r="H1664" s="5">
        <v>99.1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100.1</v>
      </c>
      <c r="D1665" s="5">
        <v>0.1</v>
      </c>
      <c r="E1665" s="5">
        <v>100.2</v>
      </c>
      <c r="F1665" s="5">
        <v>198.9</v>
      </c>
      <c r="G1665" s="5">
        <v>99.2</v>
      </c>
      <c r="H1665" s="5">
        <v>99.1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100.7</v>
      </c>
      <c r="D1666" s="5">
        <v>0.1</v>
      </c>
      <c r="E1666" s="5">
        <v>100.8</v>
      </c>
      <c r="F1666" s="5">
        <v>201.1</v>
      </c>
      <c r="G1666" s="5">
        <v>100.3</v>
      </c>
      <c r="H1666" s="5">
        <v>100.2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100.7</v>
      </c>
      <c r="D1667" s="5">
        <v>0.1</v>
      </c>
      <c r="E1667" s="5">
        <v>100.8</v>
      </c>
      <c r="F1667" s="5">
        <v>201.1</v>
      </c>
      <c r="G1667" s="5">
        <v>100.3</v>
      </c>
      <c r="H1667" s="5">
        <v>100.2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100.7</v>
      </c>
      <c r="D1668" s="5">
        <v>0.1</v>
      </c>
      <c r="E1668" s="5">
        <v>100.8</v>
      </c>
      <c r="F1668" s="5">
        <v>201.1</v>
      </c>
      <c r="G1668" s="5">
        <v>100.3</v>
      </c>
      <c r="H1668" s="5">
        <v>100.2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100.4</v>
      </c>
      <c r="D1669" s="5">
        <v>0.1</v>
      </c>
      <c r="E1669" s="5">
        <v>100.5</v>
      </c>
      <c r="F1669" s="5">
        <v>201</v>
      </c>
      <c r="G1669" s="5">
        <v>100.3</v>
      </c>
      <c r="H1669" s="5">
        <v>100.1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100.4</v>
      </c>
      <c r="D1670" s="5">
        <v>0.1</v>
      </c>
      <c r="E1670" s="5">
        <v>100.5</v>
      </c>
      <c r="F1670" s="5">
        <v>201</v>
      </c>
      <c r="G1670" s="5">
        <v>100.3</v>
      </c>
      <c r="H1670" s="5">
        <v>100.1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101</v>
      </c>
      <c r="D1671" s="5">
        <v>0.1</v>
      </c>
      <c r="E1671" s="5">
        <v>101.1</v>
      </c>
      <c r="F1671" s="5">
        <v>200.4</v>
      </c>
      <c r="G1671" s="5">
        <v>100</v>
      </c>
      <c r="H1671" s="5">
        <v>99.9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101</v>
      </c>
      <c r="D1672" s="5">
        <v>0.1</v>
      </c>
      <c r="E1672" s="5">
        <v>101.1</v>
      </c>
      <c r="F1672" s="5">
        <v>200.4</v>
      </c>
      <c r="G1672" s="5">
        <v>100</v>
      </c>
      <c r="H1672" s="5">
        <v>99.9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101.3</v>
      </c>
      <c r="D1673" s="5">
        <v>0.1</v>
      </c>
      <c r="E1673" s="5">
        <v>101.5</v>
      </c>
      <c r="F1673" s="5">
        <v>202</v>
      </c>
      <c r="G1673" s="5">
        <v>100.7</v>
      </c>
      <c r="H1673" s="5">
        <v>100.6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101.3</v>
      </c>
      <c r="D1674" s="5">
        <v>0.1</v>
      </c>
      <c r="E1674" s="5">
        <v>101.5</v>
      </c>
      <c r="F1674" s="5">
        <v>202</v>
      </c>
      <c r="G1674" s="5">
        <v>100.7</v>
      </c>
      <c r="H1674" s="5">
        <v>100.6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101.1</v>
      </c>
      <c r="D1675" s="5">
        <v>0.1</v>
      </c>
      <c r="E1675" s="5">
        <v>101.2</v>
      </c>
      <c r="F1675" s="5">
        <v>201.1</v>
      </c>
      <c r="G1675" s="5">
        <v>100.3</v>
      </c>
      <c r="H1675" s="5">
        <v>100.2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101.1</v>
      </c>
      <c r="D1676" s="5">
        <v>0.1</v>
      </c>
      <c r="E1676" s="5">
        <v>101.2</v>
      </c>
      <c r="F1676" s="5">
        <v>201.1</v>
      </c>
      <c r="G1676" s="5">
        <v>100.3</v>
      </c>
      <c r="H1676" s="5">
        <v>100.2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101.1</v>
      </c>
      <c r="D1677" s="5">
        <v>0.1</v>
      </c>
      <c r="E1677" s="5">
        <v>101.2</v>
      </c>
      <c r="F1677" s="5">
        <v>201.1</v>
      </c>
      <c r="G1677" s="5">
        <v>100.3</v>
      </c>
      <c r="H1677" s="5">
        <v>100.2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101.1</v>
      </c>
      <c r="D1678" s="5">
        <v>0.1</v>
      </c>
      <c r="E1678" s="5">
        <v>101.2</v>
      </c>
      <c r="F1678" s="5">
        <v>201.1</v>
      </c>
      <c r="G1678" s="5">
        <v>100.3</v>
      </c>
      <c r="H1678" s="5">
        <v>100.2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101.1</v>
      </c>
      <c r="D1679" s="5">
        <v>0.1</v>
      </c>
      <c r="E1679" s="5">
        <v>101.3</v>
      </c>
      <c r="F1679" s="5">
        <v>201</v>
      </c>
      <c r="G1679" s="5">
        <v>100.3</v>
      </c>
      <c r="H1679" s="5">
        <v>100.1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101.1</v>
      </c>
      <c r="D1680" s="5">
        <v>0.1</v>
      </c>
      <c r="E1680" s="5">
        <v>101.3</v>
      </c>
      <c r="F1680" s="5">
        <v>201</v>
      </c>
      <c r="G1680" s="5">
        <v>100.3</v>
      </c>
      <c r="H1680" s="5">
        <v>100.1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100.9</v>
      </c>
      <c r="D1681" s="5">
        <v>0.1</v>
      </c>
      <c r="E1681" s="5">
        <v>101.1</v>
      </c>
      <c r="F1681" s="5">
        <v>201</v>
      </c>
      <c r="G1681" s="5">
        <v>100.2</v>
      </c>
      <c r="H1681" s="5">
        <v>100.1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100.9</v>
      </c>
      <c r="D1682" s="5">
        <v>0.1</v>
      </c>
      <c r="E1682" s="5">
        <v>101.1</v>
      </c>
      <c r="F1682" s="5">
        <v>201</v>
      </c>
      <c r="G1682" s="5">
        <v>100.2</v>
      </c>
      <c r="H1682" s="5">
        <v>100.1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100.2</v>
      </c>
      <c r="D1683" s="5">
        <v>0.1</v>
      </c>
      <c r="E1683" s="5">
        <v>100.3</v>
      </c>
      <c r="F1683" s="5">
        <v>201.1</v>
      </c>
      <c r="G1683" s="5">
        <v>100.3</v>
      </c>
      <c r="H1683" s="5">
        <v>100.2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100.2</v>
      </c>
      <c r="D1684" s="5">
        <v>0.1</v>
      </c>
      <c r="E1684" s="5">
        <v>100.3</v>
      </c>
      <c r="F1684" s="5">
        <v>201.1</v>
      </c>
      <c r="G1684" s="5">
        <v>100.3</v>
      </c>
      <c r="H1684" s="5">
        <v>100.2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100.8</v>
      </c>
      <c r="D1685" s="5">
        <v>0.1</v>
      </c>
      <c r="E1685" s="5">
        <v>100.9</v>
      </c>
      <c r="F1685" s="5">
        <v>201.6</v>
      </c>
      <c r="G1685" s="5">
        <v>100.3</v>
      </c>
      <c r="H1685" s="5">
        <v>100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100.8</v>
      </c>
      <c r="D1686" s="5">
        <v>0.1</v>
      </c>
      <c r="E1686" s="5">
        <v>100.9</v>
      </c>
      <c r="F1686" s="5">
        <v>201.6</v>
      </c>
      <c r="G1686" s="5">
        <v>100.3</v>
      </c>
      <c r="H1686" s="5">
        <v>100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100.8</v>
      </c>
      <c r="D1687" s="5">
        <v>0.1</v>
      </c>
      <c r="E1687" s="5">
        <v>100.9</v>
      </c>
      <c r="F1687" s="5">
        <v>201.6</v>
      </c>
      <c r="G1687" s="5">
        <v>100.3</v>
      </c>
      <c r="H1687" s="5">
        <v>100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100.8</v>
      </c>
      <c r="D1688" s="5">
        <v>0.1</v>
      </c>
      <c r="E1688" s="5">
        <v>100.9</v>
      </c>
      <c r="F1688" s="5">
        <v>201.6</v>
      </c>
      <c r="G1688" s="5">
        <v>100.3</v>
      </c>
      <c r="H1688" s="5">
        <v>100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100.6</v>
      </c>
      <c r="D1689" s="5">
        <v>0.1</v>
      </c>
      <c r="E1689" s="5">
        <v>100.7</v>
      </c>
      <c r="F1689" s="5">
        <v>201.2</v>
      </c>
      <c r="G1689" s="5">
        <v>100.4</v>
      </c>
      <c r="H1689" s="5">
        <v>100.2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100.6</v>
      </c>
      <c r="D1690" s="5">
        <v>0.1</v>
      </c>
      <c r="E1690" s="5">
        <v>100.7</v>
      </c>
      <c r="F1690" s="5">
        <v>201.2</v>
      </c>
      <c r="G1690" s="5">
        <v>100.4</v>
      </c>
      <c r="H1690" s="5">
        <v>100.2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100.2</v>
      </c>
      <c r="D1691" s="5">
        <v>0.1</v>
      </c>
      <c r="E1691" s="5">
        <v>100.4</v>
      </c>
      <c r="F1691" s="5">
        <v>200.7</v>
      </c>
      <c r="G1691" s="5">
        <v>100.1</v>
      </c>
      <c r="H1691" s="5">
        <v>99.9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100.2</v>
      </c>
      <c r="D1692" s="5">
        <v>0.1</v>
      </c>
      <c r="E1692" s="5">
        <v>100.4</v>
      </c>
      <c r="F1692" s="5">
        <v>200.7</v>
      </c>
      <c r="G1692" s="5">
        <v>100.1</v>
      </c>
      <c r="H1692" s="5">
        <v>99.9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101.5</v>
      </c>
      <c r="D1693" s="5">
        <v>0.1</v>
      </c>
      <c r="E1693" s="5">
        <v>101.6</v>
      </c>
      <c r="F1693" s="5">
        <v>201.9</v>
      </c>
      <c r="G1693" s="5">
        <v>100.8</v>
      </c>
      <c r="H1693" s="5">
        <v>100.7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101.5</v>
      </c>
      <c r="D1694" s="5">
        <v>0.1</v>
      </c>
      <c r="E1694" s="5">
        <v>101.6</v>
      </c>
      <c r="F1694" s="5">
        <v>201.9</v>
      </c>
      <c r="G1694" s="5">
        <v>100.8</v>
      </c>
      <c r="H1694" s="5">
        <v>100.7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100.5</v>
      </c>
      <c r="D1695" s="5">
        <v>0.1</v>
      </c>
      <c r="E1695" s="5">
        <v>100.6</v>
      </c>
      <c r="F1695" s="5">
        <v>200.2</v>
      </c>
      <c r="G1695" s="5">
        <v>99.9</v>
      </c>
      <c r="H1695" s="5">
        <v>99.8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100.5</v>
      </c>
      <c r="D1696" s="5">
        <v>0.1</v>
      </c>
      <c r="E1696" s="5">
        <v>100.6</v>
      </c>
      <c r="F1696" s="5">
        <v>200.2</v>
      </c>
      <c r="G1696" s="5">
        <v>99.9</v>
      </c>
      <c r="H1696" s="5">
        <v>99.8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100.5</v>
      </c>
      <c r="D1697" s="5">
        <v>0.1</v>
      </c>
      <c r="E1697" s="5">
        <v>100.6</v>
      </c>
      <c r="F1697" s="5">
        <v>200.2</v>
      </c>
      <c r="G1697" s="5">
        <v>99.9</v>
      </c>
      <c r="H1697" s="5">
        <v>99.8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100.5</v>
      </c>
      <c r="D1698" s="5">
        <v>0.1</v>
      </c>
      <c r="E1698" s="5">
        <v>100.6</v>
      </c>
      <c r="F1698" s="5">
        <v>200.2</v>
      </c>
      <c r="G1698" s="5">
        <v>99.9</v>
      </c>
      <c r="H1698" s="5">
        <v>99.8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100.1</v>
      </c>
      <c r="D1699" s="5">
        <v>0.1</v>
      </c>
      <c r="E1699" s="5">
        <v>100.2</v>
      </c>
      <c r="F1699" s="5">
        <v>200.5</v>
      </c>
      <c r="G1699" s="5">
        <v>100.1</v>
      </c>
      <c r="H1699" s="5">
        <v>99.9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100.1</v>
      </c>
      <c r="D1700" s="5">
        <v>0.1</v>
      </c>
      <c r="E1700" s="5">
        <v>100.2</v>
      </c>
      <c r="F1700" s="5">
        <v>200.5</v>
      </c>
      <c r="G1700" s="5">
        <v>100.1</v>
      </c>
      <c r="H1700" s="5">
        <v>99.9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100.5</v>
      </c>
      <c r="D1701" s="5">
        <v>0.1</v>
      </c>
      <c r="E1701" s="5">
        <v>100.6</v>
      </c>
      <c r="F1701" s="5">
        <v>199.2</v>
      </c>
      <c r="G1701" s="5">
        <v>99.2</v>
      </c>
      <c r="H1701" s="5">
        <v>98.9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100.5</v>
      </c>
      <c r="D1702" s="5">
        <v>0.1</v>
      </c>
      <c r="E1702" s="5">
        <v>100.6</v>
      </c>
      <c r="F1702" s="5">
        <v>199.2</v>
      </c>
      <c r="G1702" s="5">
        <v>99.2</v>
      </c>
      <c r="H1702" s="5">
        <v>98.9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98.9</v>
      </c>
      <c r="D1703" s="5">
        <v>0.1</v>
      </c>
      <c r="E1703" s="5">
        <v>98.9</v>
      </c>
      <c r="F1703" s="5">
        <v>194.3</v>
      </c>
      <c r="G1703" s="5">
        <v>96.8</v>
      </c>
      <c r="H1703" s="5">
        <v>96.6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98.9</v>
      </c>
      <c r="D1704" s="5">
        <v>0.1</v>
      </c>
      <c r="E1704" s="5">
        <v>98.9</v>
      </c>
      <c r="F1704" s="5">
        <v>194.3</v>
      </c>
      <c r="G1704" s="5">
        <v>96.8</v>
      </c>
      <c r="H1704" s="5">
        <v>96.6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96</v>
      </c>
      <c r="D1705" s="5">
        <v>0.1</v>
      </c>
      <c r="E1705" s="5">
        <v>96.2</v>
      </c>
      <c r="F1705" s="5">
        <v>196.1</v>
      </c>
      <c r="G1705" s="5">
        <v>98.1</v>
      </c>
      <c r="H1705" s="5">
        <v>98.1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96</v>
      </c>
      <c r="D1706" s="5">
        <v>0.1</v>
      </c>
      <c r="E1706" s="5">
        <v>96.2</v>
      </c>
      <c r="F1706" s="5">
        <v>196.1</v>
      </c>
      <c r="G1706" s="5">
        <v>98.1</v>
      </c>
      <c r="H1706" s="5">
        <v>98.1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96</v>
      </c>
      <c r="D1707" s="5">
        <v>0.1</v>
      </c>
      <c r="E1707" s="5">
        <v>96.2</v>
      </c>
      <c r="F1707" s="5">
        <v>196.1</v>
      </c>
      <c r="G1707" s="5">
        <v>98.1</v>
      </c>
      <c r="H1707" s="5">
        <v>98.1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96</v>
      </c>
      <c r="D1708" s="5">
        <v>0.1</v>
      </c>
      <c r="E1708" s="5">
        <v>96.2</v>
      </c>
      <c r="F1708" s="5">
        <v>196.1</v>
      </c>
      <c r="G1708" s="5">
        <v>98.1</v>
      </c>
      <c r="H1708" s="5">
        <v>98.1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98.3</v>
      </c>
      <c r="D1709" s="5">
        <v>0.1</v>
      </c>
      <c r="E1709" s="5">
        <v>98.3</v>
      </c>
      <c r="F1709" s="5">
        <v>195.5</v>
      </c>
      <c r="G1709" s="5">
        <v>97.6</v>
      </c>
      <c r="H1709" s="5">
        <v>97.5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98.3</v>
      </c>
      <c r="D1710" s="5">
        <v>0.1</v>
      </c>
      <c r="E1710" s="5">
        <v>98.3</v>
      </c>
      <c r="F1710" s="5">
        <v>195.5</v>
      </c>
      <c r="G1710" s="5">
        <v>97.6</v>
      </c>
      <c r="H1710" s="5">
        <v>97.5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98.3</v>
      </c>
      <c r="D1711" s="5">
        <v>0.1</v>
      </c>
      <c r="E1711" s="5">
        <v>98.4</v>
      </c>
      <c r="F1711" s="5">
        <v>198.9</v>
      </c>
      <c r="G1711" s="5">
        <v>99.1</v>
      </c>
      <c r="H1711" s="5">
        <v>98.8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98.3</v>
      </c>
      <c r="D1712" s="5">
        <v>0.1</v>
      </c>
      <c r="E1712" s="5">
        <v>98.4</v>
      </c>
      <c r="F1712" s="5">
        <v>198.9</v>
      </c>
      <c r="G1712" s="5">
        <v>99.1</v>
      </c>
      <c r="H1712" s="5">
        <v>98.8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97.6</v>
      </c>
      <c r="D1713" s="5">
        <v>0.1</v>
      </c>
      <c r="E1713" s="5">
        <v>97.8</v>
      </c>
      <c r="F1713" s="5">
        <v>195.6</v>
      </c>
      <c r="G1713" s="5">
        <v>97.5</v>
      </c>
      <c r="H1713" s="5">
        <v>97.3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97.6</v>
      </c>
      <c r="D1714" s="5">
        <v>0.1</v>
      </c>
      <c r="E1714" s="5">
        <v>97.8</v>
      </c>
      <c r="F1714" s="5">
        <v>195.6</v>
      </c>
      <c r="G1714" s="5">
        <v>97.5</v>
      </c>
      <c r="H1714" s="5">
        <v>97.3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102.2</v>
      </c>
      <c r="D1715" s="5">
        <v>0.1</v>
      </c>
      <c r="E1715" s="5">
        <v>102.4</v>
      </c>
      <c r="F1715" s="5">
        <v>203.2</v>
      </c>
      <c r="G1715" s="5">
        <v>101.5</v>
      </c>
      <c r="H1715" s="5">
        <v>101.4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102.2</v>
      </c>
      <c r="D1716" s="5">
        <v>0.1</v>
      </c>
      <c r="E1716" s="5">
        <v>102.4</v>
      </c>
      <c r="F1716" s="5">
        <v>203.2</v>
      </c>
      <c r="G1716" s="5">
        <v>101.5</v>
      </c>
      <c r="H1716" s="5">
        <v>101.4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102.2</v>
      </c>
      <c r="D1717" s="5">
        <v>0.1</v>
      </c>
      <c r="E1717" s="5">
        <v>102.4</v>
      </c>
      <c r="F1717" s="5">
        <v>203.2</v>
      </c>
      <c r="G1717" s="5">
        <v>101.5</v>
      </c>
      <c r="H1717" s="5">
        <v>101.4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102.2</v>
      </c>
      <c r="D1718" s="5">
        <v>0.1</v>
      </c>
      <c r="E1718" s="5">
        <v>102.4</v>
      </c>
      <c r="F1718" s="5">
        <v>203.2</v>
      </c>
      <c r="G1718" s="5">
        <v>101.5</v>
      </c>
      <c r="H1718" s="5">
        <v>101.4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102.6</v>
      </c>
      <c r="D1719" s="5">
        <v>0.1</v>
      </c>
      <c r="E1719" s="5">
        <v>102.7</v>
      </c>
      <c r="F1719" s="5">
        <v>205.3</v>
      </c>
      <c r="G1719" s="5">
        <v>102.5</v>
      </c>
      <c r="H1719" s="5">
        <v>102.3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102.6</v>
      </c>
      <c r="D1720" s="5">
        <v>0.1</v>
      </c>
      <c r="E1720" s="5">
        <v>102.7</v>
      </c>
      <c r="F1720" s="5">
        <v>205.3</v>
      </c>
      <c r="G1720" s="5">
        <v>102.5</v>
      </c>
      <c r="H1720" s="5">
        <v>102.3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102.1</v>
      </c>
      <c r="D1721" s="5">
        <v>0.1</v>
      </c>
      <c r="E1721" s="5">
        <v>102.2</v>
      </c>
      <c r="F1721" s="5">
        <v>204.8</v>
      </c>
      <c r="G1721" s="5">
        <v>102.3</v>
      </c>
      <c r="H1721" s="5">
        <v>102.2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102.1</v>
      </c>
      <c r="D1722" s="5">
        <v>0.1</v>
      </c>
      <c r="E1722" s="5">
        <v>102.2</v>
      </c>
      <c r="F1722" s="5">
        <v>204.8</v>
      </c>
      <c r="G1722" s="5">
        <v>102.3</v>
      </c>
      <c r="H1722" s="5">
        <v>102.2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99.2</v>
      </c>
      <c r="D1723" s="5">
        <v>0.1</v>
      </c>
      <c r="E1723" s="5">
        <v>99.3</v>
      </c>
      <c r="F1723" s="5">
        <v>200.9</v>
      </c>
      <c r="G1723" s="5">
        <v>100.1</v>
      </c>
      <c r="H1723" s="5">
        <v>99.8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99.2</v>
      </c>
      <c r="D1724" s="5">
        <v>0.1</v>
      </c>
      <c r="E1724" s="5">
        <v>99.3</v>
      </c>
      <c r="F1724" s="5">
        <v>200.9</v>
      </c>
      <c r="G1724" s="5">
        <v>100.1</v>
      </c>
      <c r="H1724" s="5">
        <v>99.8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101.2</v>
      </c>
      <c r="D1725" s="5">
        <v>0.1</v>
      </c>
      <c r="E1725" s="5">
        <v>101.4</v>
      </c>
      <c r="F1725" s="5">
        <v>203.6</v>
      </c>
      <c r="G1725" s="5">
        <v>101.6</v>
      </c>
      <c r="H1725" s="5">
        <v>101.4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101.2</v>
      </c>
      <c r="D1726" s="5">
        <v>0.1</v>
      </c>
      <c r="E1726" s="5">
        <v>101.4</v>
      </c>
      <c r="F1726" s="5">
        <v>203.6</v>
      </c>
      <c r="G1726" s="5">
        <v>101.6</v>
      </c>
      <c r="H1726" s="5">
        <v>101.4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101.2</v>
      </c>
      <c r="D1727" s="5">
        <v>0.1</v>
      </c>
      <c r="E1727" s="5">
        <v>101.4</v>
      </c>
      <c r="F1727" s="5">
        <v>203.6</v>
      </c>
      <c r="G1727" s="5">
        <v>101.6</v>
      </c>
      <c r="H1727" s="5">
        <v>101.4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101.2</v>
      </c>
      <c r="D1728" s="5">
        <v>0.1</v>
      </c>
      <c r="E1728" s="5">
        <v>101.4</v>
      </c>
      <c r="F1728" s="5">
        <v>203.6</v>
      </c>
      <c r="G1728" s="5">
        <v>101.6</v>
      </c>
      <c r="H1728" s="5">
        <v>101.4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96.5</v>
      </c>
      <c r="D1729" s="5">
        <v>0.1</v>
      </c>
      <c r="E1729" s="5">
        <v>96.6</v>
      </c>
      <c r="F1729" s="5">
        <v>194.8</v>
      </c>
      <c r="G1729" s="5">
        <v>97.2</v>
      </c>
      <c r="H1729" s="5">
        <v>97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96.5</v>
      </c>
      <c r="D1730" s="5">
        <v>0.1</v>
      </c>
      <c r="E1730" s="5">
        <v>96.6</v>
      </c>
      <c r="F1730" s="5">
        <v>194.8</v>
      </c>
      <c r="G1730" s="5">
        <v>97.2</v>
      </c>
      <c r="H1730" s="5">
        <v>97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102.4</v>
      </c>
      <c r="D1731" s="5">
        <v>0.1</v>
      </c>
      <c r="E1731" s="5">
        <v>102.6</v>
      </c>
      <c r="F1731" s="5">
        <v>199.2</v>
      </c>
      <c r="G1731" s="5">
        <v>99.6</v>
      </c>
      <c r="H1731" s="5">
        <v>99.6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102.4</v>
      </c>
      <c r="D1732" s="5">
        <v>0.1</v>
      </c>
      <c r="E1732" s="5">
        <v>102.6</v>
      </c>
      <c r="F1732" s="5">
        <v>199.2</v>
      </c>
      <c r="G1732" s="5">
        <v>99.6</v>
      </c>
      <c r="H1732" s="5">
        <v>99.6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102.3</v>
      </c>
      <c r="D1733" s="5">
        <v>0.1</v>
      </c>
      <c r="E1733" s="5">
        <v>102.4</v>
      </c>
      <c r="F1733" s="5">
        <v>195.8</v>
      </c>
      <c r="G1733" s="5">
        <v>97.7</v>
      </c>
      <c r="H1733" s="5">
        <v>97.6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102.3</v>
      </c>
      <c r="D1734" s="5">
        <v>0.1</v>
      </c>
      <c r="E1734" s="5">
        <v>102.4</v>
      </c>
      <c r="F1734" s="5">
        <v>195.8</v>
      </c>
      <c r="G1734" s="5">
        <v>97.7</v>
      </c>
      <c r="H1734" s="5">
        <v>97.6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102.5</v>
      </c>
      <c r="D1735" s="5">
        <v>0.1</v>
      </c>
      <c r="E1735" s="5">
        <v>102.6</v>
      </c>
      <c r="F1735" s="5">
        <v>195.5</v>
      </c>
      <c r="G1735" s="5">
        <v>97.5</v>
      </c>
      <c r="H1735" s="5">
        <v>97.4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102.5</v>
      </c>
      <c r="D1736" s="5">
        <v>0.1</v>
      </c>
      <c r="E1736" s="5">
        <v>102.6</v>
      </c>
      <c r="F1736" s="5">
        <v>195.5</v>
      </c>
      <c r="G1736" s="5">
        <v>97.5</v>
      </c>
      <c r="H1736" s="5">
        <v>97.4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102.5</v>
      </c>
      <c r="D1737" s="5">
        <v>0.1</v>
      </c>
      <c r="E1737" s="5">
        <v>102.6</v>
      </c>
      <c r="F1737" s="5">
        <v>195.5</v>
      </c>
      <c r="G1737" s="5">
        <v>97.5</v>
      </c>
      <c r="H1737" s="5">
        <v>97.4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102.5</v>
      </c>
      <c r="D1738" s="5">
        <v>0.1</v>
      </c>
      <c r="E1738" s="5">
        <v>102.6</v>
      </c>
      <c r="F1738" s="5">
        <v>195.5</v>
      </c>
      <c r="G1738" s="5">
        <v>97.5</v>
      </c>
      <c r="H1738" s="5">
        <v>97.4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97.8</v>
      </c>
      <c r="D1739" s="5">
        <v>0.1</v>
      </c>
      <c r="E1739" s="5">
        <v>97.9</v>
      </c>
      <c r="F1739" s="5">
        <v>194.5</v>
      </c>
      <c r="G1739" s="5">
        <v>97.1</v>
      </c>
      <c r="H1739" s="5">
        <v>96.9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97.8</v>
      </c>
      <c r="D1740" s="5">
        <v>0.1</v>
      </c>
      <c r="E1740" s="5">
        <v>97.9</v>
      </c>
      <c r="F1740" s="5">
        <v>194.5</v>
      </c>
      <c r="G1740" s="5">
        <v>97.1</v>
      </c>
      <c r="H1740" s="5">
        <v>96.9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102.3</v>
      </c>
      <c r="D1741" s="5">
        <v>0.1</v>
      </c>
      <c r="E1741" s="5">
        <v>102.4</v>
      </c>
      <c r="F1741" s="5">
        <v>204.4</v>
      </c>
      <c r="G1741" s="5">
        <v>101.9</v>
      </c>
      <c r="H1741" s="5">
        <v>101.8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102.3</v>
      </c>
      <c r="D1742" s="5">
        <v>0.1</v>
      </c>
      <c r="E1742" s="5">
        <v>102.4</v>
      </c>
      <c r="F1742" s="5">
        <v>204.4</v>
      </c>
      <c r="G1742" s="5">
        <v>101.9</v>
      </c>
      <c r="H1742" s="5">
        <v>101.8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103</v>
      </c>
      <c r="D1743" s="5">
        <v>0.1</v>
      </c>
      <c r="E1743" s="5">
        <v>103.1</v>
      </c>
      <c r="F1743" s="5">
        <v>205.6</v>
      </c>
      <c r="G1743" s="5">
        <v>102.6</v>
      </c>
      <c r="H1743" s="5">
        <v>102.5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103</v>
      </c>
      <c r="D1744" s="5">
        <v>0.1</v>
      </c>
      <c r="E1744" s="5">
        <v>103.1</v>
      </c>
      <c r="F1744" s="5">
        <v>205.6</v>
      </c>
      <c r="G1744" s="5">
        <v>102.6</v>
      </c>
      <c r="H1744" s="5">
        <v>102.5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102.7</v>
      </c>
      <c r="D1745" s="5">
        <v>0.1</v>
      </c>
      <c r="E1745" s="5">
        <v>102.8</v>
      </c>
      <c r="F1745" s="5">
        <v>204.8</v>
      </c>
      <c r="G1745" s="5">
        <v>102.2</v>
      </c>
      <c r="H1745" s="5">
        <v>102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102.7</v>
      </c>
      <c r="D1746" s="5">
        <v>0.1</v>
      </c>
      <c r="E1746" s="5">
        <v>102.8</v>
      </c>
      <c r="F1746" s="5">
        <v>204.8</v>
      </c>
      <c r="G1746" s="5">
        <v>102.2</v>
      </c>
      <c r="H1746" s="5">
        <v>102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102.7</v>
      </c>
      <c r="D1747" s="5">
        <v>0.1</v>
      </c>
      <c r="E1747" s="5">
        <v>102.8</v>
      </c>
      <c r="F1747" s="5">
        <v>204.8</v>
      </c>
      <c r="G1747" s="5">
        <v>102.2</v>
      </c>
      <c r="H1747" s="5">
        <v>102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102.7</v>
      </c>
      <c r="D1748" s="5">
        <v>0.1</v>
      </c>
      <c r="E1748" s="5">
        <v>102.8</v>
      </c>
      <c r="F1748" s="5">
        <v>204.8</v>
      </c>
      <c r="G1748" s="5">
        <v>102.2</v>
      </c>
      <c r="H1748" s="5">
        <v>102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101.8</v>
      </c>
      <c r="D1749" s="5">
        <v>0.1</v>
      </c>
      <c r="E1749" s="5">
        <v>101.9</v>
      </c>
      <c r="F1749" s="5">
        <v>205.2</v>
      </c>
      <c r="G1749" s="5">
        <v>102.4</v>
      </c>
      <c r="H1749" s="5">
        <v>102.2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101.6</v>
      </c>
      <c r="D1750" s="5">
        <v>0.1</v>
      </c>
      <c r="E1750" s="5">
        <v>101.8</v>
      </c>
      <c r="F1750" s="5">
        <v>205.5</v>
      </c>
      <c r="G1750" s="5">
        <v>102.5</v>
      </c>
      <c r="H1750" s="5">
        <v>102.3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101.6</v>
      </c>
      <c r="D1751" s="5">
        <v>0.1</v>
      </c>
      <c r="E1751" s="5">
        <v>101.8</v>
      </c>
      <c r="F1751" s="5">
        <v>205.5</v>
      </c>
      <c r="G1751" s="5">
        <v>102.5</v>
      </c>
      <c r="H1751" s="5">
        <v>102.3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96.8</v>
      </c>
      <c r="D1752" s="5">
        <v>0.1</v>
      </c>
      <c r="E1752" s="5">
        <v>97</v>
      </c>
      <c r="F1752" s="5">
        <v>202.3</v>
      </c>
      <c r="G1752" s="5">
        <v>100.6</v>
      </c>
      <c r="H1752" s="5">
        <v>100.2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96.8</v>
      </c>
      <c r="D1753" s="5">
        <v>0.1</v>
      </c>
      <c r="E1753" s="5">
        <v>97</v>
      </c>
      <c r="F1753" s="5">
        <v>202.3</v>
      </c>
      <c r="G1753" s="5">
        <v>100.6</v>
      </c>
      <c r="H1753" s="5">
        <v>100.2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102.1</v>
      </c>
      <c r="D1754" s="5">
        <v>0.1</v>
      </c>
      <c r="E1754" s="5">
        <v>102.3</v>
      </c>
      <c r="F1754" s="5">
        <v>204.5</v>
      </c>
      <c r="G1754" s="5">
        <v>102</v>
      </c>
      <c r="H1754" s="5">
        <v>101.9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102.1</v>
      </c>
      <c r="D1755" s="5">
        <v>0.1</v>
      </c>
      <c r="E1755" s="5">
        <v>102.3</v>
      </c>
      <c r="F1755" s="5">
        <v>204.5</v>
      </c>
      <c r="G1755" s="5">
        <v>102</v>
      </c>
      <c r="H1755" s="5">
        <v>101.9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102.1</v>
      </c>
      <c r="D1756" s="5">
        <v>0.1</v>
      </c>
      <c r="E1756" s="5">
        <v>102.3</v>
      </c>
      <c r="F1756" s="5">
        <v>204.5</v>
      </c>
      <c r="G1756" s="5">
        <v>102</v>
      </c>
      <c r="H1756" s="5">
        <v>101.9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102.1</v>
      </c>
      <c r="D1757" s="5">
        <v>0.1</v>
      </c>
      <c r="E1757" s="5">
        <v>102.3</v>
      </c>
      <c r="F1757" s="5">
        <v>204.5</v>
      </c>
      <c r="G1757" s="5">
        <v>102.4</v>
      </c>
      <c r="H1757" s="5">
        <v>102.2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102.7</v>
      </c>
      <c r="D1758" s="5">
        <v>0.1</v>
      </c>
      <c r="E1758" s="5">
        <v>102.8</v>
      </c>
      <c r="F1758" s="5">
        <v>205.3</v>
      </c>
      <c r="G1758" s="5">
        <v>102.4</v>
      </c>
      <c r="H1758" s="5">
        <v>102.2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102.7</v>
      </c>
      <c r="D1759" s="5">
        <v>0.1</v>
      </c>
      <c r="E1759" s="5">
        <v>102.8</v>
      </c>
      <c r="F1759" s="5">
        <v>205.3</v>
      </c>
      <c r="G1759" s="5">
        <v>102.6</v>
      </c>
      <c r="H1759" s="5">
        <v>102.4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103.1</v>
      </c>
      <c r="D1760" s="5">
        <v>0.1</v>
      </c>
      <c r="E1760" s="5">
        <v>103.2</v>
      </c>
      <c r="F1760" s="5">
        <v>205.7</v>
      </c>
      <c r="G1760" s="5">
        <v>102.6</v>
      </c>
      <c r="H1760" s="5">
        <v>102.4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103.1</v>
      </c>
      <c r="D1761" s="5">
        <v>0.1</v>
      </c>
      <c r="E1761" s="5">
        <v>103.2</v>
      </c>
      <c r="F1761" s="5">
        <v>205.7</v>
      </c>
      <c r="G1761" s="5">
        <v>102.6</v>
      </c>
      <c r="H1761" s="5">
        <v>102.4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103.1</v>
      </c>
      <c r="D1762" s="5">
        <v>0.1</v>
      </c>
      <c r="E1762" s="5">
        <v>103.2</v>
      </c>
      <c r="F1762" s="5">
        <v>205.5</v>
      </c>
      <c r="G1762" s="5">
        <v>102.5</v>
      </c>
      <c r="H1762" s="5">
        <v>102.4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103.1</v>
      </c>
      <c r="D1763" s="5">
        <v>0.1</v>
      </c>
      <c r="E1763" s="5">
        <v>103.2</v>
      </c>
      <c r="F1763" s="5">
        <v>205.5</v>
      </c>
      <c r="G1763" s="5">
        <v>102.5</v>
      </c>
      <c r="H1763" s="5">
        <v>102.4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103.1</v>
      </c>
      <c r="D1764" s="5">
        <v>0.1</v>
      </c>
      <c r="E1764" s="5">
        <v>103.2</v>
      </c>
      <c r="F1764" s="5">
        <v>205.2</v>
      </c>
      <c r="G1764" s="5">
        <v>102.4</v>
      </c>
      <c r="H1764" s="5">
        <v>102.3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103.1</v>
      </c>
      <c r="D1765" s="5">
        <v>0.1</v>
      </c>
      <c r="E1765" s="5">
        <v>103.2</v>
      </c>
      <c r="F1765" s="5">
        <v>205.2</v>
      </c>
      <c r="G1765" s="5">
        <v>102.4</v>
      </c>
      <c r="H1765" s="5">
        <v>102.3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103.1</v>
      </c>
      <c r="D1766" s="5">
        <v>0.1</v>
      </c>
      <c r="E1766" s="5">
        <v>103.2</v>
      </c>
      <c r="F1766" s="5">
        <v>205.2</v>
      </c>
      <c r="G1766" s="5">
        <v>102.4</v>
      </c>
      <c r="H1766" s="5">
        <v>102.3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98.3</v>
      </c>
      <c r="D1767" s="5">
        <v>0.1</v>
      </c>
      <c r="E1767" s="5">
        <v>98.4</v>
      </c>
      <c r="F1767" s="5">
        <v>205</v>
      </c>
      <c r="G1767" s="5">
        <v>102.2</v>
      </c>
      <c r="H1767" s="5">
        <v>101.9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98.3</v>
      </c>
      <c r="D1768" s="5">
        <v>0.1</v>
      </c>
      <c r="E1768" s="5">
        <v>98.4</v>
      </c>
      <c r="F1768" s="5">
        <v>205</v>
      </c>
      <c r="G1768" s="5">
        <v>102.2</v>
      </c>
      <c r="H1768" s="5">
        <v>101.9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96.3</v>
      </c>
      <c r="D1769" s="5">
        <v>0.1</v>
      </c>
      <c r="E1769" s="5">
        <v>96.4</v>
      </c>
      <c r="F1769" s="5">
        <v>201.8</v>
      </c>
      <c r="G1769" s="5">
        <v>100.7</v>
      </c>
      <c r="H1769" s="5">
        <v>101.9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96.3</v>
      </c>
      <c r="D1770" s="5">
        <v>0.1</v>
      </c>
      <c r="E1770" s="5">
        <v>96.4</v>
      </c>
      <c r="F1770" s="5">
        <v>201.8</v>
      </c>
      <c r="G1770" s="5">
        <v>100.7</v>
      </c>
      <c r="H1770" s="5">
        <v>100.6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96.9</v>
      </c>
      <c r="D1771" s="5">
        <v>0.1</v>
      </c>
      <c r="E1771" s="5">
        <v>97</v>
      </c>
      <c r="F1771" s="5">
        <v>193.4</v>
      </c>
      <c r="G1771" s="5">
        <v>100.7</v>
      </c>
      <c r="H1771" s="5">
        <v>100.6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96.9</v>
      </c>
      <c r="D1772" s="5">
        <v>0.1</v>
      </c>
      <c r="E1772" s="5">
        <v>97</v>
      </c>
      <c r="F1772" s="5">
        <v>193.4</v>
      </c>
      <c r="G1772" s="5">
        <v>96.6</v>
      </c>
      <c r="H1772" s="5">
        <v>96.5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102.9</v>
      </c>
      <c r="D1773" s="5">
        <v>0.1</v>
      </c>
      <c r="E1773" s="5">
        <v>97</v>
      </c>
      <c r="F1773" s="5">
        <v>193.4</v>
      </c>
      <c r="G1773" s="5">
        <v>96.6</v>
      </c>
      <c r="H1773" s="5">
        <v>96.5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102.9</v>
      </c>
      <c r="D1774" s="5">
        <v>0.1</v>
      </c>
      <c r="E1774" s="5">
        <v>103.1</v>
      </c>
      <c r="F1774" s="5">
        <v>194.2</v>
      </c>
      <c r="G1774" s="5">
        <v>97</v>
      </c>
      <c r="H1774" s="5">
        <v>97.1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102.9</v>
      </c>
      <c r="D1775" s="5">
        <v>0.1</v>
      </c>
      <c r="E1775" s="5">
        <v>103.1</v>
      </c>
      <c r="F1775" s="5">
        <v>194.2</v>
      </c>
      <c r="G1775" s="5">
        <v>97</v>
      </c>
      <c r="H1775" s="5">
        <v>97.1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102.9</v>
      </c>
      <c r="D1776" s="5">
        <v>0.1</v>
      </c>
      <c r="E1776" s="5">
        <v>103.1</v>
      </c>
      <c r="F1776" s="5">
        <v>194.2</v>
      </c>
      <c r="G1776" s="5">
        <v>97</v>
      </c>
      <c r="H1776" s="5">
        <v>97.1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96.9</v>
      </c>
      <c r="D1777" s="5">
        <v>0.1</v>
      </c>
      <c r="E1777" s="5">
        <v>103.1</v>
      </c>
      <c r="F1777" s="5">
        <v>194.2</v>
      </c>
      <c r="G1777" s="5">
        <v>97</v>
      </c>
      <c r="H1777" s="5">
        <v>97.1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96.9</v>
      </c>
      <c r="D1778" s="5">
        <v>0.1</v>
      </c>
      <c r="E1778" s="5">
        <v>97</v>
      </c>
      <c r="F1778" s="5">
        <v>193.8</v>
      </c>
      <c r="G1778" s="5">
        <v>96.7</v>
      </c>
      <c r="H1778" s="5">
        <v>96.5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96.9</v>
      </c>
      <c r="D1779" s="5">
        <v>0.1</v>
      </c>
      <c r="E1779" s="5">
        <v>97</v>
      </c>
      <c r="F1779" s="5">
        <v>193.8</v>
      </c>
      <c r="G1779" s="5">
        <v>96.7</v>
      </c>
      <c r="H1779" s="5">
        <v>96.5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97.1</v>
      </c>
      <c r="D1780" s="5">
        <v>0.1</v>
      </c>
      <c r="E1780" s="5">
        <v>97.2</v>
      </c>
      <c r="F1780" s="5">
        <v>194.5</v>
      </c>
      <c r="G1780" s="5">
        <v>97</v>
      </c>
      <c r="H1780" s="5">
        <v>96.9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97.1</v>
      </c>
      <c r="D1781" s="5">
        <v>0.1</v>
      </c>
      <c r="E1781" s="5">
        <v>97.2</v>
      </c>
      <c r="F1781" s="5">
        <v>194.5</v>
      </c>
      <c r="G1781" s="5">
        <v>97</v>
      </c>
      <c r="H1781" s="5">
        <v>96.9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94.9</v>
      </c>
      <c r="D1782" s="5">
        <v>0.1</v>
      </c>
      <c r="E1782" s="5">
        <v>95.1</v>
      </c>
      <c r="F1782" s="5">
        <v>189.2</v>
      </c>
      <c r="G1782" s="5">
        <v>94.4</v>
      </c>
      <c r="H1782" s="5">
        <v>94.3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94.9</v>
      </c>
      <c r="D1783" s="5">
        <v>0.1</v>
      </c>
      <c r="E1783" s="5">
        <v>95.1</v>
      </c>
      <c r="F1783" s="5">
        <v>189.2</v>
      </c>
      <c r="G1783" s="5">
        <v>94.4</v>
      </c>
      <c r="H1783" s="5">
        <v>94.3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100.4</v>
      </c>
      <c r="D1784" s="5">
        <v>0.1</v>
      </c>
      <c r="E1784" s="5">
        <v>100.5</v>
      </c>
      <c r="F1784" s="5">
        <v>191.3</v>
      </c>
      <c r="G1784" s="5">
        <v>95.8</v>
      </c>
      <c r="H1784" s="5">
        <v>95.9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100.4</v>
      </c>
      <c r="D1785" s="5">
        <v>0.1</v>
      </c>
      <c r="E1785" s="5">
        <v>100.5</v>
      </c>
      <c r="F1785" s="5">
        <v>191.3</v>
      </c>
      <c r="G1785" s="5">
        <v>95.8</v>
      </c>
      <c r="H1785" s="5">
        <v>95.9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100.4</v>
      </c>
      <c r="D1786" s="5">
        <v>0.1</v>
      </c>
      <c r="E1786" s="5">
        <v>100.5</v>
      </c>
      <c r="F1786" s="5">
        <v>191.3</v>
      </c>
      <c r="G1786" s="5">
        <v>95.8</v>
      </c>
      <c r="H1786" s="5">
        <v>95.9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100.4</v>
      </c>
      <c r="D1787" s="5">
        <v>0.1</v>
      </c>
      <c r="E1787" s="5">
        <v>100.5</v>
      </c>
      <c r="F1787" s="5">
        <v>191.3</v>
      </c>
      <c r="G1787" s="5">
        <v>95.8</v>
      </c>
      <c r="H1787" s="5">
        <v>95.9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95.7</v>
      </c>
      <c r="D1788" s="5">
        <v>0.1</v>
      </c>
      <c r="E1788" s="5">
        <v>95.9</v>
      </c>
      <c r="F1788" s="5">
        <v>195.7</v>
      </c>
      <c r="G1788" s="5">
        <v>97.6</v>
      </c>
      <c r="H1788" s="5">
        <v>97.4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95.7</v>
      </c>
      <c r="D1789" s="5">
        <v>0.1</v>
      </c>
      <c r="E1789" s="5">
        <v>95.9</v>
      </c>
      <c r="F1789" s="5">
        <v>195.7</v>
      </c>
      <c r="G1789" s="5">
        <v>97.6</v>
      </c>
      <c r="H1789" s="5">
        <v>97.4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92.7</v>
      </c>
      <c r="D1790" s="5">
        <v>0.1</v>
      </c>
      <c r="E1790" s="5">
        <v>92.9</v>
      </c>
      <c r="F1790" s="5">
        <v>188.5</v>
      </c>
      <c r="G1790" s="5">
        <v>94</v>
      </c>
      <c r="H1790" s="5">
        <v>93.8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92.7</v>
      </c>
      <c r="D1791" s="5">
        <v>0.1</v>
      </c>
      <c r="E1791" s="5">
        <v>92.9</v>
      </c>
      <c r="F1791" s="5">
        <v>188.5</v>
      </c>
      <c r="G1791" s="5">
        <v>94</v>
      </c>
      <c r="H1791" s="5">
        <v>93.8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93.3</v>
      </c>
      <c r="D1792" s="5">
        <v>0.1</v>
      </c>
      <c r="E1792" s="5">
        <v>93.5</v>
      </c>
      <c r="F1792" s="5">
        <v>188.9</v>
      </c>
      <c r="G1792" s="5">
        <v>94.1</v>
      </c>
      <c r="H1792" s="5">
        <v>93.9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93.3</v>
      </c>
      <c r="D1793" s="5">
        <v>0.1</v>
      </c>
      <c r="E1793" s="5">
        <v>93.5</v>
      </c>
      <c r="F1793" s="5">
        <v>188.9</v>
      </c>
      <c r="G1793" s="5">
        <v>94.1</v>
      </c>
      <c r="H1793" s="5">
        <v>93.9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93.1</v>
      </c>
      <c r="D1794" s="5">
        <v>0.1</v>
      </c>
      <c r="E1794" s="5">
        <v>93.2</v>
      </c>
      <c r="F1794" s="5">
        <v>187.3</v>
      </c>
      <c r="G1794" s="5">
        <v>93.4</v>
      </c>
      <c r="H1794" s="5">
        <v>93.2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93.1</v>
      </c>
      <c r="D1795" s="5">
        <v>0.1</v>
      </c>
      <c r="E1795" s="5">
        <v>93.2</v>
      </c>
      <c r="F1795" s="5">
        <v>187.3</v>
      </c>
      <c r="G1795" s="5">
        <v>93.4</v>
      </c>
      <c r="H1795" s="5">
        <v>93.2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93.1</v>
      </c>
      <c r="D1796" s="5">
        <v>0.1</v>
      </c>
      <c r="E1796" s="5">
        <v>93.2</v>
      </c>
      <c r="F1796" s="5">
        <v>187.3</v>
      </c>
      <c r="G1796" s="5">
        <v>93.4</v>
      </c>
      <c r="H1796" s="5">
        <v>93.2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95</v>
      </c>
      <c r="D1797" s="5">
        <v>0.1</v>
      </c>
      <c r="E1797" s="5">
        <v>95.1</v>
      </c>
      <c r="F1797" s="5">
        <v>190.7</v>
      </c>
      <c r="G1797" s="5">
        <v>95.1</v>
      </c>
      <c r="H1797" s="5">
        <v>94.9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95</v>
      </c>
      <c r="D1798" s="5">
        <v>0.1</v>
      </c>
      <c r="E1798" s="5">
        <v>95.1</v>
      </c>
      <c r="F1798" s="5">
        <v>190.7</v>
      </c>
      <c r="G1798" s="5">
        <v>95.1</v>
      </c>
      <c r="H1798" s="5">
        <v>94.9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94.8</v>
      </c>
      <c r="D1799" s="5">
        <v>0.1</v>
      </c>
      <c r="E1799" s="5">
        <v>94.9</v>
      </c>
      <c r="F1799" s="5">
        <v>189.4</v>
      </c>
      <c r="G1799" s="5">
        <v>94.5</v>
      </c>
      <c r="H1799" s="5">
        <v>94.4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94.8</v>
      </c>
      <c r="D1800" s="5">
        <v>0.1</v>
      </c>
      <c r="E1800" s="5">
        <v>94.9</v>
      </c>
      <c r="F1800" s="5">
        <v>189.4</v>
      </c>
      <c r="G1800" s="5">
        <v>94.5</v>
      </c>
      <c r="H1800" s="5">
        <v>94.4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96</v>
      </c>
      <c r="D1801" s="5">
        <v>0.1</v>
      </c>
      <c r="E1801" s="5">
        <v>96</v>
      </c>
      <c r="F1801" s="5">
        <v>189.3</v>
      </c>
      <c r="G1801" s="5">
        <v>94.5</v>
      </c>
      <c r="H1801" s="5">
        <v>94.4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96</v>
      </c>
      <c r="D1802" s="5">
        <v>0.1</v>
      </c>
      <c r="E1802" s="5">
        <v>96</v>
      </c>
      <c r="F1802" s="5">
        <v>189.3</v>
      </c>
      <c r="G1802" s="5">
        <v>94.5</v>
      </c>
      <c r="H1802" s="5">
        <v>94.4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95.9</v>
      </c>
      <c r="D1803" s="5">
        <v>0.1</v>
      </c>
      <c r="E1803" s="5">
        <v>96</v>
      </c>
      <c r="F1803" s="5">
        <v>193.7</v>
      </c>
      <c r="G1803" s="5">
        <v>96.4</v>
      </c>
      <c r="H1803" s="5">
        <v>96.2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95.9</v>
      </c>
      <c r="D1804" s="5">
        <v>0.1</v>
      </c>
      <c r="E1804" s="5">
        <v>96</v>
      </c>
      <c r="F1804" s="5">
        <v>193.7</v>
      </c>
      <c r="G1804" s="5">
        <v>96.4</v>
      </c>
      <c r="H1804" s="5">
        <v>96.2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95.9</v>
      </c>
      <c r="D1805" s="5">
        <v>0.1</v>
      </c>
      <c r="E1805" s="5">
        <v>96</v>
      </c>
      <c r="F1805" s="5">
        <v>193.7</v>
      </c>
      <c r="G1805" s="5">
        <v>96.4</v>
      </c>
      <c r="H1805" s="5">
        <v>96.2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95.9</v>
      </c>
      <c r="D1806" s="5">
        <v>0.1</v>
      </c>
      <c r="E1806" s="5">
        <v>96</v>
      </c>
      <c r="F1806" s="5">
        <v>193.7</v>
      </c>
      <c r="G1806" s="5">
        <v>96.4</v>
      </c>
      <c r="H1806" s="5">
        <v>96.2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101.7</v>
      </c>
      <c r="D1807" s="5">
        <v>0.1</v>
      </c>
      <c r="E1807" s="5">
        <v>101.8</v>
      </c>
      <c r="F1807" s="5">
        <v>201.5</v>
      </c>
      <c r="G1807" s="5">
        <v>100.5</v>
      </c>
      <c r="H1807" s="5">
        <v>100.5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101.7</v>
      </c>
      <c r="D1808" s="5">
        <v>0.1</v>
      </c>
      <c r="E1808" s="5">
        <v>101.8</v>
      </c>
      <c r="F1808" s="5">
        <v>201.5</v>
      </c>
      <c r="G1808" s="5">
        <v>100.5</v>
      </c>
      <c r="H1808" s="5">
        <v>100.5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101.7</v>
      </c>
      <c r="D1809" s="5">
        <v>0.1</v>
      </c>
      <c r="E1809" s="5">
        <v>101.8</v>
      </c>
      <c r="F1809" s="5">
        <v>201.4</v>
      </c>
      <c r="G1809" s="5">
        <v>100.7</v>
      </c>
      <c r="H1809" s="5">
        <v>100.5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101.7</v>
      </c>
      <c r="D1810" s="5">
        <v>0.1</v>
      </c>
      <c r="E1810" s="5">
        <v>101.8</v>
      </c>
      <c r="F1810" s="5">
        <v>201.4</v>
      </c>
      <c r="G1810" s="5">
        <v>100.7</v>
      </c>
      <c r="H1810" s="5">
        <v>100.5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88.7</v>
      </c>
      <c r="D1811" s="5">
        <v>0.1</v>
      </c>
      <c r="E1811" s="5">
        <v>88.7</v>
      </c>
      <c r="F1811" s="5">
        <v>176.1</v>
      </c>
      <c r="G1811" s="5">
        <v>87.7</v>
      </c>
      <c r="H1811" s="5">
        <v>87.6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88.7</v>
      </c>
      <c r="D1812" s="5">
        <v>0.1</v>
      </c>
      <c r="E1812" s="5">
        <v>88.7</v>
      </c>
      <c r="F1812" s="5">
        <v>176.1</v>
      </c>
      <c r="G1812" s="5">
        <v>87.7</v>
      </c>
      <c r="H1812" s="5">
        <v>87.6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92.5</v>
      </c>
      <c r="D1813" s="5">
        <v>0.1</v>
      </c>
      <c r="E1813" s="5">
        <v>92.7</v>
      </c>
      <c r="F1813" s="5">
        <v>181.1</v>
      </c>
      <c r="G1813" s="5">
        <v>87.7</v>
      </c>
      <c r="H1813" s="5">
        <v>87.6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92.5</v>
      </c>
      <c r="D1814" s="5">
        <v>0.1</v>
      </c>
      <c r="E1814" s="5">
        <v>92.7</v>
      </c>
      <c r="F1814" s="5">
        <v>181.1</v>
      </c>
      <c r="G1814" s="5">
        <v>87.7</v>
      </c>
      <c r="H1814" s="5">
        <v>87.6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92.5</v>
      </c>
      <c r="D1815" s="5">
        <v>0.1</v>
      </c>
      <c r="E1815" s="5">
        <v>92.7</v>
      </c>
      <c r="F1815" s="5">
        <v>181.1</v>
      </c>
      <c r="G1815" s="5">
        <v>87.7</v>
      </c>
      <c r="H1815" s="5">
        <v>87.6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92.5</v>
      </c>
      <c r="D1816" s="5">
        <v>0.1</v>
      </c>
      <c r="E1816" s="5">
        <v>92.7</v>
      </c>
      <c r="F1816" s="5">
        <v>181.1</v>
      </c>
      <c r="G1816" s="5">
        <v>87.7</v>
      </c>
      <c r="H1816" s="5">
        <v>87.6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92.9</v>
      </c>
      <c r="D1817" s="5">
        <v>0.1</v>
      </c>
      <c r="E1817" s="5">
        <v>93</v>
      </c>
      <c r="F1817" s="5">
        <v>186.1</v>
      </c>
      <c r="G1817" s="5">
        <v>92.8</v>
      </c>
      <c r="H1817" s="5">
        <v>92.6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92.9</v>
      </c>
      <c r="D1818" s="5">
        <v>0.1</v>
      </c>
      <c r="E1818" s="5">
        <v>93</v>
      </c>
      <c r="F1818" s="5">
        <v>186.1</v>
      </c>
      <c r="G1818" s="5">
        <v>92.8</v>
      </c>
      <c r="H1818" s="5">
        <v>92.6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99.9</v>
      </c>
      <c r="D1819" s="5">
        <v>0.1</v>
      </c>
      <c r="E1819" s="5">
        <v>100</v>
      </c>
      <c r="F1819" s="5">
        <v>200</v>
      </c>
      <c r="G1819" s="5">
        <v>99.8</v>
      </c>
      <c r="H1819" s="5">
        <v>99.6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99.9</v>
      </c>
      <c r="D1820" s="5">
        <v>0.1</v>
      </c>
      <c r="E1820" s="5">
        <v>100</v>
      </c>
      <c r="F1820" s="5">
        <v>200</v>
      </c>
      <c r="G1820" s="5">
        <v>99.8</v>
      </c>
      <c r="H1820" s="5">
        <v>99.6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99.5</v>
      </c>
      <c r="D1821" s="5">
        <v>0.1</v>
      </c>
      <c r="E1821" s="5">
        <v>99.6</v>
      </c>
      <c r="F1821" s="5">
        <v>199</v>
      </c>
      <c r="G1821" s="5">
        <v>99.3</v>
      </c>
      <c r="H1821" s="5">
        <v>99.1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99.5</v>
      </c>
      <c r="D1822" s="5">
        <v>0.1</v>
      </c>
      <c r="E1822" s="5">
        <v>99.6</v>
      </c>
      <c r="F1822" s="5">
        <v>199</v>
      </c>
      <c r="G1822" s="5">
        <v>99.3</v>
      </c>
      <c r="H1822" s="5">
        <v>99.1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100.2</v>
      </c>
      <c r="D1823" s="5">
        <v>0.1</v>
      </c>
      <c r="E1823" s="5">
        <v>100.3</v>
      </c>
      <c r="F1823" s="5">
        <v>198.7</v>
      </c>
      <c r="G1823" s="5">
        <v>99.2</v>
      </c>
      <c r="H1823" s="5">
        <v>99.1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100.2</v>
      </c>
      <c r="D1824" s="5">
        <v>0.1</v>
      </c>
      <c r="E1824" s="5">
        <v>100.3</v>
      </c>
      <c r="F1824" s="5">
        <v>198.7</v>
      </c>
      <c r="G1824" s="5">
        <v>99.2</v>
      </c>
      <c r="H1824" s="5">
        <v>99.1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100.2</v>
      </c>
      <c r="D1825" s="5">
        <v>0.1</v>
      </c>
      <c r="E1825" s="5">
        <v>100.3</v>
      </c>
      <c r="F1825" s="5">
        <v>198.7</v>
      </c>
      <c r="G1825" s="5">
        <v>99.2</v>
      </c>
      <c r="H1825" s="5">
        <v>99.1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100.2</v>
      </c>
      <c r="D1826" s="5">
        <v>0.1</v>
      </c>
      <c r="E1826" s="5">
        <v>100.3</v>
      </c>
      <c r="F1826" s="5">
        <v>198.7</v>
      </c>
      <c r="G1826" s="5">
        <v>99.2</v>
      </c>
      <c r="H1826" s="5">
        <v>99.1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94.6</v>
      </c>
      <c r="D1827" s="5">
        <v>0.1</v>
      </c>
      <c r="E1827" s="5">
        <v>94.8</v>
      </c>
      <c r="F1827" s="5">
        <v>197.4</v>
      </c>
      <c r="G1827" s="5">
        <v>98.5</v>
      </c>
      <c r="H1827" s="5">
        <v>98.5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94.6</v>
      </c>
      <c r="D1828" s="5">
        <v>0.1</v>
      </c>
      <c r="E1828" s="5">
        <v>94.8</v>
      </c>
      <c r="F1828" s="5">
        <v>197.4</v>
      </c>
      <c r="G1828" s="5">
        <v>98.5</v>
      </c>
      <c r="H1828" s="5">
        <v>98.5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95.8</v>
      </c>
      <c r="D1829" s="5">
        <v>0.1</v>
      </c>
      <c r="E1829" s="5">
        <v>96</v>
      </c>
      <c r="F1829" s="5">
        <v>193.8</v>
      </c>
      <c r="G1829" s="5">
        <v>96.9</v>
      </c>
      <c r="H1829" s="5">
        <v>96.9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95.8</v>
      </c>
      <c r="D1830" s="5">
        <v>0.1</v>
      </c>
      <c r="E1830" s="5">
        <v>96</v>
      </c>
      <c r="F1830" s="5">
        <v>193.8</v>
      </c>
      <c r="G1830" s="5">
        <v>96.9</v>
      </c>
      <c r="H1830" s="5">
        <v>96.9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94.7</v>
      </c>
      <c r="D1831" s="5">
        <v>0.1</v>
      </c>
      <c r="E1831" s="5">
        <v>94.8</v>
      </c>
      <c r="F1831" s="5">
        <v>189.8</v>
      </c>
      <c r="G1831" s="5">
        <v>94.6</v>
      </c>
      <c r="H1831" s="5">
        <v>94.5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94.7</v>
      </c>
      <c r="D1832" s="5">
        <v>0.1</v>
      </c>
      <c r="E1832" s="5">
        <v>94.8</v>
      </c>
      <c r="F1832" s="5">
        <v>189.8</v>
      </c>
      <c r="G1832" s="5">
        <v>94.6</v>
      </c>
      <c r="H1832" s="5">
        <v>94.5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95.1</v>
      </c>
      <c r="D1833" s="5">
        <v>0.1</v>
      </c>
      <c r="E1833" s="5">
        <v>95.1</v>
      </c>
      <c r="F1833" s="5">
        <v>194.2</v>
      </c>
      <c r="G1833" s="5">
        <v>97.1</v>
      </c>
      <c r="H1833" s="5">
        <v>97.2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95.1</v>
      </c>
      <c r="D1834" s="5">
        <v>0.1</v>
      </c>
      <c r="E1834" s="5">
        <v>95.1</v>
      </c>
      <c r="F1834" s="5">
        <v>194.2</v>
      </c>
      <c r="G1834" s="5">
        <v>97.1</v>
      </c>
      <c r="H1834" s="5">
        <v>97.2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95.1</v>
      </c>
      <c r="D1835" s="5">
        <v>0.1</v>
      </c>
      <c r="E1835" s="5">
        <v>95.1</v>
      </c>
      <c r="F1835" s="5">
        <v>194.2</v>
      </c>
      <c r="G1835" s="5">
        <v>97.1</v>
      </c>
      <c r="H1835" s="5">
        <v>97.2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95.1</v>
      </c>
      <c r="D1836" s="5">
        <v>0.1</v>
      </c>
      <c r="E1836" s="5">
        <v>95.1</v>
      </c>
      <c r="F1836" s="5">
        <v>194.2</v>
      </c>
      <c r="G1836" s="5">
        <v>97.1</v>
      </c>
      <c r="H1836" s="5">
        <v>97.2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90.9</v>
      </c>
      <c r="D1837" s="5">
        <v>0.1</v>
      </c>
      <c r="E1837" s="5">
        <v>91</v>
      </c>
      <c r="F1837" s="5">
        <v>175.2</v>
      </c>
      <c r="G1837" s="5">
        <v>87.6</v>
      </c>
      <c r="H1837" s="5">
        <v>87.6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90.9</v>
      </c>
      <c r="D1838" s="5">
        <v>0.1</v>
      </c>
      <c r="E1838" s="5">
        <v>91</v>
      </c>
      <c r="F1838" s="5">
        <v>175.2</v>
      </c>
      <c r="G1838" s="5">
        <v>87.6</v>
      </c>
      <c r="H1838" s="5">
        <v>87.6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91</v>
      </c>
      <c r="D1839" s="5">
        <v>0.1</v>
      </c>
      <c r="E1839" s="5">
        <v>91.1</v>
      </c>
      <c r="F1839" s="5">
        <v>180.5</v>
      </c>
      <c r="G1839" s="5">
        <v>90.2</v>
      </c>
      <c r="H1839" s="5">
        <v>90.2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91</v>
      </c>
      <c r="D1840" s="5">
        <v>0.1</v>
      </c>
      <c r="E1840" s="5">
        <v>91.1</v>
      </c>
      <c r="F1840" s="5">
        <v>180.5</v>
      </c>
      <c r="G1840" s="5">
        <v>90.2</v>
      </c>
      <c r="H1840" s="5">
        <v>90.2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93.7</v>
      </c>
      <c r="D1841" s="5">
        <v>0.1</v>
      </c>
      <c r="E1841" s="5">
        <v>93.8</v>
      </c>
      <c r="F1841" s="5">
        <v>189.5</v>
      </c>
      <c r="G1841" s="5">
        <v>94.4</v>
      </c>
      <c r="H1841" s="5">
        <v>94.2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93.7</v>
      </c>
      <c r="D1842" s="5">
        <v>0.1</v>
      </c>
      <c r="E1842" s="5">
        <v>93.8</v>
      </c>
      <c r="F1842" s="5">
        <v>189.5</v>
      </c>
      <c r="G1842" s="5">
        <v>94.4</v>
      </c>
      <c r="H1842" s="5">
        <v>94.2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102.1</v>
      </c>
      <c r="D1843" s="5">
        <v>0.1</v>
      </c>
      <c r="E1843" s="5">
        <v>102.2</v>
      </c>
      <c r="F1843" s="5">
        <v>202.5</v>
      </c>
      <c r="G1843" s="5">
        <v>101.1</v>
      </c>
      <c r="H1843" s="5">
        <v>101.1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102.1</v>
      </c>
      <c r="D1844" s="5">
        <v>0.1</v>
      </c>
      <c r="E1844" s="5">
        <v>102.2</v>
      </c>
      <c r="F1844" s="5">
        <v>202.5</v>
      </c>
      <c r="G1844" s="5">
        <v>101.1</v>
      </c>
      <c r="H1844" s="5">
        <v>101.1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102.1</v>
      </c>
      <c r="D1845" s="5">
        <v>0.1</v>
      </c>
      <c r="E1845" s="5">
        <v>102.2</v>
      </c>
      <c r="F1845" s="5">
        <v>202.5</v>
      </c>
      <c r="G1845" s="5">
        <v>101.1</v>
      </c>
      <c r="H1845" s="5">
        <v>101.1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102.1</v>
      </c>
      <c r="D1846" s="5">
        <v>0.1</v>
      </c>
      <c r="E1846" s="5">
        <v>102.2</v>
      </c>
      <c r="F1846" s="5">
        <v>202.5</v>
      </c>
      <c r="G1846" s="5">
        <v>101.1</v>
      </c>
      <c r="H1846" s="5">
        <v>101.1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98</v>
      </c>
      <c r="D1847" s="5">
        <v>0.1</v>
      </c>
      <c r="E1847" s="5">
        <v>98.2</v>
      </c>
      <c r="F1847" s="5">
        <v>197.6</v>
      </c>
      <c r="G1847" s="5">
        <v>98.5</v>
      </c>
      <c r="H1847" s="5">
        <v>98.2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98</v>
      </c>
      <c r="D1848" s="5">
        <v>0.1</v>
      </c>
      <c r="E1848" s="5">
        <v>98.2</v>
      </c>
      <c r="F1848" s="5">
        <v>197.6</v>
      </c>
      <c r="G1848" s="5">
        <v>98.5</v>
      </c>
      <c r="H1848" s="5">
        <v>98.2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95.4</v>
      </c>
      <c r="D1849" s="5">
        <v>0.1</v>
      </c>
      <c r="E1849" s="5">
        <v>95.5</v>
      </c>
      <c r="F1849" s="5">
        <v>193.5</v>
      </c>
      <c r="G1849" s="5">
        <v>96.4</v>
      </c>
      <c r="H1849" s="5">
        <v>96.2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95.4</v>
      </c>
      <c r="D1850" s="5">
        <v>0.1</v>
      </c>
      <c r="E1850" s="5">
        <v>95.5</v>
      </c>
      <c r="F1850" s="5">
        <v>193.5</v>
      </c>
      <c r="G1850" s="5">
        <v>96.4</v>
      </c>
      <c r="H1850" s="5">
        <v>96.2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93.3</v>
      </c>
      <c r="D1851" s="5">
        <v>0.1</v>
      </c>
      <c r="E1851" s="5">
        <v>93.5</v>
      </c>
      <c r="F1851" s="5">
        <v>187.9</v>
      </c>
      <c r="G1851" s="5">
        <v>93.7</v>
      </c>
      <c r="H1851" s="5">
        <v>93.5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93.3</v>
      </c>
      <c r="D1852" s="5">
        <v>0.1</v>
      </c>
      <c r="E1852" s="5">
        <v>93.5</v>
      </c>
      <c r="F1852" s="5">
        <v>187.9</v>
      </c>
      <c r="G1852" s="5">
        <v>93.7</v>
      </c>
      <c r="H1852" s="5">
        <v>93.5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93.5</v>
      </c>
      <c r="D1853" s="5">
        <v>0.1</v>
      </c>
      <c r="E1853" s="5">
        <v>93.7</v>
      </c>
      <c r="F1853" s="5">
        <v>188.9</v>
      </c>
      <c r="G1853" s="5">
        <v>94.2</v>
      </c>
      <c r="H1853" s="5">
        <v>94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93.5</v>
      </c>
      <c r="D1854" s="5">
        <v>0.1</v>
      </c>
      <c r="E1854" s="5">
        <v>93.7</v>
      </c>
      <c r="F1854" s="5">
        <v>188.9</v>
      </c>
      <c r="G1854" s="5">
        <v>94.2</v>
      </c>
      <c r="H1854" s="5">
        <v>94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93.5</v>
      </c>
      <c r="D1855" s="5">
        <v>0.1</v>
      </c>
      <c r="E1855" s="5">
        <v>93.7</v>
      </c>
      <c r="F1855" s="5">
        <v>188.9</v>
      </c>
      <c r="G1855" s="5">
        <v>94.2</v>
      </c>
      <c r="H1855" s="5">
        <v>94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93.5</v>
      </c>
      <c r="D1856" s="5">
        <v>0.1</v>
      </c>
      <c r="E1856" s="5">
        <v>93.7</v>
      </c>
      <c r="F1856" s="5">
        <v>188.9</v>
      </c>
      <c r="G1856" s="5">
        <v>94.2</v>
      </c>
      <c r="H1856" s="5">
        <v>94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95.5</v>
      </c>
      <c r="D1857" s="5">
        <v>0.1</v>
      </c>
      <c r="E1857" s="5">
        <v>95.7</v>
      </c>
      <c r="F1857" s="5">
        <v>194.1</v>
      </c>
      <c r="G1857" s="5">
        <v>97</v>
      </c>
      <c r="H1857" s="5">
        <v>97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95.5</v>
      </c>
      <c r="D1858" s="5">
        <v>0.1</v>
      </c>
      <c r="E1858" s="5">
        <v>95.7</v>
      </c>
      <c r="F1858" s="5">
        <v>194.1</v>
      </c>
      <c r="G1858" s="5">
        <v>97</v>
      </c>
      <c r="H1858" s="5">
        <v>97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99.5</v>
      </c>
      <c r="D1859" s="5">
        <v>0.1</v>
      </c>
      <c r="E1859" s="5">
        <v>99.7</v>
      </c>
      <c r="F1859" s="5">
        <v>200.1</v>
      </c>
      <c r="G1859" s="5">
        <v>99.8</v>
      </c>
      <c r="H1859" s="5">
        <v>99.7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99.5</v>
      </c>
      <c r="D1860" s="5">
        <v>0.1</v>
      </c>
      <c r="E1860" s="5">
        <v>99.7</v>
      </c>
      <c r="F1860" s="5">
        <v>200.1</v>
      </c>
      <c r="G1860" s="5">
        <v>99.8</v>
      </c>
      <c r="H1860" s="5">
        <v>99.7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99.6</v>
      </c>
      <c r="D1861" s="5">
        <v>0.1</v>
      </c>
      <c r="E1861" s="5">
        <v>99.8</v>
      </c>
      <c r="F1861" s="5">
        <v>198.6</v>
      </c>
      <c r="G1861" s="5">
        <v>99.1</v>
      </c>
      <c r="H1861" s="5">
        <v>98.9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99.6</v>
      </c>
      <c r="D1862" s="5">
        <v>0.1</v>
      </c>
      <c r="E1862" s="5">
        <v>99.8</v>
      </c>
      <c r="F1862" s="5">
        <v>198.6</v>
      </c>
      <c r="G1862" s="5">
        <v>99.1</v>
      </c>
      <c r="H1862" s="5">
        <v>98.9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99.8</v>
      </c>
      <c r="D1863" s="5">
        <v>0.1</v>
      </c>
      <c r="E1863" s="5">
        <v>99.9</v>
      </c>
      <c r="F1863" s="5">
        <v>198.7</v>
      </c>
      <c r="G1863" s="5">
        <v>99.1</v>
      </c>
      <c r="H1863" s="5">
        <v>99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99.8</v>
      </c>
      <c r="D1864" s="5">
        <v>0.1</v>
      </c>
      <c r="E1864" s="5">
        <v>99.9</v>
      </c>
      <c r="F1864" s="5">
        <v>198.7</v>
      </c>
      <c r="G1864" s="5">
        <v>99.1</v>
      </c>
      <c r="H1864" s="5">
        <v>99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99.8</v>
      </c>
      <c r="D1865" s="5">
        <v>0.1</v>
      </c>
      <c r="E1865" s="5">
        <v>99.9</v>
      </c>
      <c r="F1865" s="5">
        <v>198.7</v>
      </c>
      <c r="G1865" s="5">
        <v>99.1</v>
      </c>
      <c r="H1865" s="5">
        <v>99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99.8</v>
      </c>
      <c r="D1866" s="5">
        <v>0.1</v>
      </c>
      <c r="E1866" s="5">
        <v>99.9</v>
      </c>
      <c r="F1866" s="5">
        <v>198.7</v>
      </c>
      <c r="G1866" s="5">
        <v>99.1</v>
      </c>
      <c r="H1866" s="5">
        <v>99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96</v>
      </c>
      <c r="D1867" s="5">
        <v>0.1</v>
      </c>
      <c r="E1867" s="5">
        <v>96.2</v>
      </c>
      <c r="F1867" s="5">
        <v>194.9</v>
      </c>
      <c r="G1867" s="5">
        <v>97</v>
      </c>
      <c r="H1867" s="5">
        <v>96.6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96</v>
      </c>
      <c r="D1868" s="5">
        <v>0.1</v>
      </c>
      <c r="E1868" s="5">
        <v>96.2</v>
      </c>
      <c r="F1868" s="5">
        <v>194.9</v>
      </c>
      <c r="G1868" s="5">
        <v>97</v>
      </c>
      <c r="H1868" s="5">
        <v>96.6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100.6</v>
      </c>
      <c r="D1869" s="5">
        <v>0.1</v>
      </c>
      <c r="E1869" s="5">
        <v>100.8</v>
      </c>
      <c r="F1869" s="5">
        <v>201.2</v>
      </c>
      <c r="G1869" s="5">
        <v>100.4</v>
      </c>
      <c r="H1869" s="5">
        <v>100.3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100.6</v>
      </c>
      <c r="D1870" s="5">
        <v>0.1</v>
      </c>
      <c r="E1870" s="5">
        <v>100.8</v>
      </c>
      <c r="F1870" s="5">
        <v>201.2</v>
      </c>
      <c r="G1870" s="5">
        <v>100.4</v>
      </c>
      <c r="H1870" s="5">
        <v>100.3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87.5</v>
      </c>
      <c r="D1871" s="5">
        <v>0.1</v>
      </c>
      <c r="E1871" s="5">
        <v>87.7</v>
      </c>
      <c r="F1871" s="5">
        <v>176.7</v>
      </c>
      <c r="G1871" s="5">
        <v>87.9</v>
      </c>
      <c r="H1871" s="5">
        <v>87.6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87.5</v>
      </c>
      <c r="D1872" s="5">
        <v>0.1</v>
      </c>
      <c r="E1872" s="5">
        <v>87.7</v>
      </c>
      <c r="F1872" s="5">
        <v>176.7</v>
      </c>
      <c r="G1872" s="5">
        <v>87.9</v>
      </c>
      <c r="H1872" s="5">
        <v>87.6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92.5</v>
      </c>
      <c r="D1873" s="5">
        <v>0.1</v>
      </c>
      <c r="E1873" s="5">
        <v>92.7</v>
      </c>
      <c r="F1873" s="5">
        <v>183</v>
      </c>
      <c r="G1873" s="5">
        <v>91.4</v>
      </c>
      <c r="H1873" s="5">
        <v>91.3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92.5</v>
      </c>
      <c r="D1874" s="5">
        <v>0.1</v>
      </c>
      <c r="E1874" s="5">
        <v>92.7</v>
      </c>
      <c r="F1874" s="5">
        <v>183</v>
      </c>
      <c r="G1874" s="5">
        <v>91.4</v>
      </c>
      <c r="H1874" s="5">
        <v>91.3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92.5</v>
      </c>
      <c r="D1875" s="5">
        <v>0.1</v>
      </c>
      <c r="E1875" s="5">
        <v>92.7</v>
      </c>
      <c r="F1875" s="5">
        <v>183</v>
      </c>
      <c r="G1875" s="5">
        <v>91.4</v>
      </c>
      <c r="H1875" s="5">
        <v>91.3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92.5</v>
      </c>
      <c r="D1876" s="5">
        <v>0.1</v>
      </c>
      <c r="E1876" s="5">
        <v>92.7</v>
      </c>
      <c r="F1876" s="5">
        <v>183</v>
      </c>
      <c r="G1876" s="5">
        <v>91.4</v>
      </c>
      <c r="H1876" s="5">
        <v>91.3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97.6</v>
      </c>
      <c r="D1877" s="5">
        <v>0.1</v>
      </c>
      <c r="E1877" s="5">
        <v>97.7</v>
      </c>
      <c r="F1877" s="5">
        <v>184.2</v>
      </c>
      <c r="G1877" s="5">
        <v>92.2</v>
      </c>
      <c r="H1877" s="5">
        <v>92.5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97.6</v>
      </c>
      <c r="D1878" s="5">
        <v>0.1</v>
      </c>
      <c r="E1878" s="5">
        <v>97.7</v>
      </c>
      <c r="F1878" s="5">
        <v>184.2</v>
      </c>
      <c r="G1878" s="5">
        <v>92.2</v>
      </c>
      <c r="H1878" s="5">
        <v>92.5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95</v>
      </c>
      <c r="D1879" s="5">
        <v>0.1</v>
      </c>
      <c r="E1879" s="5">
        <v>95.1</v>
      </c>
      <c r="F1879" s="5">
        <v>184.5</v>
      </c>
      <c r="G1879" s="5">
        <v>91.9</v>
      </c>
      <c r="H1879" s="5">
        <v>91.5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95</v>
      </c>
      <c r="D1880" s="5">
        <v>0.1</v>
      </c>
      <c r="E1880" s="5">
        <v>95.1</v>
      </c>
      <c r="F1880" s="5">
        <v>184.5</v>
      </c>
      <c r="G1880" s="5">
        <v>91.9</v>
      </c>
      <c r="H1880" s="5">
        <v>91.5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94.8</v>
      </c>
      <c r="D1881" s="5">
        <v>0.1</v>
      </c>
      <c r="E1881" s="5">
        <v>94.9</v>
      </c>
      <c r="F1881" s="5">
        <v>169.8</v>
      </c>
      <c r="G1881" s="5">
        <v>84.9</v>
      </c>
      <c r="H1881" s="5">
        <v>85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94.8</v>
      </c>
      <c r="D1882" s="5">
        <v>0.1</v>
      </c>
      <c r="E1882" s="5">
        <v>94.9</v>
      </c>
      <c r="F1882" s="5">
        <v>169.8</v>
      </c>
      <c r="G1882" s="5">
        <v>84.9</v>
      </c>
      <c r="H1882" s="5">
        <v>85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83.6</v>
      </c>
      <c r="D1883" s="5">
        <v>0.1</v>
      </c>
      <c r="E1883" s="5">
        <v>83.7</v>
      </c>
      <c r="F1883" s="5">
        <v>189.6</v>
      </c>
      <c r="G1883" s="5">
        <v>94.3</v>
      </c>
      <c r="H1883" s="5">
        <v>93.8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83.6</v>
      </c>
      <c r="D1884" s="5">
        <v>0.1</v>
      </c>
      <c r="E1884" s="5">
        <v>83.7</v>
      </c>
      <c r="F1884" s="5">
        <v>189.6</v>
      </c>
      <c r="G1884" s="5">
        <v>94.3</v>
      </c>
      <c r="H1884" s="5">
        <v>93.8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83.6</v>
      </c>
      <c r="D1885" s="5">
        <v>0.1</v>
      </c>
      <c r="E1885" s="5">
        <v>83.7</v>
      </c>
      <c r="F1885" s="5">
        <v>189.6</v>
      </c>
      <c r="G1885" s="5">
        <v>94.3</v>
      </c>
      <c r="H1885" s="5">
        <v>93.8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91.2</v>
      </c>
      <c r="D1886" s="5">
        <v>0.1</v>
      </c>
      <c r="E1886" s="5">
        <v>91.3</v>
      </c>
      <c r="F1886" s="5">
        <v>185.1</v>
      </c>
      <c r="G1886" s="5">
        <v>92.2</v>
      </c>
      <c r="H1886" s="5">
        <v>91.9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91.2</v>
      </c>
      <c r="D1887" s="5">
        <v>0.1</v>
      </c>
      <c r="E1887" s="5">
        <v>91.3</v>
      </c>
      <c r="F1887" s="5">
        <v>185.1</v>
      </c>
      <c r="G1887" s="5">
        <v>92.2</v>
      </c>
      <c r="H1887" s="5">
        <v>91.9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99.5</v>
      </c>
      <c r="D1888" s="5">
        <v>0.1</v>
      </c>
      <c r="E1888" s="5">
        <v>99.5</v>
      </c>
      <c r="F1888" s="5">
        <v>191.6</v>
      </c>
      <c r="G1888" s="5">
        <v>96</v>
      </c>
      <c r="H1888" s="5">
        <v>96.2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99.5</v>
      </c>
      <c r="D1889" s="5">
        <v>0.1</v>
      </c>
      <c r="E1889" s="5">
        <v>99.5</v>
      </c>
      <c r="F1889" s="5">
        <v>191.6</v>
      </c>
      <c r="G1889" s="5">
        <v>96</v>
      </c>
      <c r="H1889" s="5">
        <v>96.2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99.5</v>
      </c>
      <c r="D1890" s="5">
        <v>0.1</v>
      </c>
      <c r="E1890" s="5">
        <v>86.4</v>
      </c>
      <c r="F1890" s="5">
        <v>180.3</v>
      </c>
      <c r="G1890" s="5">
        <v>89.8</v>
      </c>
      <c r="H1890" s="5">
        <v>89.5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86.2</v>
      </c>
      <c r="D1891" s="5">
        <v>0.1</v>
      </c>
      <c r="E1891" s="5">
        <v>86.4</v>
      </c>
      <c r="F1891" s="5">
        <v>180.3</v>
      </c>
      <c r="G1891" s="5">
        <v>89.8</v>
      </c>
      <c r="H1891" s="5">
        <v>89.5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86.2</v>
      </c>
      <c r="D1892" s="5">
        <v>0.1</v>
      </c>
      <c r="E1892" s="5">
        <v>94.8</v>
      </c>
      <c r="F1892" s="5">
        <v>188.9</v>
      </c>
      <c r="G1892" s="5">
        <v>94.2</v>
      </c>
      <c r="H1892" s="5">
        <v>94.1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94.7</v>
      </c>
      <c r="D1893" s="5">
        <v>0.1</v>
      </c>
      <c r="E1893" s="5">
        <v>94.8</v>
      </c>
      <c r="F1893" s="5">
        <v>188.9</v>
      </c>
      <c r="G1893" s="5">
        <v>94.2</v>
      </c>
      <c r="H1893" s="5">
        <v>94.1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94.7</v>
      </c>
      <c r="D1894" s="5">
        <v>0.1</v>
      </c>
      <c r="E1894" s="5">
        <v>94.8</v>
      </c>
      <c r="F1894" s="5">
        <v>188.9</v>
      </c>
      <c r="G1894" s="5">
        <v>94.2</v>
      </c>
      <c r="H1894" s="5">
        <v>94.1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94.7</v>
      </c>
      <c r="D1895" s="5">
        <v>0.1</v>
      </c>
      <c r="E1895" s="5">
        <v>94.8</v>
      </c>
      <c r="F1895" s="5">
        <v>188.9</v>
      </c>
      <c r="G1895" s="5">
        <v>94.2</v>
      </c>
      <c r="H1895" s="5">
        <v>94.1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91.4</v>
      </c>
      <c r="D1896" s="5">
        <v>0.1</v>
      </c>
      <c r="E1896" s="5">
        <v>94.8</v>
      </c>
      <c r="F1896" s="5">
        <v>188.9</v>
      </c>
      <c r="G1896" s="5">
        <v>94.2</v>
      </c>
      <c r="H1896" s="5">
        <v>94.1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91.4</v>
      </c>
      <c r="D1897" s="5">
        <v>0.1</v>
      </c>
      <c r="E1897" s="5">
        <v>91.5</v>
      </c>
      <c r="F1897" s="5">
        <v>183.2</v>
      </c>
      <c r="G1897" s="5">
        <v>91.3</v>
      </c>
      <c r="H1897" s="5">
        <v>91.2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100.1</v>
      </c>
      <c r="D1898" s="5">
        <v>0.1</v>
      </c>
      <c r="E1898" s="5">
        <v>91.5</v>
      </c>
      <c r="F1898" s="5">
        <v>183.2</v>
      </c>
      <c r="G1898" s="5">
        <v>91.3</v>
      </c>
      <c r="H1898" s="5">
        <v>91.2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100.1</v>
      </c>
      <c r="D1899" s="5">
        <v>0.1</v>
      </c>
      <c r="E1899" s="5">
        <v>100.2</v>
      </c>
      <c r="F1899" s="5">
        <v>187.6</v>
      </c>
      <c r="G1899" s="5">
        <v>93.5</v>
      </c>
      <c r="H1899" s="5">
        <v>93.4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100.1</v>
      </c>
      <c r="D1900" s="5">
        <v>0.1</v>
      </c>
      <c r="E1900" s="5">
        <v>100.2</v>
      </c>
      <c r="F1900" s="5">
        <v>187.6</v>
      </c>
      <c r="G1900" s="5">
        <v>93.5</v>
      </c>
      <c r="H1900" s="5">
        <v>93.4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92.9</v>
      </c>
      <c r="D1901" s="5">
        <v>0.1</v>
      </c>
      <c r="E1901" s="5">
        <v>93</v>
      </c>
      <c r="F1901" s="5">
        <v>186.4</v>
      </c>
      <c r="G1901" s="5">
        <v>92.9</v>
      </c>
      <c r="H1901" s="5">
        <v>92.8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92.9</v>
      </c>
      <c r="D1902" s="5">
        <v>0.1</v>
      </c>
      <c r="E1902" s="5">
        <v>93</v>
      </c>
      <c r="F1902" s="5">
        <v>186.4</v>
      </c>
      <c r="G1902" s="5">
        <v>92.9</v>
      </c>
      <c r="H1902" s="5">
        <v>92.8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92.2</v>
      </c>
      <c r="D1903" s="5">
        <v>0.1</v>
      </c>
      <c r="E1903" s="5">
        <v>92.3</v>
      </c>
      <c r="F1903" s="5">
        <v>179</v>
      </c>
      <c r="G1903" s="5">
        <v>89.3</v>
      </c>
      <c r="H1903" s="5">
        <v>89.2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92.2</v>
      </c>
      <c r="D1904" s="5">
        <v>0.1</v>
      </c>
      <c r="E1904" s="5">
        <v>92.3</v>
      </c>
      <c r="F1904" s="5">
        <v>179</v>
      </c>
      <c r="G1904" s="5">
        <v>89.3</v>
      </c>
      <c r="H1904" s="5">
        <v>89.2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92.2</v>
      </c>
      <c r="D1905" s="5">
        <v>0.1</v>
      </c>
      <c r="E1905" s="5">
        <v>92.3</v>
      </c>
      <c r="F1905" s="5">
        <v>179</v>
      </c>
      <c r="G1905" s="5">
        <v>89.3</v>
      </c>
      <c r="H1905" s="5">
        <v>89.2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92.2</v>
      </c>
      <c r="D1906" s="5">
        <v>0.1</v>
      </c>
      <c r="E1906" s="5">
        <v>92.3</v>
      </c>
      <c r="F1906" s="5">
        <v>179</v>
      </c>
      <c r="G1906" s="5">
        <v>89.3</v>
      </c>
      <c r="H1906" s="5">
        <v>89.2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97.6</v>
      </c>
      <c r="D1907" s="5">
        <v>0.1</v>
      </c>
      <c r="E1907" s="5">
        <v>97.8</v>
      </c>
      <c r="F1907" s="5">
        <v>190.3</v>
      </c>
      <c r="G1907" s="5">
        <v>95</v>
      </c>
      <c r="H1907" s="5">
        <v>94.9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97.6</v>
      </c>
      <c r="D1908" s="5">
        <v>0.1</v>
      </c>
      <c r="E1908" s="5">
        <v>97.8</v>
      </c>
      <c r="F1908" s="5">
        <v>190.3</v>
      </c>
      <c r="G1908" s="5">
        <v>95</v>
      </c>
      <c r="H1908" s="5">
        <v>94.9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95.6</v>
      </c>
      <c r="D1909" s="5">
        <v>0.1</v>
      </c>
      <c r="E1909" s="5">
        <v>95.7</v>
      </c>
      <c r="F1909" s="5">
        <v>194.5</v>
      </c>
      <c r="G1909" s="5">
        <v>96.9</v>
      </c>
      <c r="H1909" s="5">
        <v>96.5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95.6</v>
      </c>
      <c r="D1910" s="5">
        <v>0.1</v>
      </c>
      <c r="E1910" s="5">
        <v>95.7</v>
      </c>
      <c r="F1910" s="5">
        <v>194.5</v>
      </c>
      <c r="G1910" s="5">
        <v>96.9</v>
      </c>
      <c r="H1910" s="5">
        <v>96.5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95.1</v>
      </c>
      <c r="D1911" s="5">
        <v>0.1</v>
      </c>
      <c r="E1911" s="5">
        <v>95.2</v>
      </c>
      <c r="F1911" s="5">
        <v>189.7</v>
      </c>
      <c r="G1911" s="5">
        <v>94.6</v>
      </c>
      <c r="H1911" s="5">
        <v>94.5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95.1</v>
      </c>
      <c r="D1912" s="5">
        <v>0.1</v>
      </c>
      <c r="E1912" s="5">
        <v>95.2</v>
      </c>
      <c r="F1912" s="5">
        <v>189.7</v>
      </c>
      <c r="G1912" s="5">
        <v>94.6</v>
      </c>
      <c r="H1912" s="5">
        <v>94.5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97.1</v>
      </c>
      <c r="D1913" s="5">
        <v>0.1</v>
      </c>
      <c r="E1913" s="5">
        <v>97.3</v>
      </c>
      <c r="F1913" s="5">
        <v>199.4</v>
      </c>
      <c r="G1913" s="5">
        <v>99.5</v>
      </c>
      <c r="H1913" s="5">
        <v>99.3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97.1</v>
      </c>
      <c r="D1914" s="5">
        <v>0.1</v>
      </c>
      <c r="E1914" s="5">
        <v>97.3</v>
      </c>
      <c r="F1914" s="5">
        <v>199.4</v>
      </c>
      <c r="G1914" s="5">
        <v>99.5</v>
      </c>
      <c r="H1914" s="5">
        <v>99.3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97.1</v>
      </c>
      <c r="D1915" s="5">
        <v>0.1</v>
      </c>
      <c r="E1915" s="5">
        <v>97.3</v>
      </c>
      <c r="F1915" s="5">
        <v>199.4</v>
      </c>
      <c r="G1915" s="5">
        <v>99.5</v>
      </c>
      <c r="H1915" s="5">
        <v>99.3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97.1</v>
      </c>
      <c r="D1916" s="5">
        <v>0.1</v>
      </c>
      <c r="E1916" s="5">
        <v>97.3</v>
      </c>
      <c r="F1916" s="5">
        <v>199.4</v>
      </c>
      <c r="G1916" s="5">
        <v>85.5</v>
      </c>
      <c r="H1916" s="5">
        <v>85.5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85.2</v>
      </c>
      <c r="D1917" s="5">
        <v>0.1</v>
      </c>
      <c r="E1917" s="5">
        <v>85.3</v>
      </c>
      <c r="F1917" s="5">
        <v>171.1</v>
      </c>
      <c r="G1917" s="5">
        <v>85.5</v>
      </c>
      <c r="H1917" s="5">
        <v>85.5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85.2</v>
      </c>
      <c r="D1918" s="5">
        <v>0.1</v>
      </c>
      <c r="E1918" s="5">
        <v>85.3</v>
      </c>
      <c r="F1918" s="5">
        <v>171.1</v>
      </c>
      <c r="G1918" s="5">
        <v>85.5</v>
      </c>
      <c r="H1918" s="5">
        <v>82.8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83</v>
      </c>
      <c r="D1919" s="5">
        <v>0.1</v>
      </c>
      <c r="E1919" s="5">
        <v>83.1</v>
      </c>
      <c r="F1919" s="5">
        <v>166.3</v>
      </c>
      <c r="G1919" s="5">
        <v>82.9</v>
      </c>
      <c r="H1919" s="5">
        <v>82.8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83</v>
      </c>
      <c r="D1920" s="5">
        <v>0.1</v>
      </c>
      <c r="E1920" s="5">
        <v>83.1</v>
      </c>
      <c r="F1920" s="5">
        <v>166.3</v>
      </c>
      <c r="G1920" s="5">
        <v>82.9</v>
      </c>
      <c r="H1920" s="5">
        <v>82.8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99.1</v>
      </c>
      <c r="D1921" s="5">
        <v>0.1</v>
      </c>
      <c r="E1921" s="5">
        <v>99.2</v>
      </c>
      <c r="F1921" s="5">
        <v>179.2</v>
      </c>
      <c r="G1921" s="5">
        <v>89.7</v>
      </c>
      <c r="H1921" s="5">
        <v>90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99.1</v>
      </c>
      <c r="D1922" s="5">
        <v>0.1</v>
      </c>
      <c r="E1922" s="5">
        <v>99.2</v>
      </c>
      <c r="F1922" s="5">
        <v>179.2</v>
      </c>
      <c r="G1922" s="5">
        <v>89.7</v>
      </c>
      <c r="H1922" s="5">
        <v>90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84.9</v>
      </c>
      <c r="D1923" s="5">
        <v>0</v>
      </c>
      <c r="E1923" s="5">
        <v>85</v>
      </c>
      <c r="F1923" s="5">
        <v>177</v>
      </c>
      <c r="G1923" s="5">
        <v>87.9</v>
      </c>
      <c r="H1923" s="5">
        <v>87.5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84.9</v>
      </c>
      <c r="D1924" s="5">
        <v>0</v>
      </c>
      <c r="E1924" s="5">
        <v>85</v>
      </c>
      <c r="F1924" s="5">
        <v>177</v>
      </c>
      <c r="G1924" s="5">
        <v>87.9</v>
      </c>
      <c r="H1924" s="5">
        <v>87.5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84.9</v>
      </c>
      <c r="D1925" s="5">
        <v>0</v>
      </c>
      <c r="E1925" s="5">
        <v>85</v>
      </c>
      <c r="F1925" s="5">
        <v>177</v>
      </c>
      <c r="G1925" s="5">
        <v>87.9</v>
      </c>
      <c r="H1925" s="5">
        <v>87.5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91.3</v>
      </c>
      <c r="D1926" s="5">
        <v>0.1</v>
      </c>
      <c r="E1926" s="5">
        <v>91.3</v>
      </c>
      <c r="F1926" s="5">
        <v>183.8</v>
      </c>
      <c r="G1926" s="5">
        <v>91.6</v>
      </c>
      <c r="H1926" s="5">
        <v>91.2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91.3</v>
      </c>
      <c r="D1927" s="5">
        <v>0.1</v>
      </c>
      <c r="E1927" s="5">
        <v>91.3</v>
      </c>
      <c r="F1927" s="5">
        <v>183.8</v>
      </c>
      <c r="G1927" s="5">
        <v>91.6</v>
      </c>
      <c r="H1927" s="5">
        <v>91.2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87.1</v>
      </c>
      <c r="D1928" s="5">
        <v>0.1</v>
      </c>
      <c r="E1928" s="5">
        <v>87.1</v>
      </c>
      <c r="F1928" s="5">
        <v>181.4</v>
      </c>
      <c r="G1928" s="5">
        <v>90.1</v>
      </c>
      <c r="H1928" s="5">
        <v>89.6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87.1</v>
      </c>
      <c r="D1929" s="5">
        <v>0.1</v>
      </c>
      <c r="E1929" s="5">
        <v>87.1</v>
      </c>
      <c r="F1929" s="5">
        <v>181.4</v>
      </c>
      <c r="G1929" s="5">
        <v>90.1</v>
      </c>
      <c r="H1929" s="5">
        <v>89.6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85.2</v>
      </c>
      <c r="D1930" s="5">
        <v>0.1</v>
      </c>
      <c r="E1930" s="5">
        <v>85.4</v>
      </c>
      <c r="F1930" s="5">
        <v>170.1</v>
      </c>
      <c r="G1930" s="5">
        <v>84.8</v>
      </c>
      <c r="H1930" s="5">
        <v>84.6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85.2</v>
      </c>
      <c r="D1931" s="5">
        <v>0.1</v>
      </c>
      <c r="E1931" s="5">
        <v>85.4</v>
      </c>
      <c r="F1931" s="5">
        <v>170.1</v>
      </c>
      <c r="G1931" s="5">
        <v>84.8</v>
      </c>
      <c r="H1931" s="5">
        <v>84.6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85.2</v>
      </c>
      <c r="D1932" s="5">
        <v>0.1</v>
      </c>
      <c r="E1932" s="5">
        <v>88.1</v>
      </c>
      <c r="F1932" s="5">
        <v>179.1</v>
      </c>
      <c r="G1932" s="5">
        <v>89.1</v>
      </c>
      <c r="H1932" s="5">
        <v>88.7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87.9</v>
      </c>
      <c r="D1933" s="5">
        <v>0.1</v>
      </c>
      <c r="E1933" s="5">
        <v>88.1</v>
      </c>
      <c r="F1933" s="5">
        <v>179.1</v>
      </c>
      <c r="G1933" s="5">
        <v>89.1</v>
      </c>
      <c r="H1933" s="5">
        <v>88.7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87.9</v>
      </c>
      <c r="D1934" s="5">
        <v>0.1</v>
      </c>
      <c r="E1934" s="5">
        <v>88.1</v>
      </c>
      <c r="F1934" s="5">
        <v>179.1</v>
      </c>
      <c r="G1934" s="5">
        <v>89.1</v>
      </c>
      <c r="H1934" s="5">
        <v>88.7</v>
      </c>
      <c r="I1934" s="5">
        <v>0</v>
      </c>
      <c r="J1934" s="5">
        <v>0</v>
      </c>
      <c r="K1934" s="5">
        <v>0</v>
      </c>
    </row>
    <row r="1935" spans="1:11" x14ac:dyDescent="0.25">
      <c r="A1935" s="5">
        <f>1928</f>
      </c>
      <c r="B1935" s="5" t="s">
        <v>1943</v>
      </c>
      <c r="C1935" s="5">
        <v>87.9</v>
      </c>
      <c r="D1935" s="5">
        <v>0.1</v>
      </c>
      <c r="E1935" s="5">
        <v>88.1</v>
      </c>
      <c r="F1935" s="5">
        <v>179.1</v>
      </c>
      <c r="G1935" s="5">
        <v>89.1</v>
      </c>
      <c r="H1935" s="5">
        <v>88.7</v>
      </c>
      <c r="I1935" s="5">
        <v>0</v>
      </c>
      <c r="J1935" s="5">
        <v>0</v>
      </c>
      <c r="K1935" s="5">
        <v>0</v>
      </c>
    </row>
    <row r="1936" spans="1:11" x14ac:dyDescent="0.25">
      <c r="A1936" s="5">
        <f>1929</f>
      </c>
      <c r="B1936" s="5" t="s">
        <v>1944</v>
      </c>
      <c r="C1936" s="5">
        <v>92.8</v>
      </c>
      <c r="D1936" s="5">
        <v>0.1</v>
      </c>
      <c r="E1936" s="5">
        <v>92.9</v>
      </c>
      <c r="F1936" s="5">
        <v>181.6</v>
      </c>
      <c r="G1936" s="5">
        <v>89.7</v>
      </c>
      <c r="H1936" s="5">
        <v>89.6</v>
      </c>
      <c r="I1936" s="5">
        <v>0</v>
      </c>
      <c r="J1936" s="5">
        <v>0</v>
      </c>
      <c r="K1936" s="5">
        <v>0</v>
      </c>
    </row>
    <row r="1937" spans="1:11" x14ac:dyDescent="0.25">
      <c r="A1937" s="5">
        <f>1930</f>
      </c>
      <c r="B1937" s="5" t="s">
        <v>1945</v>
      </c>
      <c r="C1937" s="5">
        <v>92.8</v>
      </c>
      <c r="D1937" s="5">
        <v>0.1</v>
      </c>
      <c r="E1937" s="5">
        <v>92.9</v>
      </c>
      <c r="F1937" s="5">
        <v>181.6</v>
      </c>
      <c r="G1937" s="5">
        <v>89.7</v>
      </c>
      <c r="H1937" s="5">
        <v>89.6</v>
      </c>
      <c r="I1937" s="5">
        <v>0</v>
      </c>
      <c r="J1937" s="5">
        <v>0</v>
      </c>
      <c r="K1937" s="5">
        <v>0</v>
      </c>
    </row>
    <row r="1938" spans="1:11" x14ac:dyDescent="0.25">
      <c r="A1938" s="5">
        <f>1931</f>
      </c>
      <c r="B1938" s="5" t="s">
        <v>1946</v>
      </c>
      <c r="C1938" s="5">
        <v>90.2</v>
      </c>
      <c r="D1938" s="5">
        <v>0.1</v>
      </c>
      <c r="E1938" s="5">
        <v>90.3</v>
      </c>
      <c r="F1938" s="5">
        <v>179.1</v>
      </c>
      <c r="G1938" s="5">
        <v>87.9</v>
      </c>
      <c r="H1938" s="5">
        <v>87.7</v>
      </c>
      <c r="I1938" s="5">
        <v>0</v>
      </c>
      <c r="J1938" s="5">
        <v>0</v>
      </c>
      <c r="K1938" s="5">
        <v>0</v>
      </c>
    </row>
    <row r="1939" spans="1:11" x14ac:dyDescent="0.25">
      <c r="A1939" s="5">
        <f>1932</f>
      </c>
      <c r="B1939" s="5" t="s">
        <v>1947</v>
      </c>
      <c r="C1939" s="5">
        <v>90.2</v>
      </c>
      <c r="D1939" s="5">
        <v>0.1</v>
      </c>
      <c r="E1939" s="5">
        <v>90.3</v>
      </c>
      <c r="F1939" s="5">
        <v>179.1</v>
      </c>
      <c r="G1939" s="5">
        <v>87.9</v>
      </c>
      <c r="H1939" s="5">
        <v>87.7</v>
      </c>
      <c r="I1939" s="5">
        <v>0</v>
      </c>
      <c r="J1939" s="5">
        <v>0</v>
      </c>
      <c r="K1939" s="5">
        <v>0</v>
      </c>
    </row>
    <row r="1940" spans="1:11" x14ac:dyDescent="0.25">
      <c r="A1940" s="5">
        <f>1933</f>
      </c>
      <c r="B1940" s="5" t="s">
        <v>1948</v>
      </c>
      <c r="C1940" s="5">
        <v>98.6</v>
      </c>
      <c r="D1940" s="5">
        <v>0.1</v>
      </c>
      <c r="E1940" s="5">
        <v>98.7</v>
      </c>
      <c r="F1940" s="5">
        <v>192.6</v>
      </c>
      <c r="G1940" s="5">
        <v>95.1</v>
      </c>
      <c r="H1940" s="5">
        <v>95.2</v>
      </c>
      <c r="I1940" s="5">
        <v>0</v>
      </c>
      <c r="J1940" s="5">
        <v>0</v>
      </c>
      <c r="K1940" s="5">
        <v>0</v>
      </c>
    </row>
    <row r="1941" spans="1:11" x14ac:dyDescent="0.25">
      <c r="A1941" s="5">
        <f>1934</f>
      </c>
      <c r="B1941" s="5" t="s">
        <v>1949</v>
      </c>
      <c r="C1941" s="5">
        <v>98.6</v>
      </c>
      <c r="D1941" s="5">
        <v>0.1</v>
      </c>
      <c r="E1941" s="5">
        <v>98.7</v>
      </c>
      <c r="F1941" s="5">
        <v>192.6</v>
      </c>
      <c r="G1941" s="5">
        <v>95.1</v>
      </c>
      <c r="H1941" s="5">
        <v>95.2</v>
      </c>
      <c r="I1941" s="5">
        <v>0</v>
      </c>
      <c r="J1941" s="5">
        <v>0</v>
      </c>
      <c r="K1941" s="5">
        <v>0</v>
      </c>
    </row>
    <row r="1942" spans="1:11" x14ac:dyDescent="0.25">
      <c r="A1942" s="5">
        <f>1935</f>
      </c>
      <c r="B1942" s="5" t="s">
        <v>1950</v>
      </c>
      <c r="C1942" s="5">
        <v>92.3</v>
      </c>
      <c r="D1942" s="5">
        <v>0.1</v>
      </c>
      <c r="E1942" s="5">
        <v>92.5</v>
      </c>
      <c r="F1942" s="5">
        <v>184.9</v>
      </c>
      <c r="G1942" s="5">
        <v>90.6</v>
      </c>
      <c r="H1942" s="5">
        <v>90.5</v>
      </c>
      <c r="I1942" s="5">
        <v>0</v>
      </c>
      <c r="J1942" s="5">
        <v>0</v>
      </c>
      <c r="K1942" s="5">
        <v>0</v>
      </c>
    </row>
    <row r="1943" spans="1:11" x14ac:dyDescent="0.25">
      <c r="A1943" s="5">
        <f>1936</f>
      </c>
      <c r="B1943" s="5" t="s">
        <v>1951</v>
      </c>
      <c r="C1943" s="5">
        <v>92.3</v>
      </c>
      <c r="D1943" s="5">
        <v>0.1</v>
      </c>
      <c r="E1943" s="5">
        <v>92.5</v>
      </c>
      <c r="F1943" s="5">
        <v>184.9</v>
      </c>
      <c r="G1943" s="5">
        <v>90.6</v>
      </c>
      <c r="H1943" s="5">
        <v>90.5</v>
      </c>
      <c r="I1943" s="5">
        <v>0</v>
      </c>
      <c r="J1943" s="5">
        <v>0</v>
      </c>
      <c r="K1943" s="5">
        <v>0</v>
      </c>
    </row>
    <row r="1944" spans="1:11" x14ac:dyDescent="0.25">
      <c r="A1944" s="5">
        <f>1937</f>
      </c>
      <c r="B1944" s="5" t="s">
        <v>1952</v>
      </c>
      <c r="C1944" s="5">
        <v>92.3</v>
      </c>
      <c r="D1944" s="5">
        <v>0.1</v>
      </c>
      <c r="E1944" s="5">
        <v>92.5</v>
      </c>
      <c r="F1944" s="5">
        <v>184.9</v>
      </c>
      <c r="G1944" s="5">
        <v>90.6</v>
      </c>
      <c r="H1944" s="5">
        <v>90.5</v>
      </c>
      <c r="I1944" s="5">
        <v>0</v>
      </c>
      <c r="J1944" s="5">
        <v>0</v>
      </c>
      <c r="K1944" s="5">
        <v>0</v>
      </c>
    </row>
    <row r="1945" spans="1:11" x14ac:dyDescent="0.25">
      <c r="A1945" s="5">
        <f>1938</f>
      </c>
      <c r="B1945" s="5" t="s">
        <v>1953</v>
      </c>
      <c r="C1945" s="5">
        <v>92.3</v>
      </c>
      <c r="D1945" s="5">
        <v>0.1</v>
      </c>
      <c r="E1945" s="5">
        <v>92.5</v>
      </c>
      <c r="F1945" s="5">
        <v>184.9</v>
      </c>
      <c r="G1945" s="5">
        <v>90.6</v>
      </c>
      <c r="H1945" s="5">
        <v>90.5</v>
      </c>
      <c r="I1945" s="5">
        <v>0</v>
      </c>
      <c r="J1945" s="5">
        <v>0</v>
      </c>
      <c r="K1945" s="5">
        <v>0</v>
      </c>
    </row>
    <row r="1946" spans="1:11" x14ac:dyDescent="0.25">
      <c r="A1946" s="5">
        <f>1939</f>
      </c>
      <c r="B1946" s="5" t="s">
        <v>1954</v>
      </c>
      <c r="C1946" s="5">
        <v>97.6</v>
      </c>
      <c r="D1946" s="5">
        <v>0.1</v>
      </c>
      <c r="E1946" s="5">
        <v>97.7</v>
      </c>
      <c r="F1946" s="5">
        <v>194.8</v>
      </c>
      <c r="G1946" s="5">
        <v>97.2</v>
      </c>
      <c r="H1946" s="5">
        <v>97</v>
      </c>
      <c r="I1946" s="5">
        <v>0</v>
      </c>
      <c r="J1946" s="5">
        <v>0</v>
      </c>
      <c r="K1946" s="5">
        <v>0</v>
      </c>
    </row>
    <row r="1947" spans="1:11" x14ac:dyDescent="0.25">
      <c r="A1947" s="5">
        <f>1940</f>
      </c>
      <c r="B1947" s="5" t="s">
        <v>1955</v>
      </c>
      <c r="C1947" s="5">
        <v>97.6</v>
      </c>
      <c r="D1947" s="5">
        <v>0.1</v>
      </c>
      <c r="E1947" s="5">
        <v>97.7</v>
      </c>
      <c r="F1947" s="5">
        <v>194.8</v>
      </c>
      <c r="G1947" s="5">
        <v>97.2</v>
      </c>
      <c r="H1947" s="5">
        <v>97</v>
      </c>
      <c r="I1947" s="5">
        <v>0</v>
      </c>
      <c r="J1947" s="5">
        <v>0</v>
      </c>
      <c r="K1947" s="5">
        <v>0</v>
      </c>
    </row>
    <row r="1948" spans="1:11" x14ac:dyDescent="0.25">
      <c r="A1948" s="5">
        <f>1941</f>
      </c>
      <c r="B1948" s="5" t="s">
        <v>1956</v>
      </c>
      <c r="C1948" s="5">
        <v>95.4</v>
      </c>
      <c r="D1948" s="5">
        <v>0.1</v>
      </c>
      <c r="E1948" s="5">
        <v>95.6</v>
      </c>
      <c r="F1948" s="5">
        <v>188.8</v>
      </c>
      <c r="G1948" s="5">
        <v>94.3</v>
      </c>
      <c r="H1948" s="5">
        <v>94.1</v>
      </c>
      <c r="I1948" s="5">
        <v>0</v>
      </c>
      <c r="J1948" s="5">
        <v>0</v>
      </c>
      <c r="K1948" s="5">
        <v>0</v>
      </c>
    </row>
    <row r="1949" spans="1:11" x14ac:dyDescent="0.25">
      <c r="A1949" s="5">
        <f>1942</f>
      </c>
      <c r="B1949" s="5" t="s">
        <v>1957</v>
      </c>
      <c r="C1949" s="5">
        <v>95.4</v>
      </c>
      <c r="D1949" s="5">
        <v>0.1</v>
      </c>
      <c r="E1949" s="5">
        <v>95.6</v>
      </c>
      <c r="F1949" s="5">
        <v>188.8</v>
      </c>
      <c r="G1949" s="5">
        <v>94.3</v>
      </c>
      <c r="H1949" s="5">
        <v>94.1</v>
      </c>
      <c r="I1949" s="5">
        <v>0</v>
      </c>
      <c r="J1949" s="5">
        <v>0</v>
      </c>
      <c r="K1949" s="5">
        <v>0</v>
      </c>
    </row>
    <row r="1950" spans="1:11" x14ac:dyDescent="0.25">
      <c r="A1950" s="5">
        <f>1943</f>
      </c>
      <c r="B1950" s="5" t="s">
        <v>1958</v>
      </c>
      <c r="C1950" s="5">
        <v>91.6</v>
      </c>
      <c r="D1950" s="5">
        <v>0.1</v>
      </c>
      <c r="E1950" s="5">
        <v>91.7</v>
      </c>
      <c r="F1950" s="5">
        <v>182</v>
      </c>
      <c r="G1950" s="5">
        <v>90.8</v>
      </c>
      <c r="H1950" s="5">
        <v>90.7</v>
      </c>
      <c r="I1950" s="5">
        <v>0</v>
      </c>
      <c r="J1950" s="5">
        <v>0</v>
      </c>
      <c r="K1950" s="5">
        <v>0</v>
      </c>
    </row>
    <row r="1951" spans="1:11" x14ac:dyDescent="0.25">
      <c r="A1951" s="5">
        <f>1944</f>
      </c>
      <c r="B1951" s="5" t="s">
        <v>1959</v>
      </c>
      <c r="C1951" s="5">
        <v>91.6</v>
      </c>
      <c r="D1951" s="5">
        <v>0.1</v>
      </c>
      <c r="E1951" s="5">
        <v>91.7</v>
      </c>
      <c r="F1951" s="5">
        <v>182</v>
      </c>
      <c r="G1951" s="5">
        <v>90.8</v>
      </c>
      <c r="H1951" s="5">
        <v>90.7</v>
      </c>
      <c r="I1951" s="5">
        <v>0</v>
      </c>
      <c r="J1951" s="5">
        <v>0</v>
      </c>
      <c r="K1951" s="5">
        <v>0</v>
      </c>
    </row>
    <row r="1952" spans="1:11" x14ac:dyDescent="0.25">
      <c r="A1952" s="5">
        <f>1945</f>
      </c>
      <c r="B1952" s="5" t="s">
        <v>1960</v>
      </c>
      <c r="C1952" s="5">
        <v>89</v>
      </c>
      <c r="D1952" s="5">
        <v>0.1</v>
      </c>
      <c r="E1952" s="5">
        <v>89.1</v>
      </c>
      <c r="F1952" s="5">
        <v>184.5</v>
      </c>
      <c r="G1952" s="5">
        <v>91.7</v>
      </c>
      <c r="H1952" s="5">
        <v>91.2</v>
      </c>
      <c r="I1952" s="5">
        <v>0</v>
      </c>
      <c r="J1952" s="5">
        <v>0</v>
      </c>
      <c r="K1952" s="5">
        <v>0</v>
      </c>
    </row>
    <row r="1953" spans="1:11" x14ac:dyDescent="0.25">
      <c r="A1953" s="5">
        <f>1946</f>
      </c>
      <c r="B1953" s="5" t="s">
        <v>1961</v>
      </c>
      <c r="C1953" s="5">
        <v>89</v>
      </c>
      <c r="D1953" s="5">
        <v>0.1</v>
      </c>
      <c r="E1953" s="5">
        <v>89.1</v>
      </c>
      <c r="F1953" s="5">
        <v>184.5</v>
      </c>
      <c r="G1953" s="5">
        <v>91.7</v>
      </c>
      <c r="H1953" s="5">
        <v>91.2</v>
      </c>
      <c r="I1953" s="5">
        <v>0</v>
      </c>
      <c r="J1953" s="5">
        <v>0</v>
      </c>
      <c r="K1953" s="5">
        <v>0</v>
      </c>
    </row>
    <row r="1954" spans="1:11" x14ac:dyDescent="0.25">
      <c r="A1954" s="5">
        <f>1947</f>
      </c>
      <c r="B1954" s="5" t="s">
        <v>1962</v>
      </c>
      <c r="C1954" s="5">
        <v>89</v>
      </c>
      <c r="D1954" s="5">
        <v>0.1</v>
      </c>
      <c r="E1954" s="5">
        <v>89.1</v>
      </c>
      <c r="F1954" s="5">
        <v>184.5</v>
      </c>
      <c r="G1954" s="5">
        <v>91.7</v>
      </c>
      <c r="H1954" s="5">
        <v>91.2</v>
      </c>
      <c r="I1954" s="5">
        <v>0</v>
      </c>
      <c r="J1954" s="5">
        <v>0</v>
      </c>
      <c r="K1954" s="5">
        <v>0</v>
      </c>
    </row>
    <row r="1955" spans="1:11" x14ac:dyDescent="0.25">
      <c r="A1955" s="5">
        <f>1948</f>
      </c>
      <c r="B1955" s="5" t="s">
        <v>1963</v>
      </c>
      <c r="C1955" s="5">
        <v>89</v>
      </c>
      <c r="D1955" s="5">
        <v>0.1</v>
      </c>
      <c r="E1955" s="5">
        <v>89.1</v>
      </c>
      <c r="F1955" s="5">
        <v>184.5</v>
      </c>
      <c r="G1955" s="5">
        <v>91.7</v>
      </c>
      <c r="H1955" s="5">
        <v>91.2</v>
      </c>
      <c r="I1955" s="5">
        <v>0</v>
      </c>
      <c r="J1955" s="5">
        <v>0</v>
      </c>
      <c r="K1955" s="5">
        <v>0</v>
      </c>
    </row>
    <row r="1956" spans="1:11" x14ac:dyDescent="0.25">
      <c r="A1956" s="5">
        <f>1949</f>
      </c>
      <c r="B1956" s="5" t="s">
        <v>1964</v>
      </c>
      <c r="C1956" s="5">
        <v>93</v>
      </c>
      <c r="D1956" s="5">
        <v>0.1</v>
      </c>
      <c r="E1956" s="5">
        <v>93.2</v>
      </c>
      <c r="F1956" s="5">
        <v>187.3</v>
      </c>
      <c r="G1956" s="5">
        <v>93.3</v>
      </c>
      <c r="H1956" s="5">
        <v>93.1</v>
      </c>
      <c r="I1956" s="5">
        <v>0</v>
      </c>
      <c r="J1956" s="5">
        <v>0</v>
      </c>
      <c r="K1956" s="5">
        <v>0</v>
      </c>
    </row>
    <row r="1957" spans="1:11" x14ac:dyDescent="0.25">
      <c r="A1957" s="5">
        <f>1950</f>
      </c>
      <c r="B1957" s="5" t="s">
        <v>1965</v>
      </c>
      <c r="C1957" s="5">
        <v>93</v>
      </c>
      <c r="D1957" s="5">
        <v>0.1</v>
      </c>
      <c r="E1957" s="5">
        <v>93.2</v>
      </c>
      <c r="F1957" s="5">
        <v>187.3</v>
      </c>
      <c r="G1957" s="5">
        <v>93.3</v>
      </c>
      <c r="H1957" s="5">
        <v>93.1</v>
      </c>
      <c r="I1957" s="5">
        <v>0</v>
      </c>
      <c r="J1957" s="5">
        <v>0</v>
      </c>
      <c r="K1957" s="5">
        <v>0</v>
      </c>
    </row>
    <row r="1958" spans="1:11" x14ac:dyDescent="0.25">
      <c r="A1958" s="5">
        <f>1951</f>
      </c>
      <c r="B1958" s="5" t="s">
        <v>1966</v>
      </c>
      <c r="C1958" s="5">
        <v>89</v>
      </c>
      <c r="D1958" s="5">
        <v>0.1</v>
      </c>
      <c r="E1958" s="5">
        <v>89.1</v>
      </c>
      <c r="F1958" s="5">
        <v>178.5</v>
      </c>
      <c r="G1958" s="5">
        <v>89.1</v>
      </c>
      <c r="H1958" s="5">
        <v>89.1</v>
      </c>
      <c r="I1958" s="5">
        <v>0</v>
      </c>
      <c r="J1958" s="5">
        <v>0</v>
      </c>
      <c r="K1958" s="5">
        <v>0</v>
      </c>
    </row>
    <row r="1959" spans="1:11" x14ac:dyDescent="0.25">
      <c r="A1959" s="5">
        <f>1952</f>
      </c>
      <c r="B1959" s="5" t="s">
        <v>1967</v>
      </c>
      <c r="C1959" s="5">
        <v>89</v>
      </c>
      <c r="D1959" s="5">
        <v>0.1</v>
      </c>
      <c r="E1959" s="5">
        <v>89.1</v>
      </c>
      <c r="F1959" s="5">
        <v>178.5</v>
      </c>
      <c r="G1959" s="5">
        <v>89.1</v>
      </c>
      <c r="H1959" s="5">
        <v>89.1</v>
      </c>
      <c r="I1959" s="5">
        <v>0</v>
      </c>
      <c r="J1959" s="5">
        <v>0</v>
      </c>
      <c r="K1959" s="5">
        <v>0</v>
      </c>
    </row>
    <row r="1960" spans="1:11" x14ac:dyDescent="0.25">
      <c r="A1960" s="5">
        <f>1953</f>
      </c>
      <c r="B1960" s="5" t="s">
        <v>1968</v>
      </c>
      <c r="C1960" s="5">
        <v>98</v>
      </c>
      <c r="D1960" s="5">
        <v>0.1</v>
      </c>
      <c r="E1960" s="5">
        <v>98.2</v>
      </c>
      <c r="F1960" s="5">
        <v>197.8</v>
      </c>
      <c r="G1960" s="5">
        <v>98.7</v>
      </c>
      <c r="H1960" s="5">
        <v>98.6</v>
      </c>
      <c r="I1960" s="5">
        <v>0</v>
      </c>
      <c r="J1960" s="5">
        <v>0</v>
      </c>
      <c r="K1960" s="5">
        <v>0</v>
      </c>
    </row>
    <row r="1961" spans="1:11" x14ac:dyDescent="0.25">
      <c r="A1961" s="5">
        <f>1954</f>
      </c>
      <c r="B1961" s="5" t="s">
        <v>1969</v>
      </c>
      <c r="C1961" s="5">
        <v>98</v>
      </c>
      <c r="D1961" s="5">
        <v>0.1</v>
      </c>
      <c r="E1961" s="5">
        <v>98.2</v>
      </c>
      <c r="F1961" s="5">
        <v>197.8</v>
      </c>
      <c r="G1961" s="5">
        <v>98.7</v>
      </c>
      <c r="H1961" s="5">
        <v>98.6</v>
      </c>
      <c r="I1961" s="5">
        <v>0</v>
      </c>
      <c r="J1961" s="5">
        <v>0</v>
      </c>
      <c r="K1961" s="5">
        <v>0</v>
      </c>
    </row>
    <row r="1962" spans="1:11" x14ac:dyDescent="0.25">
      <c r="A1962" s="5">
        <f>1955</f>
      </c>
      <c r="B1962" s="5" t="s">
        <v>1970</v>
      </c>
      <c r="C1962" s="5">
        <v>92.2</v>
      </c>
      <c r="D1962" s="5">
        <v>0.1</v>
      </c>
      <c r="E1962" s="5">
        <v>92.4</v>
      </c>
      <c r="F1962" s="5">
        <v>185.3</v>
      </c>
      <c r="G1962" s="5">
        <v>92.3</v>
      </c>
      <c r="H1962" s="5">
        <v>92.1</v>
      </c>
      <c r="I1962" s="5">
        <v>0</v>
      </c>
      <c r="J1962" s="5">
        <v>0</v>
      </c>
      <c r="K1962" s="5">
        <v>0</v>
      </c>
    </row>
    <row r="1963" spans="1:11" x14ac:dyDescent="0.25">
      <c r="A1963" s="5">
        <f>1956</f>
      </c>
      <c r="B1963" s="5" t="s">
        <v>1971</v>
      </c>
      <c r="C1963" s="5">
        <v>92.2</v>
      </c>
      <c r="D1963" s="5">
        <v>0.1</v>
      </c>
      <c r="E1963" s="5">
        <v>92.4</v>
      </c>
      <c r="F1963" s="5">
        <v>185.3</v>
      </c>
      <c r="G1963" s="5">
        <v>92.3</v>
      </c>
      <c r="H1963" s="5">
        <v>92.1</v>
      </c>
      <c r="I1963" s="5">
        <v>0</v>
      </c>
      <c r="J1963" s="5">
        <v>0</v>
      </c>
      <c r="K1963" s="5">
        <v>0</v>
      </c>
    </row>
    <row r="1964" spans="1:11" x14ac:dyDescent="0.25">
      <c r="A1964" s="5">
        <f>1957</f>
      </c>
      <c r="B1964" s="5" t="s">
        <v>1972</v>
      </c>
      <c r="C1964" s="5">
        <v>92.2</v>
      </c>
      <c r="D1964" s="5">
        <v>0.1</v>
      </c>
      <c r="E1964" s="5">
        <v>92.4</v>
      </c>
      <c r="F1964" s="5">
        <v>185.3</v>
      </c>
      <c r="G1964" s="5">
        <v>92.3</v>
      </c>
      <c r="H1964" s="5">
        <v>92.1</v>
      </c>
      <c r="I1964" s="5">
        <v>0</v>
      </c>
      <c r="J1964" s="5">
        <v>0</v>
      </c>
      <c r="K1964" s="5">
        <v>0</v>
      </c>
    </row>
    <row r="1965" spans="1:11" x14ac:dyDescent="0.25">
      <c r="A1965" s="5">
        <f>1958</f>
      </c>
      <c r="B1965" s="5" t="s">
        <v>1973</v>
      </c>
      <c r="C1965" s="5">
        <v>92.2</v>
      </c>
      <c r="D1965" s="5">
        <v>0.1</v>
      </c>
      <c r="E1965" s="5">
        <v>92.4</v>
      </c>
      <c r="F1965" s="5">
        <v>185.3</v>
      </c>
      <c r="G1965" s="5">
        <v>92.3</v>
      </c>
      <c r="H1965" s="5">
        <v>92.1</v>
      </c>
      <c r="I1965" s="5">
        <v>0</v>
      </c>
      <c r="J1965" s="5">
        <v>0</v>
      </c>
      <c r="K1965" s="5">
        <v>0</v>
      </c>
    </row>
    <row r="1966" spans="1:11" x14ac:dyDescent="0.25">
      <c r="A1966" s="5">
        <f>1959</f>
      </c>
      <c r="B1966" s="5" t="s">
        <v>1974</v>
      </c>
      <c r="C1966" s="5">
        <v>95.9</v>
      </c>
      <c r="D1966" s="5">
        <v>0.1</v>
      </c>
      <c r="E1966" s="5">
        <v>96</v>
      </c>
      <c r="F1966" s="5">
        <v>191.6</v>
      </c>
      <c r="G1966" s="5">
        <v>95.6</v>
      </c>
      <c r="H1966" s="5">
        <v>95.4</v>
      </c>
      <c r="I1966" s="5">
        <v>0</v>
      </c>
      <c r="J1966" s="5">
        <v>0</v>
      </c>
      <c r="K1966" s="5">
        <v>0</v>
      </c>
    </row>
    <row r="1967" spans="1:11" x14ac:dyDescent="0.25">
      <c r="A1967" s="5">
        <f>1960</f>
      </c>
      <c r="B1967" s="5" t="s">
        <v>1975</v>
      </c>
      <c r="C1967" s="5">
        <v>95.9</v>
      </c>
      <c r="D1967" s="5">
        <v>0.1</v>
      </c>
      <c r="E1967" s="5">
        <v>96</v>
      </c>
      <c r="F1967" s="5">
        <v>191.6</v>
      </c>
      <c r="G1967" s="5">
        <v>95.6</v>
      </c>
      <c r="H1967" s="5">
        <v>95.4</v>
      </c>
      <c r="I1967" s="5">
        <v>0</v>
      </c>
      <c r="J1967" s="5">
        <v>0</v>
      </c>
      <c r="K1967" s="5">
        <v>0</v>
      </c>
    </row>
    <row r="1968" spans="1:11" x14ac:dyDescent="0.25">
      <c r="A1968" s="5">
        <f>1961</f>
      </c>
      <c r="B1968" s="5" t="s">
        <v>1976</v>
      </c>
      <c r="C1968" s="5">
        <v>97.3</v>
      </c>
      <c r="D1968" s="5">
        <v>0.1</v>
      </c>
      <c r="E1968" s="5">
        <v>97.4</v>
      </c>
      <c r="F1968" s="5">
        <v>193.8</v>
      </c>
      <c r="G1968" s="5">
        <v>96.7</v>
      </c>
      <c r="H1968" s="5">
        <v>96.6</v>
      </c>
      <c r="I1968" s="5">
        <v>0</v>
      </c>
      <c r="J1968" s="5">
        <v>0</v>
      </c>
      <c r="K1968" s="5">
        <v>0</v>
      </c>
    </row>
    <row r="1969" spans="1:11" x14ac:dyDescent="0.25">
      <c r="A1969" s="5">
        <f>1962</f>
      </c>
      <c r="B1969" s="5" t="s">
        <v>1977</v>
      </c>
      <c r="C1969" s="5">
        <v>97.3</v>
      </c>
      <c r="D1969" s="5">
        <v>0.1</v>
      </c>
      <c r="E1969" s="5">
        <v>97.4</v>
      </c>
      <c r="F1969" s="5">
        <v>193.8</v>
      </c>
      <c r="G1969" s="5">
        <v>96.7</v>
      </c>
      <c r="H1969" s="5">
        <v>96.6</v>
      </c>
      <c r="I1969" s="5">
        <v>0</v>
      </c>
      <c r="J1969" s="5">
        <v>0</v>
      </c>
      <c r="K1969" s="5">
        <v>0</v>
      </c>
    </row>
    <row r="1970" spans="1:11" x14ac:dyDescent="0.25">
      <c r="A1970" s="5">
        <f>1963</f>
      </c>
      <c r="B1970" s="5" t="s">
        <v>1978</v>
      </c>
      <c r="C1970" s="5">
        <v>96.4</v>
      </c>
      <c r="D1970" s="5">
        <v>0.1</v>
      </c>
      <c r="E1970" s="5">
        <v>96.5</v>
      </c>
      <c r="F1970" s="5">
        <v>193</v>
      </c>
      <c r="G1970" s="5">
        <v>96.3</v>
      </c>
      <c r="H1970" s="5">
        <v>96.1</v>
      </c>
      <c r="I1970" s="5">
        <v>0</v>
      </c>
      <c r="J1970" s="5">
        <v>0</v>
      </c>
      <c r="K1970" s="5">
        <v>0</v>
      </c>
    </row>
    <row r="1971" spans="1:11" x14ac:dyDescent="0.25">
      <c r="A1971" s="5">
        <f>1964</f>
      </c>
      <c r="B1971" s="5" t="s">
        <v>1979</v>
      </c>
      <c r="C1971" s="5">
        <v>96.4</v>
      </c>
      <c r="D1971" s="5">
        <v>0.1</v>
      </c>
      <c r="E1971" s="5">
        <v>96.5</v>
      </c>
      <c r="F1971" s="5">
        <v>193</v>
      </c>
      <c r="G1971" s="5">
        <v>96.3</v>
      </c>
      <c r="H1971" s="5">
        <v>96.1</v>
      </c>
      <c r="I1971" s="5">
        <v>0</v>
      </c>
      <c r="J1971" s="5">
        <v>0</v>
      </c>
      <c r="K1971" s="5">
        <v>0</v>
      </c>
    </row>
    <row r="1972" spans="1:11" x14ac:dyDescent="0.25">
      <c r="A1972" s="5">
        <f>1965</f>
      </c>
      <c r="B1972" s="5" t="s">
        <v>1980</v>
      </c>
      <c r="C1972" s="5">
        <v>94.2</v>
      </c>
      <c r="D1972" s="5">
        <v>0.1</v>
      </c>
      <c r="E1972" s="5">
        <v>94.4</v>
      </c>
      <c r="F1972" s="5">
        <v>194.8</v>
      </c>
      <c r="G1972" s="5">
        <v>96.8</v>
      </c>
      <c r="H1972" s="5">
        <v>96.3</v>
      </c>
      <c r="I1972" s="5">
        <v>0</v>
      </c>
      <c r="J1972" s="5">
        <v>0</v>
      </c>
      <c r="K1972" s="5">
        <v>0</v>
      </c>
    </row>
    <row r="1973" spans="1:11" x14ac:dyDescent="0.25">
      <c r="A1973" s="5">
        <f>1966</f>
      </c>
      <c r="B1973" s="5" t="s">
        <v>1981</v>
      </c>
      <c r="C1973" s="5">
        <v>94.2</v>
      </c>
      <c r="D1973" s="5">
        <v>0.1</v>
      </c>
      <c r="E1973" s="5">
        <v>94.4</v>
      </c>
      <c r="F1973" s="5">
        <v>194.8</v>
      </c>
      <c r="G1973" s="5">
        <v>96.8</v>
      </c>
      <c r="H1973" s="5">
        <v>96.3</v>
      </c>
      <c r="I1973" s="5">
        <v>0</v>
      </c>
      <c r="J1973" s="5">
        <v>0</v>
      </c>
      <c r="K1973" s="5">
        <v>0</v>
      </c>
    </row>
    <row r="1974" spans="1:11" x14ac:dyDescent="0.25">
      <c r="A1974" s="5">
        <f>1967</f>
      </c>
      <c r="B1974" s="5" t="s">
        <v>1982</v>
      </c>
      <c r="C1974" s="5">
        <v>94.2</v>
      </c>
      <c r="D1974" s="5">
        <v>0.1</v>
      </c>
      <c r="E1974" s="5">
        <v>94.4</v>
      </c>
      <c r="F1974" s="5">
        <v>194.8</v>
      </c>
      <c r="G1974" s="5">
        <v>96.8</v>
      </c>
      <c r="H1974" s="5">
        <v>96.3</v>
      </c>
      <c r="I1974" s="5">
        <v>0</v>
      </c>
      <c r="J1974" s="5">
        <v>0</v>
      </c>
      <c r="K1974" s="5">
        <v>0</v>
      </c>
    </row>
    <row r="1975" spans="1:11" x14ac:dyDescent="0.25">
      <c r="A1975" s="5">
        <f>1968</f>
      </c>
      <c r="B1975" s="5" t="s">
        <v>1983</v>
      </c>
      <c r="C1975" s="5">
        <v>94.2</v>
      </c>
      <c r="D1975" s="5">
        <v>0.1</v>
      </c>
      <c r="E1975" s="5">
        <v>94.4</v>
      </c>
      <c r="F1975" s="5">
        <v>194.8</v>
      </c>
      <c r="G1975" s="5">
        <v>96.8</v>
      </c>
      <c r="H1975" s="5">
        <v>96.3</v>
      </c>
      <c r="I1975" s="5">
        <v>0</v>
      </c>
      <c r="J1975" s="5">
        <v>0</v>
      </c>
      <c r="K1975" s="5">
        <v>0</v>
      </c>
    </row>
    <row r="1976" spans="1:11" x14ac:dyDescent="0.25">
      <c r="A1976" s="5">
        <f>1969</f>
      </c>
      <c r="B1976" s="5" t="s">
        <v>1984</v>
      </c>
      <c r="C1976" s="5">
        <v>92.4</v>
      </c>
      <c r="D1976" s="5">
        <v>0.1</v>
      </c>
      <c r="E1976" s="5">
        <v>92.5</v>
      </c>
      <c r="F1976" s="5">
        <v>182.2</v>
      </c>
      <c r="G1976" s="5">
        <v>90.9</v>
      </c>
      <c r="H1976" s="5">
        <v>90.9</v>
      </c>
      <c r="I1976" s="5">
        <v>0</v>
      </c>
      <c r="J1976" s="5">
        <v>0</v>
      </c>
      <c r="K1976" s="5">
        <v>0</v>
      </c>
    </row>
    <row r="1977" spans="1:11" x14ac:dyDescent="0.25">
      <c r="A1977" s="5">
        <f>1970</f>
      </c>
      <c r="B1977" s="5" t="s">
        <v>1985</v>
      </c>
      <c r="C1977" s="5">
        <v>92.4</v>
      </c>
      <c r="D1977" s="5">
        <v>0.1</v>
      </c>
      <c r="E1977" s="5">
        <v>92.5</v>
      </c>
      <c r="F1977" s="5">
        <v>182.2</v>
      </c>
      <c r="G1977" s="5">
        <v>90.9</v>
      </c>
      <c r="H1977" s="5">
        <v>90.9</v>
      </c>
      <c r="I1977" s="5">
        <v>0</v>
      </c>
      <c r="J1977" s="5">
        <v>0</v>
      </c>
      <c r="K1977" s="5">
        <v>0</v>
      </c>
    </row>
    <row r="1978" spans="1:11" x14ac:dyDescent="0.25">
      <c r="A1978" s="5">
        <f>1971</f>
      </c>
      <c r="B1978" s="5" t="s">
        <v>1986</v>
      </c>
      <c r="C1978" s="5">
        <v>91.6</v>
      </c>
      <c r="D1978" s="5">
        <v>0.1</v>
      </c>
      <c r="E1978" s="5">
        <v>91.6</v>
      </c>
      <c r="F1978" s="5">
        <v>184.4</v>
      </c>
      <c r="G1978" s="5">
        <v>91.9</v>
      </c>
      <c r="H1978" s="5">
        <v>91.7</v>
      </c>
      <c r="I1978" s="5">
        <v>0</v>
      </c>
      <c r="J1978" s="5">
        <v>0</v>
      </c>
      <c r="K1978" s="5">
        <v>0</v>
      </c>
    </row>
    <row r="1979" spans="1:11" x14ac:dyDescent="0.25">
      <c r="A1979" s="5">
        <f>1972</f>
      </c>
      <c r="B1979" s="5" t="s">
        <v>1987</v>
      </c>
      <c r="C1979" s="5">
        <v>91.6</v>
      </c>
      <c r="D1979" s="5">
        <v>0.1</v>
      </c>
      <c r="E1979" s="5">
        <v>91.6</v>
      </c>
      <c r="F1979" s="5">
        <v>184.4</v>
      </c>
      <c r="G1979" s="5">
        <v>91.9</v>
      </c>
      <c r="H1979" s="5">
        <v>91.7</v>
      </c>
      <c r="I1979" s="5">
        <v>0</v>
      </c>
      <c r="J1979" s="5">
        <v>0</v>
      </c>
      <c r="K1979" s="5">
        <v>0</v>
      </c>
    </row>
    <row r="1980" spans="1:11" x14ac:dyDescent="0.25">
      <c r="A1980" s="5">
        <f>1973</f>
      </c>
      <c r="B1980" s="5" t="s">
        <v>1988</v>
      </c>
      <c r="C1980" s="5">
        <v>88.2</v>
      </c>
      <c r="D1980" s="5">
        <v>0.1</v>
      </c>
      <c r="E1980" s="5">
        <v>88.4</v>
      </c>
      <c r="F1980" s="5">
        <v>178</v>
      </c>
      <c r="G1980" s="5">
        <v>88.7</v>
      </c>
      <c r="H1980" s="5">
        <v>88.5</v>
      </c>
      <c r="I1980" s="5">
        <v>0</v>
      </c>
      <c r="J1980" s="5">
        <v>0</v>
      </c>
      <c r="K1980" s="5">
        <v>0</v>
      </c>
    </row>
    <row r="1981" spans="1:11" x14ac:dyDescent="0.25">
      <c r="A1981" s="5">
        <f>1974</f>
      </c>
      <c r="B1981" s="5" t="s">
        <v>1989</v>
      </c>
      <c r="C1981" s="5">
        <v>88.2</v>
      </c>
      <c r="D1981" s="5">
        <v>0.1</v>
      </c>
      <c r="E1981" s="5">
        <v>88.4</v>
      </c>
      <c r="F1981" s="5">
        <v>178</v>
      </c>
      <c r="G1981" s="5">
        <v>88.7</v>
      </c>
      <c r="H1981" s="5">
        <v>88.5</v>
      </c>
      <c r="I1981" s="5">
        <v>0</v>
      </c>
      <c r="J1981" s="5">
        <v>0</v>
      </c>
      <c r="K1981" s="5">
        <v>0</v>
      </c>
    </row>
    <row r="1982" spans="1:11" x14ac:dyDescent="0.25">
      <c r="A1982" s="5">
        <f>1975</f>
      </c>
      <c r="B1982" s="5" t="s">
        <v>1990</v>
      </c>
      <c r="C1982" s="5">
        <v>99.6</v>
      </c>
      <c r="D1982" s="5">
        <v>0.1</v>
      </c>
      <c r="E1982" s="5">
        <v>99.8</v>
      </c>
      <c r="F1982" s="5">
        <v>199</v>
      </c>
      <c r="G1982" s="5">
        <v>99.3</v>
      </c>
      <c r="H1982" s="5">
        <v>99.1</v>
      </c>
      <c r="I1982" s="5">
        <v>0</v>
      </c>
      <c r="J1982" s="5">
        <v>0</v>
      </c>
      <c r="K1982" s="5">
        <v>0</v>
      </c>
    </row>
    <row r="1983" spans="1:11" x14ac:dyDescent="0.25">
      <c r="A1983" s="5">
        <f>1976</f>
      </c>
      <c r="B1983" s="5" t="s">
        <v>1991</v>
      </c>
      <c r="C1983" s="5">
        <v>99.6</v>
      </c>
      <c r="D1983" s="5">
        <v>0.1</v>
      </c>
      <c r="E1983" s="5">
        <v>99.8</v>
      </c>
      <c r="F1983" s="5">
        <v>199</v>
      </c>
      <c r="G1983" s="5">
        <v>99.3</v>
      </c>
      <c r="H1983" s="5">
        <v>99.1</v>
      </c>
      <c r="I1983" s="5">
        <v>0</v>
      </c>
      <c r="J1983" s="5">
        <v>0</v>
      </c>
      <c r="K1983" s="5">
        <v>0</v>
      </c>
    </row>
    <row r="1984" spans="1:11" x14ac:dyDescent="0.25">
      <c r="A1984" s="5">
        <f>1977</f>
      </c>
      <c r="B1984" s="5" t="s">
        <v>1992</v>
      </c>
      <c r="C1984" s="5">
        <v>99.6</v>
      </c>
      <c r="D1984" s="5">
        <v>0.1</v>
      </c>
      <c r="E1984" s="5">
        <v>99.8</v>
      </c>
      <c r="F1984" s="5">
        <v>199</v>
      </c>
      <c r="G1984" s="5">
        <v>99.3</v>
      </c>
      <c r="H1984" s="5">
        <v>99.1</v>
      </c>
      <c r="I1984" s="5">
        <v>0</v>
      </c>
      <c r="J1984" s="5">
        <v>0</v>
      </c>
      <c r="K1984" s="5">
        <v>0</v>
      </c>
    </row>
    <row r="1985" spans="1:11" x14ac:dyDescent="0.25">
      <c r="A1985" s="5">
        <f>1978</f>
      </c>
      <c r="B1985" s="5" t="s">
        <v>1993</v>
      </c>
      <c r="C1985" s="5">
        <v>99.6</v>
      </c>
      <c r="D1985" s="5">
        <v>0.1</v>
      </c>
      <c r="E1985" s="5">
        <v>99.8</v>
      </c>
      <c r="F1985" s="5">
        <v>199</v>
      </c>
      <c r="G1985" s="5">
        <v>99.3</v>
      </c>
      <c r="H1985" s="5">
        <v>99.1</v>
      </c>
      <c r="I1985" s="5">
        <v>0</v>
      </c>
      <c r="J1985" s="5">
        <v>0</v>
      </c>
      <c r="K1985" s="5">
        <v>0</v>
      </c>
    </row>
    <row r="1986" spans="1:11" x14ac:dyDescent="0.25">
      <c r="A1986" s="5">
        <f>1979</f>
      </c>
      <c r="B1986" s="5" t="s">
        <v>1994</v>
      </c>
      <c r="C1986" s="5">
        <v>90.2</v>
      </c>
      <c r="D1986" s="5">
        <v>0.1</v>
      </c>
      <c r="E1986" s="5">
        <v>90.3</v>
      </c>
      <c r="F1986" s="5">
        <v>181.7</v>
      </c>
      <c r="G1986" s="5">
        <v>90.5</v>
      </c>
      <c r="H1986" s="5">
        <v>90.2</v>
      </c>
      <c r="I1986" s="5">
        <v>0</v>
      </c>
      <c r="J1986" s="5">
        <v>0</v>
      </c>
      <c r="K1986" s="5">
        <v>0</v>
      </c>
    </row>
    <row r="1987" spans="1:11" x14ac:dyDescent="0.25">
      <c r="A1987" s="5">
        <f>1980</f>
      </c>
      <c r="B1987" s="5" t="s">
        <v>1995</v>
      </c>
      <c r="C1987" s="5">
        <v>90.2</v>
      </c>
      <c r="D1987" s="5">
        <v>0.1</v>
      </c>
      <c r="E1987" s="5">
        <v>90.3</v>
      </c>
      <c r="F1987" s="5">
        <v>181.7</v>
      </c>
      <c r="G1987" s="5">
        <v>90.5</v>
      </c>
      <c r="H1987" s="5">
        <v>90.2</v>
      </c>
      <c r="I1987" s="5">
        <v>0</v>
      </c>
      <c r="J1987" s="5">
        <v>0</v>
      </c>
      <c r="K1987" s="5">
        <v>0</v>
      </c>
    </row>
    <row r="1988" spans="1:11" x14ac:dyDescent="0.25">
      <c r="A1988" s="5">
        <f>1981</f>
      </c>
      <c r="B1988" s="5" t="s">
        <v>1996</v>
      </c>
      <c r="C1988" s="5">
        <v>92.7</v>
      </c>
      <c r="D1988" s="5">
        <v>0.1</v>
      </c>
      <c r="E1988" s="5">
        <v>92.8</v>
      </c>
      <c r="F1988" s="5">
        <v>185</v>
      </c>
      <c r="G1988" s="5">
        <v>92.3</v>
      </c>
      <c r="H1988" s="5">
        <v>92.2</v>
      </c>
      <c r="I1988" s="5">
        <v>0</v>
      </c>
      <c r="J1988" s="5">
        <v>0</v>
      </c>
      <c r="K1988" s="5">
        <v>0</v>
      </c>
    </row>
    <row r="1989" spans="1:11" x14ac:dyDescent="0.25">
      <c r="A1989" s="5">
        <f>1982</f>
      </c>
      <c r="B1989" s="5" t="s">
        <v>1997</v>
      </c>
      <c r="C1989" s="5">
        <v>92.7</v>
      </c>
      <c r="D1989" s="5">
        <v>0.1</v>
      </c>
      <c r="E1989" s="5">
        <v>92.8</v>
      </c>
      <c r="F1989" s="5">
        <v>185</v>
      </c>
      <c r="G1989" s="5">
        <v>92.3</v>
      </c>
      <c r="H1989" s="5">
        <v>92.2</v>
      </c>
      <c r="I1989" s="5">
        <v>0</v>
      </c>
      <c r="J1989" s="5">
        <v>0</v>
      </c>
      <c r="K1989" s="5">
        <v>0</v>
      </c>
    </row>
    <row r="1990" spans="1:11" x14ac:dyDescent="0.25">
      <c r="A1990" s="5">
        <f>1983</f>
      </c>
      <c r="B1990" s="5" t="s">
        <v>1998</v>
      </c>
      <c r="C1990" s="5">
        <v>89.5</v>
      </c>
      <c r="D1990" s="5">
        <v>0.1</v>
      </c>
      <c r="E1990" s="5">
        <v>89.7</v>
      </c>
      <c r="F1990" s="5">
        <v>176.1</v>
      </c>
      <c r="G1990" s="5">
        <v>87.9</v>
      </c>
      <c r="H1990" s="5">
        <v>87.8</v>
      </c>
      <c r="I1990" s="5">
        <v>0</v>
      </c>
      <c r="J1990" s="5">
        <v>0</v>
      </c>
      <c r="K1990" s="5">
        <v>0</v>
      </c>
    </row>
    <row r="1991" spans="1:11" x14ac:dyDescent="0.25">
      <c r="A1991" s="5">
        <f>1984</f>
      </c>
      <c r="B1991" s="5" t="s">
        <v>1999</v>
      </c>
      <c r="C1991" s="5">
        <v>89.5</v>
      </c>
      <c r="D1991" s="5">
        <v>0.1</v>
      </c>
      <c r="E1991" s="5">
        <v>89.7</v>
      </c>
      <c r="F1991" s="5">
        <v>176.1</v>
      </c>
      <c r="G1991" s="5">
        <v>87.9</v>
      </c>
      <c r="H1991" s="5">
        <v>87.8</v>
      </c>
      <c r="I1991" s="5">
        <v>0</v>
      </c>
      <c r="J1991" s="5">
        <v>0</v>
      </c>
      <c r="K1991" s="5">
        <v>0</v>
      </c>
    </row>
    <row r="1992" spans="1:11" x14ac:dyDescent="0.25">
      <c r="A1992" s="5">
        <f>1985</f>
      </c>
      <c r="B1992" s="5" t="s">
        <v>2000</v>
      </c>
      <c r="C1992" s="5">
        <v>99.7</v>
      </c>
      <c r="D1992" s="5">
        <v>0.1</v>
      </c>
      <c r="E1992" s="5">
        <v>99.9</v>
      </c>
      <c r="F1992" s="5">
        <v>197.9</v>
      </c>
      <c r="G1992" s="5">
        <v>98.7</v>
      </c>
      <c r="H1992" s="5">
        <v>98.6</v>
      </c>
      <c r="I1992" s="5">
        <v>0</v>
      </c>
      <c r="J1992" s="5">
        <v>0</v>
      </c>
      <c r="K1992" s="5">
        <v>0</v>
      </c>
    </row>
    <row r="1993" spans="1:11" x14ac:dyDescent="0.25">
      <c r="A1993" s="5">
        <f>1986</f>
      </c>
      <c r="B1993" s="5" t="s">
        <v>2001</v>
      </c>
      <c r="C1993" s="5">
        <v>99.7</v>
      </c>
      <c r="D1993" s="5">
        <v>0.1</v>
      </c>
      <c r="E1993" s="5">
        <v>99.9</v>
      </c>
      <c r="F1993" s="5">
        <v>197.9</v>
      </c>
      <c r="G1993" s="5">
        <v>98.7</v>
      </c>
      <c r="H1993" s="5">
        <v>98.6</v>
      </c>
      <c r="I1993" s="5">
        <v>0</v>
      </c>
      <c r="J1993" s="5">
        <v>0</v>
      </c>
      <c r="K1993" s="5">
        <v>0</v>
      </c>
    </row>
    <row r="1994" spans="1:11" x14ac:dyDescent="0.25">
      <c r="A1994" s="5">
        <f>1987</f>
      </c>
      <c r="B1994" s="5" t="s">
        <v>2002</v>
      </c>
      <c r="C1994" s="5">
        <v>99.7</v>
      </c>
      <c r="D1994" s="5">
        <v>0.1</v>
      </c>
      <c r="E1994" s="5">
        <v>99.9</v>
      </c>
      <c r="F1994" s="5">
        <v>197.9</v>
      </c>
      <c r="G1994" s="5">
        <v>98.7</v>
      </c>
      <c r="H1994" s="5">
        <v>98.6</v>
      </c>
      <c r="I1994" s="5">
        <v>0</v>
      </c>
      <c r="J1994" s="5">
        <v>0</v>
      </c>
      <c r="K1994" s="5">
        <v>0</v>
      </c>
    </row>
    <row r="1995" spans="1:11" x14ac:dyDescent="0.25">
      <c r="A1995" s="5">
        <f>1988</f>
      </c>
      <c r="B1995" s="5" t="s">
        <v>2003</v>
      </c>
      <c r="C1995" s="5">
        <v>99.7</v>
      </c>
      <c r="D1995" s="5">
        <v>0.1</v>
      </c>
      <c r="E1995" s="5">
        <v>99.9</v>
      </c>
      <c r="F1995" s="5">
        <v>197.9</v>
      </c>
      <c r="G1995" s="5">
        <v>98.7</v>
      </c>
      <c r="H1995" s="5">
        <v>98.6</v>
      </c>
      <c r="I1995" s="5">
        <v>0</v>
      </c>
      <c r="J1995" s="5">
        <v>0</v>
      </c>
      <c r="K1995" s="5">
        <v>0</v>
      </c>
    </row>
    <row r="1996" spans="1:11" x14ac:dyDescent="0.25">
      <c r="A1996" s="5">
        <f>1989</f>
      </c>
      <c r="B1996" s="5" t="s">
        <v>2004</v>
      </c>
      <c r="C1996" s="5">
        <v>92.5</v>
      </c>
      <c r="D1996" s="5">
        <v>0.1</v>
      </c>
      <c r="E1996" s="5">
        <v>92.6</v>
      </c>
      <c r="F1996" s="5">
        <v>185.5</v>
      </c>
      <c r="G1996" s="5">
        <v>92.6</v>
      </c>
      <c r="H1996" s="5">
        <v>92.4</v>
      </c>
      <c r="I1996" s="5">
        <v>0</v>
      </c>
      <c r="J1996" s="5">
        <v>0</v>
      </c>
      <c r="K1996" s="5">
        <v>0</v>
      </c>
    </row>
    <row r="1997" spans="1:11" x14ac:dyDescent="0.25">
      <c r="A1997" s="5">
        <f>1990</f>
      </c>
      <c r="B1997" s="5" t="s">
        <v>2005</v>
      </c>
      <c r="C1997" s="5">
        <v>92.5</v>
      </c>
      <c r="D1997" s="5">
        <v>0.1</v>
      </c>
      <c r="E1997" s="5">
        <v>92.6</v>
      </c>
      <c r="F1997" s="5">
        <v>185.5</v>
      </c>
      <c r="G1997" s="5">
        <v>92.6</v>
      </c>
      <c r="H1997" s="5">
        <v>92.4</v>
      </c>
      <c r="I1997" s="5">
        <v>0</v>
      </c>
      <c r="J1997" s="5">
        <v>0</v>
      </c>
      <c r="K1997" s="5">
        <v>0</v>
      </c>
    </row>
    <row r="1998" spans="1:11" x14ac:dyDescent="0.25">
      <c r="A1998" s="5">
        <f>1991</f>
      </c>
      <c r="B1998" s="5" t="s">
        <v>2006</v>
      </c>
      <c r="C1998" s="5">
        <v>91.6</v>
      </c>
      <c r="D1998" s="5">
        <v>0.1</v>
      </c>
      <c r="E1998" s="5">
        <v>91.6</v>
      </c>
      <c r="F1998" s="5">
        <v>181.2</v>
      </c>
      <c r="G1998" s="5">
        <v>90.5</v>
      </c>
      <c r="H1998" s="5">
        <v>90.4</v>
      </c>
      <c r="I1998" s="5">
        <v>0</v>
      </c>
      <c r="J1998" s="5">
        <v>0</v>
      </c>
      <c r="K1998" s="5">
        <v>0</v>
      </c>
    </row>
    <row r="1999" spans="1:11" x14ac:dyDescent="0.25">
      <c r="A1999" s="5">
        <f>1992</f>
      </c>
      <c r="B1999" s="5" t="s">
        <v>2007</v>
      </c>
      <c r="C1999" s="5">
        <v>91.6</v>
      </c>
      <c r="D1999" s="5">
        <v>0.1</v>
      </c>
      <c r="E1999" s="5">
        <v>91.6</v>
      </c>
      <c r="F1999" s="5">
        <v>181.2</v>
      </c>
      <c r="G1999" s="5">
        <v>90.5</v>
      </c>
      <c r="H1999" s="5">
        <v>90.4</v>
      </c>
      <c r="I1999" s="5">
        <v>0</v>
      </c>
      <c r="J1999" s="5">
        <v>0</v>
      </c>
      <c r="K1999" s="5">
        <v>0</v>
      </c>
    </row>
    <row r="2000" spans="1:11" x14ac:dyDescent="0.25">
      <c r="A2000" s="5">
        <f>1993</f>
      </c>
      <c r="B2000" s="5" t="s">
        <v>2008</v>
      </c>
      <c r="C2000" s="5">
        <v>98</v>
      </c>
      <c r="D2000" s="5">
        <v>0.1</v>
      </c>
      <c r="E2000" s="5">
        <v>98.2</v>
      </c>
      <c r="F2000" s="5">
        <v>187.5</v>
      </c>
      <c r="G2000" s="5">
        <v>93.8</v>
      </c>
      <c r="H2000" s="5">
        <v>94</v>
      </c>
      <c r="I2000" s="5">
        <v>0</v>
      </c>
      <c r="J2000" s="5">
        <v>0</v>
      </c>
      <c r="K2000" s="5">
        <v>0</v>
      </c>
    </row>
    <row r="2001" spans="1:11" x14ac:dyDescent="0.25">
      <c r="A2001" s="5">
        <f>1994</f>
      </c>
      <c r="B2001" s="5" t="s">
        <v>2009</v>
      </c>
      <c r="C2001" s="5">
        <v>98</v>
      </c>
      <c r="D2001" s="5">
        <v>0.1</v>
      </c>
      <c r="E2001" s="5">
        <v>98.2</v>
      </c>
      <c r="F2001" s="5">
        <v>187.5</v>
      </c>
      <c r="G2001" s="5">
        <v>93.8</v>
      </c>
      <c r="H2001" s="5">
        <v>94</v>
      </c>
      <c r="I2001" s="5">
        <v>0</v>
      </c>
      <c r="J2001" s="5">
        <v>0</v>
      </c>
      <c r="K2001" s="5">
        <v>0</v>
      </c>
    </row>
    <row r="2002" spans="1:11" x14ac:dyDescent="0.25">
      <c r="A2002" s="5">
        <f>1995</f>
      </c>
      <c r="B2002" s="5" t="s">
        <v>2010</v>
      </c>
      <c r="C2002" s="5">
        <v>91.8</v>
      </c>
      <c r="D2002" s="5">
        <v>0.1</v>
      </c>
      <c r="E2002" s="5">
        <v>91.9</v>
      </c>
      <c r="F2002" s="5">
        <v>182.1</v>
      </c>
      <c r="G2002" s="5">
        <v>90.9</v>
      </c>
      <c r="H2002" s="5">
        <v>90.8</v>
      </c>
      <c r="I2002" s="5">
        <v>0</v>
      </c>
      <c r="J2002" s="5">
        <v>0</v>
      </c>
      <c r="K2002" s="5">
        <v>0</v>
      </c>
    </row>
    <row r="2003" spans="1:11" x14ac:dyDescent="0.25">
      <c r="A2003" s="5">
        <f>1996</f>
      </c>
      <c r="B2003" s="5" t="s">
        <v>2011</v>
      </c>
      <c r="C2003" s="5">
        <v>91.8</v>
      </c>
      <c r="D2003" s="5">
        <v>0.1</v>
      </c>
      <c r="E2003" s="5">
        <v>91.9</v>
      </c>
      <c r="F2003" s="5">
        <v>182.1</v>
      </c>
      <c r="G2003" s="5">
        <v>90.9</v>
      </c>
      <c r="H2003" s="5">
        <v>90.8</v>
      </c>
      <c r="I2003" s="5">
        <v>0</v>
      </c>
      <c r="J2003" s="5">
        <v>0</v>
      </c>
      <c r="K2003" s="5">
        <v>0</v>
      </c>
    </row>
    <row r="2004" spans="1:11" x14ac:dyDescent="0.25">
      <c r="A2004" s="5">
        <f>1997</f>
      </c>
      <c r="B2004" s="5" t="s">
        <v>2012</v>
      </c>
      <c r="C2004" s="5">
        <v>91.8</v>
      </c>
      <c r="D2004" s="5">
        <v>0.1</v>
      </c>
      <c r="E2004" s="5">
        <v>91.9</v>
      </c>
      <c r="F2004" s="5">
        <v>182.1</v>
      </c>
      <c r="G2004" s="5">
        <v>90.9</v>
      </c>
      <c r="H2004" s="5">
        <v>90.8</v>
      </c>
      <c r="I2004" s="5">
        <v>0</v>
      </c>
      <c r="J2004" s="5">
        <v>0</v>
      </c>
      <c r="K2004" s="5">
        <v>0</v>
      </c>
    </row>
    <row r="2005" spans="1:11" x14ac:dyDescent="0.25">
      <c r="A2005" s="5">
        <f>1998</f>
      </c>
      <c r="B2005" s="5" t="s">
        <v>2013</v>
      </c>
      <c r="C2005" s="5">
        <v>91.8</v>
      </c>
      <c r="D2005" s="5">
        <v>0.1</v>
      </c>
      <c r="E2005" s="5">
        <v>91.9</v>
      </c>
      <c r="F2005" s="5">
        <v>182.1</v>
      </c>
      <c r="G2005" s="5">
        <v>90.9</v>
      </c>
      <c r="H2005" s="5">
        <v>90.8</v>
      </c>
      <c r="I2005" s="5">
        <v>0</v>
      </c>
      <c r="J2005" s="5">
        <v>0</v>
      </c>
      <c r="K2005" s="5">
        <v>0</v>
      </c>
    </row>
    <row r="2006" spans="1:11" x14ac:dyDescent="0.25">
      <c r="A2006" s="5">
        <f>1999</f>
      </c>
      <c r="B2006" s="5" t="s">
        <v>2014</v>
      </c>
      <c r="C2006" s="5">
        <v>98.9</v>
      </c>
      <c r="D2006" s="5">
        <v>0.1</v>
      </c>
      <c r="E2006" s="5">
        <v>99</v>
      </c>
      <c r="F2006" s="5">
        <v>190.9</v>
      </c>
      <c r="G2006" s="5">
        <v>95.5</v>
      </c>
      <c r="H2006" s="5">
        <v>95.6</v>
      </c>
      <c r="I2006" s="5">
        <v>0</v>
      </c>
      <c r="J2006" s="5">
        <v>0</v>
      </c>
      <c r="K2006" s="5">
        <v>0</v>
      </c>
    </row>
    <row r="2007" spans="1:11" x14ac:dyDescent="0.25">
      <c r="A2007" s="5">
        <f>2000</f>
      </c>
      <c r="B2007" s="5" t="s">
        <v>2015</v>
      </c>
      <c r="C2007" s="5">
        <v>98.9</v>
      </c>
      <c r="D2007" s="5">
        <v>0.1</v>
      </c>
      <c r="E2007" s="5">
        <v>99</v>
      </c>
      <c r="F2007" s="5">
        <v>190.9</v>
      </c>
      <c r="G2007" s="5">
        <v>95.5</v>
      </c>
      <c r="H2007" s="5">
        <v>95.6</v>
      </c>
      <c r="I2007" s="5">
        <v>0</v>
      </c>
      <c r="J2007" s="5">
        <v>0</v>
      </c>
      <c r="K2007" s="5">
        <v>0</v>
      </c>
    </row>
    <row r="2008" spans="1:11" x14ac:dyDescent="0.25">
      <c r="A2008" s="5">
        <f>2001</f>
      </c>
      <c r="B2008" s="5" t="s">
        <v>2016</v>
      </c>
      <c r="C2008" s="5">
        <v>97.1</v>
      </c>
      <c r="D2008" s="5">
        <v>0</v>
      </c>
      <c r="E2008" s="5">
        <v>97.3</v>
      </c>
      <c r="F2008" s="5">
        <v>193.2</v>
      </c>
      <c r="G2008" s="5">
        <v>96.3</v>
      </c>
      <c r="H2008" s="5">
        <v>96.2</v>
      </c>
      <c r="I2008" s="5">
        <v>0</v>
      </c>
      <c r="J2008" s="5">
        <v>0</v>
      </c>
      <c r="K2008" s="5">
        <v>0</v>
      </c>
    </row>
    <row r="2009" spans="1:11" x14ac:dyDescent="0.25">
      <c r="A2009" s="5">
        <f>2002</f>
      </c>
      <c r="B2009" s="5" t="s">
        <v>2017</v>
      </c>
      <c r="C2009" s="5">
        <v>97.1</v>
      </c>
      <c r="D2009" s="5">
        <v>0</v>
      </c>
      <c r="E2009" s="5">
        <v>97.3</v>
      </c>
      <c r="F2009" s="5">
        <v>193.2</v>
      </c>
      <c r="G2009" s="5">
        <v>96.3</v>
      </c>
      <c r="H2009" s="5">
        <v>96.2</v>
      </c>
      <c r="I2009" s="5">
        <v>0</v>
      </c>
      <c r="J2009" s="5">
        <v>0</v>
      </c>
      <c r="K2009" s="5">
        <v>0</v>
      </c>
    </row>
    <row r="2010" spans="1:11" x14ac:dyDescent="0.25">
      <c r="A2010" s="5">
        <f>2003</f>
      </c>
      <c r="B2010" s="5" t="s">
        <v>2018</v>
      </c>
      <c r="C2010" s="5">
        <v>96.8</v>
      </c>
      <c r="D2010" s="5">
        <v>0.1</v>
      </c>
      <c r="E2010" s="5">
        <v>97</v>
      </c>
      <c r="F2010" s="5">
        <v>191.1</v>
      </c>
      <c r="G2010" s="5">
        <v>95.4</v>
      </c>
      <c r="H2010" s="5">
        <v>95.2</v>
      </c>
      <c r="I2010" s="5">
        <v>0</v>
      </c>
      <c r="J2010" s="5">
        <v>0</v>
      </c>
      <c r="K2010" s="5">
        <v>0</v>
      </c>
    </row>
    <row r="2011" spans="1:11" x14ac:dyDescent="0.25">
      <c r="A2011" s="5">
        <f>2004</f>
      </c>
      <c r="B2011" s="5" t="s">
        <v>2019</v>
      </c>
      <c r="C2011" s="5">
        <v>96.8</v>
      </c>
      <c r="D2011" s="5">
        <v>0.1</v>
      </c>
      <c r="E2011" s="5">
        <v>97</v>
      </c>
      <c r="F2011" s="5">
        <v>191.1</v>
      </c>
      <c r="G2011" s="5">
        <v>95.4</v>
      </c>
      <c r="H2011" s="5">
        <v>95.2</v>
      </c>
      <c r="I2011" s="5">
        <v>0</v>
      </c>
      <c r="J2011" s="5">
        <v>0</v>
      </c>
      <c r="K2011" s="5">
        <v>0</v>
      </c>
    </row>
    <row r="2012" spans="1:11" x14ac:dyDescent="0.25">
      <c r="A2012" s="5">
        <f>2005</f>
      </c>
      <c r="B2012" s="5" t="s">
        <v>2020</v>
      </c>
      <c r="C2012" s="5">
        <v>97</v>
      </c>
      <c r="D2012" s="5">
        <v>0.1</v>
      </c>
      <c r="E2012" s="5">
        <v>97.1</v>
      </c>
      <c r="F2012" s="5">
        <v>192.2</v>
      </c>
      <c r="G2012" s="5">
        <v>95.9</v>
      </c>
      <c r="H2012" s="5">
        <v>95.7</v>
      </c>
      <c r="I2012" s="5">
        <v>0</v>
      </c>
      <c r="J2012" s="5">
        <v>0</v>
      </c>
      <c r="K2012" s="5">
        <v>0</v>
      </c>
    </row>
    <row r="2013" spans="1:11" x14ac:dyDescent="0.25">
      <c r="A2013" s="5">
        <f>2006</f>
      </c>
      <c r="B2013" s="5" t="s">
        <v>2021</v>
      </c>
      <c r="C2013" s="5">
        <v>97</v>
      </c>
      <c r="D2013" s="5">
        <v>0.1</v>
      </c>
      <c r="E2013" s="5">
        <v>97.1</v>
      </c>
      <c r="F2013" s="5">
        <v>192.2</v>
      </c>
      <c r="G2013" s="5">
        <v>95.9</v>
      </c>
      <c r="H2013" s="5">
        <v>95.7</v>
      </c>
      <c r="I2013" s="5">
        <v>0</v>
      </c>
      <c r="J2013" s="5">
        <v>0</v>
      </c>
      <c r="K2013" s="5">
        <v>0</v>
      </c>
    </row>
    <row r="2014" spans="1:11" x14ac:dyDescent="0.25">
      <c r="A2014" s="5">
        <f>2007</f>
      </c>
      <c r="B2014" s="5" t="s">
        <v>2022</v>
      </c>
      <c r="C2014" s="5">
        <v>97</v>
      </c>
      <c r="D2014" s="5">
        <v>0.1</v>
      </c>
      <c r="E2014" s="5">
        <v>97.1</v>
      </c>
      <c r="F2014" s="5">
        <v>192.2</v>
      </c>
      <c r="G2014" s="5">
        <v>95.9</v>
      </c>
      <c r="H2014" s="5">
        <v>95.7</v>
      </c>
      <c r="I2014" s="5">
        <v>0</v>
      </c>
      <c r="J2014" s="5">
        <v>0</v>
      </c>
      <c r="K2014" s="5">
        <v>0</v>
      </c>
    </row>
    <row r="2015" spans="1:11" x14ac:dyDescent="0.25">
      <c r="A2015" s="5">
        <f>2008</f>
      </c>
      <c r="B2015" s="5" t="s">
        <v>2023</v>
      </c>
      <c r="C2015" s="5">
        <v>97</v>
      </c>
      <c r="D2015" s="5">
        <v>0.1</v>
      </c>
      <c r="E2015" s="5">
        <v>97</v>
      </c>
      <c r="F2015" s="5">
        <v>193.3</v>
      </c>
      <c r="G2015" s="5">
        <v>96.4</v>
      </c>
      <c r="H2015" s="5">
        <v>96.3</v>
      </c>
      <c r="I2015" s="5">
        <v>0</v>
      </c>
      <c r="J2015" s="5">
        <v>0</v>
      </c>
      <c r="K2015" s="5">
        <v>0</v>
      </c>
    </row>
    <row r="2016" spans="1:11" x14ac:dyDescent="0.25">
      <c r="A2016" s="5">
        <f>2009</f>
      </c>
      <c r="B2016" s="5" t="s">
        <v>2024</v>
      </c>
      <c r="C2016" s="5">
        <v>97</v>
      </c>
      <c r="D2016" s="5">
        <v>0.1</v>
      </c>
      <c r="E2016" s="5">
        <v>97</v>
      </c>
      <c r="F2016" s="5">
        <v>193.3</v>
      </c>
      <c r="G2016" s="5">
        <v>96.4</v>
      </c>
      <c r="H2016" s="5">
        <v>96.3</v>
      </c>
      <c r="I2016" s="5">
        <v>0</v>
      </c>
      <c r="J2016" s="5">
        <v>0</v>
      </c>
      <c r="K2016" s="5">
        <v>0</v>
      </c>
    </row>
    <row r="2017" spans="1:11" x14ac:dyDescent="0.25">
      <c r="A2017" s="5">
        <f>2010</f>
      </c>
      <c r="B2017" s="5" t="s">
        <v>2025</v>
      </c>
      <c r="C2017" s="5">
        <v>92.5</v>
      </c>
      <c r="D2017" s="5">
        <v>0.1</v>
      </c>
      <c r="E2017" s="5">
        <v>92.6</v>
      </c>
      <c r="F2017" s="5">
        <v>185.8</v>
      </c>
      <c r="G2017" s="5">
        <v>92.7</v>
      </c>
      <c r="H2017" s="5">
        <v>92.6</v>
      </c>
      <c r="I2017" s="5">
        <v>0</v>
      </c>
      <c r="J2017" s="5">
        <v>0</v>
      </c>
      <c r="K2017" s="5">
        <v>0</v>
      </c>
    </row>
    <row r="2018" spans="1:11" x14ac:dyDescent="0.25">
      <c r="A2018" s="5">
        <f>2011</f>
      </c>
      <c r="B2018" s="5" t="s">
        <v>2026</v>
      </c>
      <c r="C2018" s="5">
        <v>92.5</v>
      </c>
      <c r="D2018" s="5">
        <v>0.1</v>
      </c>
      <c r="E2018" s="5">
        <v>92.6</v>
      </c>
      <c r="F2018" s="5">
        <v>185.8</v>
      </c>
      <c r="G2018" s="5">
        <v>92.7</v>
      </c>
      <c r="H2018" s="5">
        <v>92.6</v>
      </c>
      <c r="I2018" s="5">
        <v>0</v>
      </c>
      <c r="J2018" s="5">
        <v>0</v>
      </c>
      <c r="K2018" s="5">
        <v>0</v>
      </c>
    </row>
    <row r="2019" spans="1:11" x14ac:dyDescent="0.25">
      <c r="A2019" s="5">
        <f>2012</f>
      </c>
      <c r="B2019" s="5" t="s">
        <v>2027</v>
      </c>
      <c r="C2019" s="5">
        <v>86.5</v>
      </c>
      <c r="D2019" s="5">
        <v>0.1</v>
      </c>
      <c r="E2019" s="5">
        <v>86.6</v>
      </c>
      <c r="F2019" s="5">
        <v>174.5</v>
      </c>
      <c r="G2019" s="5">
        <v>86.9</v>
      </c>
      <c r="H2019" s="5">
        <v>86.7</v>
      </c>
      <c r="I2019" s="5">
        <v>0</v>
      </c>
      <c r="J2019" s="5">
        <v>0</v>
      </c>
      <c r="K2019" s="5">
        <v>0</v>
      </c>
    </row>
    <row r="2020" spans="1:11" x14ac:dyDescent="0.25">
      <c r="A2020" s="5">
        <f>2013</f>
      </c>
      <c r="B2020" s="5" t="s">
        <v>2028</v>
      </c>
      <c r="C2020" s="5">
        <v>86.5</v>
      </c>
      <c r="D2020" s="5">
        <v>0.1</v>
      </c>
      <c r="E2020" s="5">
        <v>86.6</v>
      </c>
      <c r="F2020" s="5">
        <v>174.5</v>
      </c>
      <c r="G2020" s="5">
        <v>86.9</v>
      </c>
      <c r="H2020" s="5">
        <v>86.7</v>
      </c>
      <c r="I2020" s="5">
        <v>0</v>
      </c>
      <c r="J2020" s="5">
        <v>0</v>
      </c>
      <c r="K2020" s="5">
        <v>0</v>
      </c>
    </row>
    <row r="2021" spans="1:11" x14ac:dyDescent="0.25">
      <c r="A2021" s="5">
        <f>2014</f>
      </c>
      <c r="B2021" s="5" t="s">
        <v>2029</v>
      </c>
      <c r="C2021" s="5">
        <v>86.5</v>
      </c>
      <c r="D2021" s="5">
        <v>0.1</v>
      </c>
      <c r="E2021" s="5">
        <v>89.6</v>
      </c>
      <c r="F2021" s="5">
        <v>177.9</v>
      </c>
      <c r="G2021" s="5">
        <v>88.8</v>
      </c>
      <c r="H2021" s="5">
        <v>88.7</v>
      </c>
      <c r="I2021" s="5">
        <v>0</v>
      </c>
      <c r="J2021" s="5">
        <v>0</v>
      </c>
      <c r="K2021" s="5">
        <v>0</v>
      </c>
    </row>
    <row r="2022" spans="1:11" x14ac:dyDescent="0.25">
      <c r="A2022" s="5">
        <f>2015</f>
      </c>
      <c r="B2022" s="5" t="s">
        <v>2030</v>
      </c>
      <c r="C2022" s="5">
        <v>89.5</v>
      </c>
      <c r="D2022" s="5">
        <v>0.1</v>
      </c>
      <c r="E2022" s="5">
        <v>89.6</v>
      </c>
      <c r="F2022" s="5">
        <v>177.9</v>
      </c>
      <c r="G2022" s="5">
        <v>88.8</v>
      </c>
      <c r="H2022" s="5">
        <v>88.7</v>
      </c>
      <c r="I2022" s="5">
        <v>0</v>
      </c>
      <c r="J2022" s="5">
        <v>0</v>
      </c>
      <c r="K2022" s="5">
        <v>0</v>
      </c>
    </row>
    <row r="2023" spans="1:11" x14ac:dyDescent="0.25">
      <c r="A2023" s="5">
        <f>2016</f>
      </c>
      <c r="B2023" s="5" t="s">
        <v>2031</v>
      </c>
      <c r="C2023" s="5">
        <v>89.5</v>
      </c>
      <c r="D2023" s="5">
        <v>0.1</v>
      </c>
      <c r="E2023" s="5">
        <v>89.6</v>
      </c>
      <c r="F2023" s="5">
        <v>177.9</v>
      </c>
      <c r="G2023" s="5">
        <v>88.8</v>
      </c>
      <c r="H2023" s="5">
        <v>88.7</v>
      </c>
      <c r="I2023" s="5">
        <v>0</v>
      </c>
      <c r="J2023" s="5">
        <v>0</v>
      </c>
      <c r="K2023" s="5">
        <v>0</v>
      </c>
    </row>
    <row r="2024" spans="1:11" x14ac:dyDescent="0.25">
      <c r="A2024" s="5">
        <f>2017</f>
      </c>
      <c r="B2024" s="5" t="s">
        <v>2032</v>
      </c>
      <c r="C2024" s="5">
        <v>89.5</v>
      </c>
      <c r="D2024" s="5">
        <v>0.1</v>
      </c>
      <c r="E2024" s="5">
        <v>89.6</v>
      </c>
      <c r="F2024" s="5">
        <v>177.9</v>
      </c>
      <c r="G2024" s="5">
        <v>88.8</v>
      </c>
      <c r="H2024" s="5">
        <v>88.7</v>
      </c>
      <c r="I2024" s="5">
        <v>0</v>
      </c>
      <c r="J2024" s="5">
        <v>0</v>
      </c>
      <c r="K2024" s="5">
        <v>0</v>
      </c>
    </row>
    <row r="2025" spans="1:11" x14ac:dyDescent="0.25">
      <c r="A2025" s="5">
        <f>2018</f>
      </c>
      <c r="B2025" s="5" t="s">
        <v>2033</v>
      </c>
      <c r="C2025" s="5">
        <v>88.7</v>
      </c>
      <c r="D2025" s="5">
        <v>0</v>
      </c>
      <c r="E2025" s="5">
        <v>88.8</v>
      </c>
      <c r="F2025" s="5">
        <v>192</v>
      </c>
      <c r="G2025" s="5">
        <v>95.8</v>
      </c>
      <c r="H2025" s="5">
        <v>95.6</v>
      </c>
      <c r="I2025" s="5">
        <v>0</v>
      </c>
      <c r="J2025" s="5">
        <v>0</v>
      </c>
      <c r="K2025" s="5">
        <v>0</v>
      </c>
    </row>
    <row r="2026" spans="1:11" x14ac:dyDescent="0.25">
      <c r="A2026" s="5">
        <f>2019</f>
      </c>
      <c r="B2026" s="5" t="s">
        <v>2034</v>
      </c>
      <c r="C2026" s="5">
        <v>88.7</v>
      </c>
      <c r="D2026" s="5">
        <v>0</v>
      </c>
      <c r="E2026" s="5">
        <v>88.8</v>
      </c>
      <c r="F2026" s="5">
        <v>192</v>
      </c>
      <c r="G2026" s="5">
        <v>95.8</v>
      </c>
      <c r="H2026" s="5">
        <v>95.6</v>
      </c>
      <c r="I2026" s="5">
        <v>0</v>
      </c>
      <c r="J2026" s="5">
        <v>0</v>
      </c>
      <c r="K2026" s="5">
        <v>0</v>
      </c>
    </row>
    <row r="2027" spans="1:11" x14ac:dyDescent="0.25">
      <c r="A2027" s="5">
        <f>2020</f>
      </c>
      <c r="B2027" s="5" t="s">
        <v>2035</v>
      </c>
      <c r="C2027" s="5">
        <v>96.9</v>
      </c>
      <c r="D2027" s="5">
        <v>0.1</v>
      </c>
      <c r="E2027" s="5">
        <v>97</v>
      </c>
      <c r="F2027" s="5">
        <v>188</v>
      </c>
      <c r="G2027" s="5">
        <v>93.7</v>
      </c>
      <c r="H2027" s="5">
        <v>93.6</v>
      </c>
      <c r="I2027" s="5">
        <v>0</v>
      </c>
      <c r="J2027" s="5">
        <v>0</v>
      </c>
      <c r="K2027" s="5">
        <v>0</v>
      </c>
    </row>
    <row r="2028" spans="1:11" x14ac:dyDescent="0.25">
      <c r="A2028" s="5">
        <f>2021</f>
      </c>
      <c r="B2028" s="5" t="s">
        <v>2036</v>
      </c>
      <c r="C2028" s="5">
        <v>96.9</v>
      </c>
      <c r="D2028" s="5">
        <v>0.1</v>
      </c>
      <c r="E2028" s="5">
        <v>97</v>
      </c>
      <c r="F2028" s="5">
        <v>188</v>
      </c>
      <c r="G2028" s="5">
        <v>93.7</v>
      </c>
      <c r="H2028" s="5">
        <v>93.6</v>
      </c>
      <c r="I2028" s="5">
        <v>0</v>
      </c>
      <c r="J2028" s="5">
        <v>0</v>
      </c>
      <c r="K2028" s="5">
        <v>0</v>
      </c>
    </row>
    <row r="2029" spans="1:11" x14ac:dyDescent="0.25">
      <c r="A2029" s="5">
        <f>2022</f>
      </c>
      <c r="B2029" s="5" t="s">
        <v>2037</v>
      </c>
      <c r="C2029" s="5">
        <v>92.2</v>
      </c>
      <c r="D2029" s="5">
        <v>0.1</v>
      </c>
      <c r="E2029" s="5">
        <v>92.3</v>
      </c>
      <c r="F2029" s="5">
        <v>180.9</v>
      </c>
      <c r="G2029" s="5">
        <v>90.3</v>
      </c>
      <c r="H2029" s="5">
        <v>90.3</v>
      </c>
      <c r="I2029" s="5">
        <v>0</v>
      </c>
      <c r="J2029" s="5">
        <v>0</v>
      </c>
      <c r="K2029" s="5">
        <v>0</v>
      </c>
    </row>
    <row r="2030" spans="1:11" x14ac:dyDescent="0.25">
      <c r="A2030" s="5">
        <f>2023</f>
      </c>
      <c r="B2030" s="5" t="s">
        <v>2038</v>
      </c>
      <c r="C2030" s="5">
        <v>92.2</v>
      </c>
      <c r="D2030" s="5">
        <v>0.1</v>
      </c>
      <c r="E2030" s="5">
        <v>92.3</v>
      </c>
      <c r="F2030" s="5">
        <v>180.9</v>
      </c>
      <c r="G2030" s="5">
        <v>90.3</v>
      </c>
      <c r="H2030" s="5">
        <v>90.3</v>
      </c>
      <c r="I2030" s="5">
        <v>0</v>
      </c>
      <c r="J2030" s="5">
        <v>0</v>
      </c>
      <c r="K2030" s="5">
        <v>0</v>
      </c>
    </row>
    <row r="2031" spans="1:11" x14ac:dyDescent="0.25">
      <c r="A2031" s="5">
        <f>2024</f>
      </c>
      <c r="B2031" s="5" t="s">
        <v>2039</v>
      </c>
      <c r="C2031" s="5">
        <v>89.2</v>
      </c>
      <c r="D2031" s="5">
        <v>0.1</v>
      </c>
      <c r="E2031" s="5">
        <v>89.3</v>
      </c>
      <c r="F2031" s="5">
        <v>183.4</v>
      </c>
      <c r="G2031" s="5">
        <v>91.3</v>
      </c>
      <c r="H2031" s="5">
        <v>91.1</v>
      </c>
      <c r="I2031" s="5">
        <v>0</v>
      </c>
      <c r="J2031" s="5">
        <v>0</v>
      </c>
      <c r="K2031" s="5">
        <v>0</v>
      </c>
    </row>
    <row r="2032" spans="1:11" x14ac:dyDescent="0.25">
      <c r="A2032" s="5">
        <f>2025</f>
      </c>
      <c r="B2032" s="5" t="s">
        <v>2040</v>
      </c>
      <c r="C2032" s="5">
        <v>89.2</v>
      </c>
      <c r="D2032" s="5">
        <v>0.1</v>
      </c>
      <c r="E2032" s="5">
        <v>89.3</v>
      </c>
      <c r="F2032" s="5">
        <v>183.4</v>
      </c>
      <c r="G2032" s="5">
        <v>91.3</v>
      </c>
      <c r="H2032" s="5">
        <v>91.1</v>
      </c>
      <c r="I2032" s="5">
        <v>0</v>
      </c>
      <c r="J2032" s="5">
        <v>0</v>
      </c>
      <c r="K2032" s="5">
        <v>0</v>
      </c>
    </row>
    <row r="2033" spans="1:11" x14ac:dyDescent="0.25">
      <c r="A2033" s="5">
        <f>2026</f>
      </c>
      <c r="B2033" s="5" t="s">
        <v>2041</v>
      </c>
      <c r="C2033" s="5">
        <v>89.2</v>
      </c>
      <c r="D2033" s="5">
        <v>0.1</v>
      </c>
      <c r="E2033" s="5">
        <v>89.3</v>
      </c>
      <c r="F2033" s="5">
        <v>183.4</v>
      </c>
      <c r="G2033" s="5">
        <v>91.3</v>
      </c>
      <c r="H2033" s="5">
        <v>91.1</v>
      </c>
      <c r="I2033" s="5">
        <v>0</v>
      </c>
      <c r="J2033" s="5">
        <v>0</v>
      </c>
      <c r="K2033" s="5">
        <v>0</v>
      </c>
    </row>
    <row r="2034" spans="1:11" x14ac:dyDescent="0.25">
      <c r="A2034" s="5">
        <f>2027</f>
      </c>
      <c r="B2034" s="5" t="s">
        <v>2042</v>
      </c>
      <c r="C2034" s="5">
        <v>89.2</v>
      </c>
      <c r="D2034" s="5">
        <v>0.1</v>
      </c>
      <c r="E2034" s="5">
        <v>89.3</v>
      </c>
      <c r="F2034" s="5">
        <v>183.4</v>
      </c>
      <c r="G2034" s="5">
        <v>91.3</v>
      </c>
      <c r="H2034" s="5">
        <v>91.1</v>
      </c>
      <c r="I2034" s="5">
        <v>0</v>
      </c>
      <c r="J2034" s="5">
        <v>0</v>
      </c>
      <c r="K2034" s="5">
        <v>0</v>
      </c>
    </row>
    <row r="2035" spans="1:11" x14ac:dyDescent="0.25">
      <c r="A2035" s="5">
        <f>2028</f>
      </c>
      <c r="B2035" s="5" t="s">
        <v>2043</v>
      </c>
      <c r="C2035" s="5">
        <v>93.2</v>
      </c>
      <c r="D2035" s="5">
        <v>0.1</v>
      </c>
      <c r="E2035" s="5">
        <v>93.3</v>
      </c>
      <c r="F2035" s="5">
        <v>183.4</v>
      </c>
      <c r="G2035" s="5">
        <v>91.3</v>
      </c>
      <c r="H2035" s="5">
        <v>91.1</v>
      </c>
      <c r="I2035" s="5">
        <v>0</v>
      </c>
      <c r="J2035" s="5">
        <v>0</v>
      </c>
      <c r="K2035" s="5">
        <v>0</v>
      </c>
    </row>
    <row r="2036" spans="1:11" x14ac:dyDescent="0.25">
      <c r="A2036" s="5">
        <f>2029</f>
      </c>
      <c r="B2036" s="5" t="s">
        <v>2044</v>
      </c>
      <c r="C2036" s="5">
        <v>93.2</v>
      </c>
      <c r="D2036" s="5">
        <v>0.1</v>
      </c>
      <c r="E2036" s="5">
        <v>93.3</v>
      </c>
      <c r="F2036" s="5">
        <v>185.5</v>
      </c>
      <c r="G2036" s="5">
        <v>92.4</v>
      </c>
      <c r="H2036" s="5">
        <v>92.2</v>
      </c>
      <c r="I2036" s="5">
        <v>0</v>
      </c>
      <c r="J2036" s="5">
        <v>0</v>
      </c>
      <c r="K2036" s="5">
        <v>0</v>
      </c>
    </row>
    <row r="2037" spans="1:11" x14ac:dyDescent="0.25">
      <c r="A2037" s="5">
        <f>2030</f>
      </c>
      <c r="B2037" s="5" t="s">
        <v>2045</v>
      </c>
      <c r="C2037" s="5">
        <v>87.5</v>
      </c>
      <c r="D2037" s="5">
        <v>0.1</v>
      </c>
      <c r="E2037" s="5">
        <v>93.3</v>
      </c>
      <c r="F2037" s="5">
        <v>185.5</v>
      </c>
      <c r="G2037" s="5">
        <v>92.4</v>
      </c>
      <c r="H2037" s="5">
        <v>92.2</v>
      </c>
      <c r="I2037" s="5">
        <v>0</v>
      </c>
      <c r="J2037" s="5">
        <v>0</v>
      </c>
      <c r="K2037" s="5">
        <v>0</v>
      </c>
    </row>
    <row r="2038" spans="1:11" x14ac:dyDescent="0.25">
      <c r="A2038" s="5">
        <f>2031</f>
      </c>
      <c r="B2038" s="5" t="s">
        <v>2046</v>
      </c>
      <c r="C2038" s="5">
        <v>87.5</v>
      </c>
      <c r="D2038" s="5">
        <v>0.1</v>
      </c>
      <c r="E2038" s="5">
        <v>87.7</v>
      </c>
      <c r="F2038" s="5">
        <v>175.2</v>
      </c>
      <c r="G2038" s="5">
        <v>87.4</v>
      </c>
      <c r="H2038" s="5">
        <v>87.2</v>
      </c>
      <c r="I2038" s="5">
        <v>0</v>
      </c>
      <c r="J2038" s="5">
        <v>0</v>
      </c>
      <c r="K2038" s="5">
        <v>0</v>
      </c>
    </row>
    <row r="2039" spans="1:11" x14ac:dyDescent="0.25">
      <c r="A2039" s="5">
        <f>2032</f>
      </c>
      <c r="B2039" s="5" t="s">
        <v>2047</v>
      </c>
      <c r="C2039" s="5">
        <v>87.5</v>
      </c>
      <c r="D2039" s="5">
        <v>0.1</v>
      </c>
      <c r="E2039" s="5">
        <v>87.7</v>
      </c>
      <c r="F2039" s="5">
        <v>175.2</v>
      </c>
      <c r="G2039" s="5">
        <v>87.4</v>
      </c>
      <c r="H2039" s="5">
        <v>87.2</v>
      </c>
      <c r="I2039" s="5">
        <v>0</v>
      </c>
      <c r="J2039" s="5">
        <v>0</v>
      </c>
      <c r="K2039" s="5">
        <v>0</v>
      </c>
    </row>
    <row r="2040" spans="1:11" x14ac:dyDescent="0.25">
      <c r="A2040" s="5">
        <f>2033</f>
      </c>
      <c r="B2040" s="5" t="s">
        <v>2048</v>
      </c>
      <c r="C2040" s="5">
        <v>87.5</v>
      </c>
      <c r="D2040" s="5">
        <v>0.1</v>
      </c>
      <c r="E2040" s="5">
        <v>87.7</v>
      </c>
      <c r="F2040" s="5">
        <v>175.2</v>
      </c>
      <c r="G2040" s="5">
        <v>87.4</v>
      </c>
      <c r="H2040" s="5">
        <v>87.2</v>
      </c>
      <c r="I2040" s="5">
        <v>0</v>
      </c>
      <c r="J2040" s="5">
        <v>0</v>
      </c>
      <c r="K2040" s="5">
        <v>0</v>
      </c>
    </row>
    <row r="2041" spans="1:11" x14ac:dyDescent="0.25">
      <c r="A2041" s="5">
        <f>2034</f>
      </c>
      <c r="B2041" s="5" t="s">
        <v>2049</v>
      </c>
      <c r="C2041" s="5">
        <v>87.5</v>
      </c>
      <c r="D2041" s="5">
        <v>0.1</v>
      </c>
      <c r="E2041" s="5">
        <v>87.7</v>
      </c>
      <c r="F2041" s="5">
        <v>175.2</v>
      </c>
      <c r="G2041" s="5">
        <v>87.4</v>
      </c>
      <c r="H2041" s="5">
        <v>87.2</v>
      </c>
      <c r="I2041" s="5">
        <v>0</v>
      </c>
      <c r="J2041" s="5">
        <v>0</v>
      </c>
      <c r="K2041" s="5">
        <v>0</v>
      </c>
    </row>
    <row r="2042" spans="1:11" x14ac:dyDescent="0.25">
      <c r="A2042" s="5">
        <f>2035</f>
      </c>
      <c r="B2042" s="5" t="s">
        <v>2050</v>
      </c>
      <c r="C2042" s="5">
        <v>91.2</v>
      </c>
      <c r="D2042" s="5">
        <v>0.1</v>
      </c>
      <c r="E2042" s="5">
        <v>91.3</v>
      </c>
      <c r="F2042" s="5">
        <v>182.3</v>
      </c>
      <c r="G2042" s="5">
        <v>91</v>
      </c>
      <c r="H2042" s="5">
        <v>91</v>
      </c>
      <c r="I2042" s="5">
        <v>0</v>
      </c>
      <c r="J2042" s="5">
        <v>0</v>
      </c>
      <c r="K2042" s="5">
        <v>0</v>
      </c>
    </row>
    <row r="2043" spans="1:11" x14ac:dyDescent="0.25">
      <c r="A2043" s="5">
        <f>2036</f>
      </c>
      <c r="B2043" s="5" t="s">
        <v>2051</v>
      </c>
      <c r="C2043" s="5">
        <v>91.2</v>
      </c>
      <c r="D2043" s="5">
        <v>0.1</v>
      </c>
      <c r="E2043" s="5">
        <v>91.3</v>
      </c>
      <c r="F2043" s="5">
        <v>182.3</v>
      </c>
      <c r="G2043" s="5">
        <v>91</v>
      </c>
      <c r="H2043" s="5">
        <v>91</v>
      </c>
      <c r="I2043" s="5">
        <v>0</v>
      </c>
      <c r="J2043" s="5">
        <v>0</v>
      </c>
      <c r="K2043" s="5">
        <v>0</v>
      </c>
    </row>
    <row r="2044" spans="1:11" x14ac:dyDescent="0.25">
      <c r="A2044" s="5">
        <f>2037</f>
      </c>
      <c r="B2044" s="5" t="s">
        <v>2052</v>
      </c>
      <c r="C2044" s="5">
        <v>91.2</v>
      </c>
      <c r="D2044" s="5">
        <v>0.1</v>
      </c>
      <c r="E2044" s="5">
        <v>91.3</v>
      </c>
      <c r="F2044" s="5">
        <v>182.3</v>
      </c>
      <c r="G2044" s="5">
        <v>91</v>
      </c>
      <c r="H2044" s="5">
        <v>91</v>
      </c>
      <c r="I2044" s="5">
        <v>0</v>
      </c>
      <c r="J2044" s="5">
        <v>0</v>
      </c>
      <c r="K2044" s="5">
        <v>0</v>
      </c>
    </row>
    <row r="2045" spans="1:11" x14ac:dyDescent="0.25">
      <c r="A2045" s="5">
        <f>2038</f>
      </c>
      <c r="B2045" s="5" t="s">
        <v>2053</v>
      </c>
      <c r="C2045" s="5">
        <v>94.5</v>
      </c>
      <c r="D2045" s="5">
        <v>0.1</v>
      </c>
      <c r="E2045" s="5">
        <v>94.6</v>
      </c>
      <c r="F2045" s="5">
        <v>182.7</v>
      </c>
      <c r="G2045" s="5">
        <v>91.2</v>
      </c>
      <c r="H2045" s="5">
        <v>91.1</v>
      </c>
      <c r="I2045" s="5">
        <v>0</v>
      </c>
      <c r="J2045" s="5">
        <v>0</v>
      </c>
      <c r="K2045" s="5">
        <v>0</v>
      </c>
    </row>
    <row r="2046" spans="1:11" x14ac:dyDescent="0.25">
      <c r="A2046" s="5">
        <f>2039</f>
      </c>
      <c r="B2046" s="5" t="s">
        <v>2054</v>
      </c>
      <c r="C2046" s="5">
        <v>94.5</v>
      </c>
      <c r="D2046" s="5">
        <v>0.1</v>
      </c>
      <c r="E2046" s="5">
        <v>94.6</v>
      </c>
      <c r="F2046" s="5">
        <v>182.7</v>
      </c>
      <c r="G2046" s="5">
        <v>91.2</v>
      </c>
      <c r="H2046" s="5">
        <v>91.1</v>
      </c>
      <c r="I2046" s="5">
        <v>0</v>
      </c>
      <c r="J2046" s="5">
        <v>0</v>
      </c>
      <c r="K2046" s="5">
        <v>0</v>
      </c>
    </row>
    <row r="2047" spans="1:11" x14ac:dyDescent="0.25">
      <c r="A2047" s="5">
        <f>2040</f>
      </c>
      <c r="B2047" s="5" t="s">
        <v>2055</v>
      </c>
      <c r="C2047" s="5">
        <v>89.6</v>
      </c>
      <c r="D2047" s="5">
        <v>0.1</v>
      </c>
      <c r="E2047" s="5">
        <v>89.7</v>
      </c>
      <c r="F2047" s="5">
        <v>177.4</v>
      </c>
      <c r="G2047" s="5">
        <v>88.5</v>
      </c>
      <c r="H2047" s="5">
        <v>88.4</v>
      </c>
      <c r="I2047" s="5">
        <v>0</v>
      </c>
      <c r="J2047" s="5">
        <v>0</v>
      </c>
      <c r="K2047" s="5">
        <v>0</v>
      </c>
    </row>
    <row r="2048" spans="1:11" x14ac:dyDescent="0.25">
      <c r="A2048" s="5">
        <f>2041</f>
      </c>
      <c r="B2048" s="5" t="s">
        <v>2056</v>
      </c>
      <c r="C2048" s="5">
        <v>89.6</v>
      </c>
      <c r="D2048" s="5">
        <v>0.1</v>
      </c>
      <c r="E2048" s="5">
        <v>89.7</v>
      </c>
      <c r="F2048" s="5">
        <v>177.4</v>
      </c>
      <c r="G2048" s="5">
        <v>88.5</v>
      </c>
      <c r="H2048" s="5">
        <v>88.4</v>
      </c>
      <c r="I2048" s="5">
        <v>0</v>
      </c>
      <c r="J2048" s="5">
        <v>0</v>
      </c>
      <c r="K2048" s="5">
        <v>0</v>
      </c>
    </row>
    <row r="2049" spans="1:11" x14ac:dyDescent="0.25">
      <c r="A2049" s="5">
        <f>2042</f>
      </c>
      <c r="B2049" s="5" t="s">
        <v>2057</v>
      </c>
      <c r="C2049" s="5">
        <v>89.6</v>
      </c>
      <c r="D2049" s="5">
        <v>0.1</v>
      </c>
      <c r="E2049" s="5">
        <v>91.9</v>
      </c>
      <c r="F2049" s="5">
        <v>183.8</v>
      </c>
      <c r="G2049" s="5">
        <v>91.8</v>
      </c>
      <c r="H2049" s="5">
        <v>91.8</v>
      </c>
      <c r="I2049" s="5">
        <v>0</v>
      </c>
      <c r="J2049" s="5">
        <v>0</v>
      </c>
      <c r="K2049" s="5">
        <v>0</v>
      </c>
    </row>
    <row r="2050" spans="1:11" x14ac:dyDescent="0.25">
      <c r="A2050" s="5">
        <f>2043</f>
      </c>
      <c r="B2050" s="5" t="s">
        <v>2058</v>
      </c>
      <c r="C2050" s="5">
        <v>91.8</v>
      </c>
      <c r="D2050" s="5">
        <v>0.1</v>
      </c>
      <c r="E2050" s="5">
        <v>91.9</v>
      </c>
      <c r="F2050" s="5">
        <v>183.8</v>
      </c>
      <c r="G2050" s="5">
        <v>91.8</v>
      </c>
      <c r="H2050" s="5">
        <v>91.8</v>
      </c>
      <c r="I2050" s="5">
        <v>0</v>
      </c>
      <c r="J2050" s="5">
        <v>0</v>
      </c>
      <c r="K2050" s="5">
        <v>0</v>
      </c>
    </row>
    <row r="2051" spans="1:11" x14ac:dyDescent="0.25">
      <c r="A2051" s="5">
        <f>2044</f>
      </c>
      <c r="B2051" s="5" t="s">
        <v>2059</v>
      </c>
      <c r="C2051" s="5">
        <v>91.8</v>
      </c>
      <c r="D2051" s="5">
        <v>0.1</v>
      </c>
      <c r="E2051" s="5">
        <v>91.1</v>
      </c>
      <c r="F2051" s="5">
        <v>179.3</v>
      </c>
      <c r="G2051" s="5">
        <v>89.5</v>
      </c>
      <c r="H2051" s="5">
        <v>89.4</v>
      </c>
      <c r="I2051" s="5">
        <v>0</v>
      </c>
      <c r="J2051" s="5">
        <v>0</v>
      </c>
      <c r="K2051" s="5">
        <v>0</v>
      </c>
    </row>
    <row r="2052" spans="1:11" x14ac:dyDescent="0.25">
      <c r="A2052" s="5">
        <f>2045</f>
      </c>
      <c r="B2052" s="5" t="s">
        <v>2060</v>
      </c>
      <c r="C2052" s="5">
        <v>91</v>
      </c>
      <c r="D2052" s="5">
        <v>0.1</v>
      </c>
      <c r="E2052" s="5">
        <v>91.1</v>
      </c>
      <c r="F2052" s="5">
        <v>179.3</v>
      </c>
      <c r="G2052" s="5">
        <v>89.5</v>
      </c>
      <c r="H2052" s="5">
        <v>89.4</v>
      </c>
      <c r="I2052" s="5">
        <v>0</v>
      </c>
      <c r="J2052" s="5">
        <v>0</v>
      </c>
      <c r="K2052" s="5">
        <v>0</v>
      </c>
    </row>
    <row r="2053" spans="1:11" x14ac:dyDescent="0.25">
      <c r="A2053" s="5">
        <f>2046</f>
      </c>
      <c r="B2053" s="5" t="s">
        <v>2061</v>
      </c>
      <c r="C2053" s="5">
        <v>91</v>
      </c>
      <c r="D2053" s="5">
        <v>0.1</v>
      </c>
      <c r="E2053" s="5">
        <v>91.1</v>
      </c>
      <c r="F2053" s="5">
        <v>179.3</v>
      </c>
      <c r="G2053" s="5">
        <v>89.5</v>
      </c>
      <c r="H2053" s="5">
        <v>89.4</v>
      </c>
      <c r="I2053" s="5">
        <v>0</v>
      </c>
      <c r="J2053" s="5">
        <v>0</v>
      </c>
      <c r="K2053" s="5">
        <v>0</v>
      </c>
    </row>
    <row r="2054" spans="1:11" x14ac:dyDescent="0.25">
      <c r="A2054" s="5">
        <f>2047</f>
      </c>
      <c r="B2054" s="5" t="s">
        <v>2062</v>
      </c>
      <c r="C2054" s="5">
        <v>91</v>
      </c>
      <c r="D2054" s="5">
        <v>0.1</v>
      </c>
      <c r="E2054" s="5">
        <v>91.1</v>
      </c>
      <c r="F2054" s="5">
        <v>179.3</v>
      </c>
      <c r="G2054" s="5">
        <v>89.5</v>
      </c>
      <c r="H2054" s="5">
        <v>89.4</v>
      </c>
      <c r="I2054" s="5">
        <v>0</v>
      </c>
      <c r="J2054" s="5">
        <v>0</v>
      </c>
      <c r="K2054" s="5">
        <v>0</v>
      </c>
    </row>
    <row r="2055" spans="1:11" x14ac:dyDescent="0.25">
      <c r="A2055" s="5">
        <f>2048</f>
      </c>
      <c r="B2055" s="5" t="s">
        <v>2063</v>
      </c>
      <c r="C2055" s="5">
        <v>91.1</v>
      </c>
      <c r="D2055" s="5">
        <v>0.1</v>
      </c>
      <c r="E2055" s="5">
        <v>91.3</v>
      </c>
      <c r="F2055" s="5">
        <v>180.2</v>
      </c>
      <c r="G2055" s="5">
        <v>90</v>
      </c>
      <c r="H2055" s="5">
        <v>90.1</v>
      </c>
      <c r="I2055" s="5">
        <v>0</v>
      </c>
      <c r="J2055" s="5">
        <v>0</v>
      </c>
      <c r="K2055" s="5">
        <v>0</v>
      </c>
    </row>
    <row r="2056" spans="1:11" x14ac:dyDescent="0.25">
      <c r="A2056" s="5">
        <f>2049</f>
      </c>
      <c r="B2056" s="5" t="s">
        <v>2064</v>
      </c>
      <c r="C2056" s="5">
        <v>91.1</v>
      </c>
      <c r="D2056" s="5">
        <v>0.1</v>
      </c>
      <c r="E2056" s="5">
        <v>91.3</v>
      </c>
      <c r="F2056" s="5">
        <v>180.2</v>
      </c>
      <c r="G2056" s="5">
        <v>90</v>
      </c>
      <c r="H2056" s="5">
        <v>90.1</v>
      </c>
      <c r="I2056" s="5">
        <v>0</v>
      </c>
      <c r="J2056" s="5">
        <v>0</v>
      </c>
      <c r="K2056" s="5">
        <v>0</v>
      </c>
    </row>
    <row r="2057" spans="1:11" x14ac:dyDescent="0.25">
      <c r="A2057" s="5">
        <f>2050</f>
      </c>
      <c r="B2057" s="5" t="s">
        <v>2065</v>
      </c>
      <c r="C2057" s="5">
        <v>90</v>
      </c>
      <c r="D2057" s="5">
        <v>0</v>
      </c>
      <c r="E2057" s="5">
        <v>90.1</v>
      </c>
      <c r="F2057" s="5">
        <v>180.2</v>
      </c>
      <c r="G2057" s="5">
        <v>89.9</v>
      </c>
      <c r="H2057" s="5">
        <v>89.6</v>
      </c>
      <c r="I2057" s="5">
        <v>0</v>
      </c>
      <c r="J2057" s="5">
        <v>0</v>
      </c>
      <c r="K2057" s="5">
        <v>0</v>
      </c>
    </row>
    <row r="2058" spans="1:11" x14ac:dyDescent="0.25">
      <c r="A2058" s="5">
        <f>2051</f>
      </c>
      <c r="B2058" s="5" t="s">
        <v>2066</v>
      </c>
      <c r="C2058" s="5">
        <v>90</v>
      </c>
      <c r="D2058" s="5">
        <v>0</v>
      </c>
      <c r="E2058" s="5">
        <v>90.1</v>
      </c>
      <c r="F2058" s="5">
        <v>180.2</v>
      </c>
      <c r="G2058" s="5">
        <v>89.9</v>
      </c>
      <c r="H2058" s="5">
        <v>89.6</v>
      </c>
      <c r="I2058" s="5">
        <v>0</v>
      </c>
      <c r="J2058" s="5">
        <v>0</v>
      </c>
      <c r="K2058" s="5">
        <v>0</v>
      </c>
    </row>
    <row r="2059" spans="1:11" x14ac:dyDescent="0.25">
      <c r="A2059" s="5">
        <f>2052</f>
      </c>
      <c r="B2059" s="5" t="s">
        <v>2067</v>
      </c>
      <c r="C2059" s="5">
        <v>99.2</v>
      </c>
      <c r="D2059" s="5">
        <v>0.1</v>
      </c>
      <c r="E2059" s="5">
        <v>99.4</v>
      </c>
      <c r="F2059" s="5">
        <v>197.1</v>
      </c>
      <c r="G2059" s="5">
        <v>98.4</v>
      </c>
      <c r="H2059" s="5">
        <v>98.3</v>
      </c>
      <c r="I2059" s="5">
        <v>0</v>
      </c>
      <c r="J2059" s="5">
        <v>0</v>
      </c>
      <c r="K2059" s="5">
        <v>0</v>
      </c>
    </row>
    <row r="2060" spans="1:11" x14ac:dyDescent="0.25">
      <c r="A2060" s="5">
        <f>2053</f>
      </c>
      <c r="B2060" s="5" t="s">
        <v>2068</v>
      </c>
      <c r="C2060" s="5">
        <v>99.2</v>
      </c>
      <c r="D2060" s="5">
        <v>0.1</v>
      </c>
      <c r="E2060" s="5">
        <v>99.4</v>
      </c>
      <c r="F2060" s="5">
        <v>197.1</v>
      </c>
      <c r="G2060" s="5">
        <v>98.4</v>
      </c>
      <c r="H2060" s="5">
        <v>98.3</v>
      </c>
      <c r="I2060" s="5">
        <v>0</v>
      </c>
      <c r="J2060" s="5">
        <v>0</v>
      </c>
      <c r="K2060" s="5">
        <v>0</v>
      </c>
    </row>
    <row r="2061" spans="1:11" x14ac:dyDescent="0.25">
      <c r="A2061" s="5">
        <f>2054</f>
      </c>
      <c r="B2061" s="5" t="s">
        <v>2069</v>
      </c>
      <c r="C2061" s="5">
        <v>91.7</v>
      </c>
      <c r="D2061" s="5">
        <v>0.1</v>
      </c>
      <c r="E2061" s="5">
        <v>91.9</v>
      </c>
      <c r="F2061" s="5">
        <v>185.7</v>
      </c>
      <c r="G2061" s="5">
        <v>92.5</v>
      </c>
      <c r="H2061" s="5">
        <v>92.2</v>
      </c>
      <c r="I2061" s="5">
        <v>0</v>
      </c>
      <c r="J2061" s="5">
        <v>0</v>
      </c>
      <c r="K2061" s="5">
        <v>0</v>
      </c>
    </row>
    <row r="2062" spans="1:11" x14ac:dyDescent="0.25">
      <c r="A2062" s="5">
        <f>2055</f>
      </c>
      <c r="B2062" s="5" t="s">
        <v>2070</v>
      </c>
      <c r="C2062" s="5">
        <v>91.7</v>
      </c>
      <c r="D2062" s="5">
        <v>0.1</v>
      </c>
      <c r="E2062" s="5">
        <v>91.9</v>
      </c>
      <c r="F2062" s="5">
        <v>185.7</v>
      </c>
      <c r="G2062" s="5">
        <v>92.5</v>
      </c>
      <c r="H2062" s="5">
        <v>92.2</v>
      </c>
      <c r="I2062" s="5">
        <v>0</v>
      </c>
      <c r="J2062" s="5">
        <v>0</v>
      </c>
      <c r="K2062" s="5">
        <v>0</v>
      </c>
    </row>
    <row r="2063" spans="1:11" x14ac:dyDescent="0.25">
      <c r="A2063" s="5">
        <f>2056</f>
      </c>
      <c r="B2063" s="5" t="s">
        <v>2071</v>
      </c>
      <c r="C2063" s="5">
        <v>91.7</v>
      </c>
      <c r="D2063" s="5">
        <v>0.1</v>
      </c>
      <c r="E2063" s="5">
        <v>91.9</v>
      </c>
      <c r="F2063" s="5">
        <v>185.7</v>
      </c>
      <c r="G2063" s="5">
        <v>92.5</v>
      </c>
      <c r="H2063" s="5">
        <v>92.2</v>
      </c>
      <c r="I2063" s="5">
        <v>0</v>
      </c>
      <c r="J2063" s="5">
        <v>0</v>
      </c>
      <c r="K2063" s="5">
        <v>0</v>
      </c>
    </row>
    <row r="2064" spans="1:11" x14ac:dyDescent="0.25">
      <c r="A2064" s="5">
        <f>2057</f>
      </c>
      <c r="B2064" s="5" t="s">
        <v>2072</v>
      </c>
      <c r="C2064" s="5">
        <v>91.7</v>
      </c>
      <c r="D2064" s="5">
        <v>0.1</v>
      </c>
      <c r="E2064" s="5">
        <v>91.9</v>
      </c>
      <c r="F2064" s="5">
        <v>185.7</v>
      </c>
      <c r="G2064" s="5">
        <v>92.5</v>
      </c>
      <c r="H2064" s="5">
        <v>92.2</v>
      </c>
      <c r="I2064" s="5">
        <v>0</v>
      </c>
      <c r="J2064" s="5">
        <v>0</v>
      </c>
      <c r="K2064" s="5">
        <v>0</v>
      </c>
    </row>
    <row r="2065" spans="1:11" x14ac:dyDescent="0.25">
      <c r="A2065" s="5">
        <f>2058</f>
      </c>
      <c r="B2065" s="5" t="s">
        <v>2073</v>
      </c>
      <c r="C2065" s="5">
        <v>90.5</v>
      </c>
      <c r="D2065" s="5">
        <v>0.1</v>
      </c>
      <c r="E2065" s="5">
        <v>90.6</v>
      </c>
      <c r="F2065" s="5">
        <v>192.7</v>
      </c>
      <c r="G2065" s="5">
        <v>99</v>
      </c>
      <c r="H2065" s="5">
        <v>98.9</v>
      </c>
      <c r="I2065" s="5">
        <v>0</v>
      </c>
      <c r="J2065" s="5">
        <v>0</v>
      </c>
      <c r="K2065" s="5">
        <v>0</v>
      </c>
    </row>
    <row r="2066" spans="1:11" x14ac:dyDescent="0.25">
      <c r="A2066" s="5">
        <f>2059</f>
      </c>
      <c r="B2066" s="5" t="s">
        <v>2074</v>
      </c>
      <c r="C2066" s="5">
        <v>90.5</v>
      </c>
      <c r="D2066" s="5">
        <v>0.1</v>
      </c>
      <c r="E2066" s="5">
        <v>90.6</v>
      </c>
      <c r="F2066" s="5">
        <v>192.7</v>
      </c>
      <c r="G2066" s="5">
        <v>99</v>
      </c>
      <c r="H2066" s="5">
        <v>98.9</v>
      </c>
      <c r="I2066" s="5">
        <v>0</v>
      </c>
      <c r="J2066" s="5">
        <v>0</v>
      </c>
      <c r="K2066" s="5">
        <v>0</v>
      </c>
    </row>
    <row r="2067" spans="1:11" x14ac:dyDescent="0.25">
      <c r="A2067" s="5">
        <f>2060</f>
      </c>
      <c r="B2067" s="5" t="s">
        <v>2075</v>
      </c>
      <c r="C2067" s="5">
        <v>91.9</v>
      </c>
      <c r="D2067" s="5">
        <v>0.1</v>
      </c>
      <c r="E2067" s="5">
        <v>92.1</v>
      </c>
      <c r="F2067" s="5">
        <v>188.6</v>
      </c>
      <c r="G2067" s="5">
        <v>92.4</v>
      </c>
      <c r="H2067" s="5">
        <v>92.3</v>
      </c>
      <c r="I2067" s="5">
        <v>0</v>
      </c>
      <c r="J2067" s="5">
        <v>0</v>
      </c>
      <c r="K2067" s="5">
        <v>0</v>
      </c>
    </row>
    <row r="2068" spans="1:11" x14ac:dyDescent="0.25">
      <c r="A2068" s="5">
        <f>2061</f>
      </c>
      <c r="B2068" s="5" t="s">
        <v>2076</v>
      </c>
      <c r="C2068" s="5">
        <v>91.9</v>
      </c>
      <c r="D2068" s="5">
        <v>0.1</v>
      </c>
      <c r="E2068" s="5">
        <v>92.1</v>
      </c>
      <c r="F2068" s="5">
        <v>188.6</v>
      </c>
      <c r="G2068" s="5">
        <v>92.4</v>
      </c>
      <c r="H2068" s="5">
        <v>92.3</v>
      </c>
      <c r="I2068" s="5">
        <v>0</v>
      </c>
      <c r="J2068" s="5">
        <v>0</v>
      </c>
      <c r="K2068" s="5">
        <v>0</v>
      </c>
    </row>
    <row r="2069" spans="1:11" x14ac:dyDescent="0.25">
      <c r="A2069" s="5">
        <f>2062</f>
      </c>
      <c r="B2069" s="5" t="s">
        <v>2077</v>
      </c>
      <c r="C2069" s="5">
        <v>92.5</v>
      </c>
      <c r="D2069" s="5">
        <v>0.1</v>
      </c>
      <c r="E2069" s="5">
        <v>92.5</v>
      </c>
      <c r="F2069" s="5">
        <v>184.1</v>
      </c>
      <c r="G2069" s="5">
        <v>90.2</v>
      </c>
      <c r="H2069" s="5">
        <v>89.9</v>
      </c>
      <c r="I2069" s="5">
        <v>0</v>
      </c>
      <c r="J2069" s="5">
        <v>0</v>
      </c>
      <c r="K2069" s="5">
        <v>0</v>
      </c>
    </row>
    <row r="2070" spans="1:11" x14ac:dyDescent="0.25">
      <c r="A2070" s="5">
        <f>2063</f>
      </c>
      <c r="B2070" s="5" t="s">
        <v>2078</v>
      </c>
      <c r="C2070" s="5">
        <v>92.5</v>
      </c>
      <c r="D2070" s="5">
        <v>0.1</v>
      </c>
      <c r="E2070" s="5">
        <v>92.5</v>
      </c>
      <c r="F2070" s="5">
        <v>184.1</v>
      </c>
      <c r="G2070" s="5">
        <v>90.2</v>
      </c>
      <c r="H2070" s="5">
        <v>89.9</v>
      </c>
      <c r="I2070" s="5">
        <v>0</v>
      </c>
      <c r="J2070" s="5">
        <v>0</v>
      </c>
      <c r="K2070" s="5">
        <v>0</v>
      </c>
    </row>
    <row r="2071" spans="1:11" x14ac:dyDescent="0.25">
      <c r="A2071" s="5">
        <f>2064</f>
      </c>
      <c r="B2071" s="5" t="s">
        <v>2079</v>
      </c>
      <c r="C2071" s="5">
        <v>89.7</v>
      </c>
      <c r="D2071" s="5">
        <v>0.1</v>
      </c>
      <c r="E2071" s="5">
        <v>89.8</v>
      </c>
      <c r="F2071" s="5">
        <v>183.8</v>
      </c>
      <c r="G2071" s="5">
        <v>92.2</v>
      </c>
      <c r="H2071" s="5">
        <v>91.8</v>
      </c>
      <c r="I2071" s="5">
        <v>0</v>
      </c>
      <c r="J2071" s="5">
        <v>0</v>
      </c>
      <c r="K2071" s="5">
        <v>0</v>
      </c>
    </row>
    <row r="2072" spans="1:11" x14ac:dyDescent="0.25">
      <c r="A2072" s="5">
        <f>2065</f>
      </c>
      <c r="B2072" s="5" t="s">
        <v>2080</v>
      </c>
      <c r="C2072" s="5">
        <v>89.7</v>
      </c>
      <c r="D2072" s="5">
        <v>0.1</v>
      </c>
      <c r="E2072" s="5">
        <v>89.8</v>
      </c>
      <c r="F2072" s="5">
        <v>183.8</v>
      </c>
      <c r="G2072" s="5">
        <v>92.2</v>
      </c>
      <c r="H2072" s="5">
        <v>91.8</v>
      </c>
      <c r="I2072" s="5">
        <v>0</v>
      </c>
      <c r="J2072" s="5">
        <v>0</v>
      </c>
      <c r="K2072" s="5">
        <v>0</v>
      </c>
    </row>
    <row r="2073" spans="1:11" x14ac:dyDescent="0.25">
      <c r="A2073" s="5">
        <f>2066</f>
      </c>
      <c r="B2073" s="5" t="s">
        <v>2081</v>
      </c>
      <c r="C2073" s="5">
        <v>89.7</v>
      </c>
      <c r="D2073" s="5">
        <v>0.1</v>
      </c>
      <c r="E2073" s="5">
        <v>89.8</v>
      </c>
      <c r="F2073" s="5">
        <v>183.8</v>
      </c>
      <c r="G2073" s="5">
        <v>92.2</v>
      </c>
      <c r="H2073" s="5">
        <v>91.8</v>
      </c>
      <c r="I2073" s="5">
        <v>0</v>
      </c>
      <c r="J2073" s="5">
        <v>0</v>
      </c>
      <c r="K2073" s="5">
        <v>0</v>
      </c>
    </row>
    <row r="2074" spans="1:11" x14ac:dyDescent="0.25">
      <c r="A2074" s="5">
        <f>2067</f>
      </c>
      <c r="B2074" s="5" t="s">
        <v>2082</v>
      </c>
      <c r="C2074" s="5">
        <v>89.7</v>
      </c>
      <c r="D2074" s="5">
        <v>0.1</v>
      </c>
      <c r="E2074" s="5">
        <v>89.8</v>
      </c>
      <c r="F2074" s="5">
        <v>183.8</v>
      </c>
      <c r="G2074" s="5">
        <v>92.2</v>
      </c>
      <c r="H2074" s="5">
        <v>91.8</v>
      </c>
      <c r="I2074" s="5">
        <v>0</v>
      </c>
      <c r="J2074" s="5">
        <v>0</v>
      </c>
      <c r="K2074" s="5">
        <v>0</v>
      </c>
    </row>
    <row r="2075" spans="1:11" x14ac:dyDescent="0.25">
      <c r="A2075" s="5">
        <f>2068</f>
      </c>
      <c r="B2075" s="5" t="s">
        <v>2083</v>
      </c>
      <c r="C2075" s="5">
        <v>98</v>
      </c>
      <c r="D2075" s="5">
        <v>0.1</v>
      </c>
      <c r="E2075" s="5">
        <v>98.1</v>
      </c>
      <c r="F2075" s="5">
        <v>196.4</v>
      </c>
      <c r="G2075" s="5">
        <v>97.9</v>
      </c>
      <c r="H2075" s="5">
        <v>97.8</v>
      </c>
      <c r="I2075" s="5">
        <v>0</v>
      </c>
      <c r="J2075" s="5">
        <v>0</v>
      </c>
      <c r="K2075" s="5">
        <v>0</v>
      </c>
    </row>
    <row r="2076" spans="1:11" x14ac:dyDescent="0.25">
      <c r="A2076" s="5">
        <f>2069</f>
      </c>
      <c r="B2076" s="5" t="s">
        <v>2084</v>
      </c>
      <c r="C2076" s="5">
        <v>98</v>
      </c>
      <c r="D2076" s="5">
        <v>0.1</v>
      </c>
      <c r="E2076" s="5">
        <v>98.1</v>
      </c>
      <c r="F2076" s="5">
        <v>196.4</v>
      </c>
      <c r="G2076" s="5">
        <v>97.9</v>
      </c>
      <c r="H2076" s="5">
        <v>97.8</v>
      </c>
      <c r="I2076" s="5">
        <v>0</v>
      </c>
      <c r="J2076" s="5">
        <v>0</v>
      </c>
      <c r="K2076" s="5">
        <v>0</v>
      </c>
    </row>
    <row r="2077" spans="1:11" x14ac:dyDescent="0.25">
      <c r="A2077" s="5">
        <f>2070</f>
      </c>
      <c r="B2077" s="5" t="s">
        <v>2085</v>
      </c>
      <c r="C2077" s="5">
        <v>97.3</v>
      </c>
      <c r="D2077" s="5">
        <v>0.1</v>
      </c>
      <c r="E2077" s="5">
        <v>97.4</v>
      </c>
      <c r="F2077" s="5">
        <v>194.2</v>
      </c>
      <c r="G2077" s="5">
        <v>96.9</v>
      </c>
      <c r="H2077" s="5">
        <v>96.8</v>
      </c>
      <c r="I2077" s="5">
        <v>0</v>
      </c>
      <c r="J2077" s="5">
        <v>0</v>
      </c>
      <c r="K2077" s="5">
        <v>0</v>
      </c>
    </row>
    <row r="2078" spans="1:11" x14ac:dyDescent="0.25">
      <c r="A2078" s="5">
        <f>2071</f>
      </c>
      <c r="B2078" s="5" t="s">
        <v>2086</v>
      </c>
      <c r="C2078" s="5">
        <v>97.3</v>
      </c>
      <c r="D2078" s="5">
        <v>0.1</v>
      </c>
      <c r="E2078" s="5">
        <v>97.4</v>
      </c>
      <c r="F2078" s="5">
        <v>194.2</v>
      </c>
      <c r="G2078" s="5">
        <v>96.9</v>
      </c>
      <c r="H2078" s="5">
        <v>96.8</v>
      </c>
      <c r="I2078" s="5">
        <v>0</v>
      </c>
      <c r="J2078" s="5">
        <v>0</v>
      </c>
      <c r="K2078" s="5">
        <v>0</v>
      </c>
    </row>
    <row r="2079" spans="1:11" x14ac:dyDescent="0.25">
      <c r="A2079" s="5">
        <f>2072</f>
      </c>
      <c r="B2079" s="5" t="s">
        <v>2087</v>
      </c>
      <c r="C2079" s="5">
        <v>97.1</v>
      </c>
      <c r="D2079" s="5">
        <v>0.1</v>
      </c>
      <c r="E2079" s="5">
        <v>97.3</v>
      </c>
      <c r="F2079" s="5">
        <v>194.3</v>
      </c>
      <c r="G2079" s="5">
        <v>96.9</v>
      </c>
      <c r="H2079" s="5">
        <v>96.8</v>
      </c>
      <c r="I2079" s="5">
        <v>0</v>
      </c>
      <c r="J2079" s="5">
        <v>0</v>
      </c>
      <c r="K2079" s="5">
        <v>0</v>
      </c>
    </row>
    <row r="2080" spans="1:11" x14ac:dyDescent="0.25">
      <c r="A2080" s="5">
        <f>2073</f>
      </c>
      <c r="B2080" s="5" t="s">
        <v>2088</v>
      </c>
      <c r="C2080" s="5">
        <v>97.1</v>
      </c>
      <c r="D2080" s="5">
        <v>0.1</v>
      </c>
      <c r="E2080" s="5">
        <v>97.3</v>
      </c>
      <c r="F2080" s="5">
        <v>194.3</v>
      </c>
      <c r="G2080" s="5">
        <v>96.9</v>
      </c>
      <c r="H2080" s="5">
        <v>96.8</v>
      </c>
      <c r="I2080" s="5">
        <v>0</v>
      </c>
      <c r="J2080" s="5">
        <v>0</v>
      </c>
      <c r="K2080" s="5">
        <v>0</v>
      </c>
    </row>
    <row r="2081" spans="1:11" x14ac:dyDescent="0.25">
      <c r="A2081" s="5">
        <f>2074</f>
      </c>
      <c r="B2081" s="5" t="s">
        <v>2089</v>
      </c>
      <c r="C2081" s="5">
        <v>97</v>
      </c>
      <c r="D2081" s="5">
        <v>0.1</v>
      </c>
      <c r="E2081" s="5">
        <v>97.1</v>
      </c>
      <c r="F2081" s="5">
        <v>193.8</v>
      </c>
      <c r="G2081" s="5">
        <v>96.7</v>
      </c>
      <c r="H2081" s="5">
        <v>96.5</v>
      </c>
      <c r="I2081" s="5">
        <v>0</v>
      </c>
      <c r="J2081" s="5">
        <v>0</v>
      </c>
      <c r="K2081" s="5">
        <v>0</v>
      </c>
    </row>
    <row r="2082" spans="1:11" x14ac:dyDescent="0.25">
      <c r="A2082" s="5">
        <f>2075</f>
      </c>
      <c r="B2082" s="5" t="s">
        <v>2090</v>
      </c>
      <c r="C2082" s="5">
        <v>97</v>
      </c>
      <c r="D2082" s="5">
        <v>0.1</v>
      </c>
      <c r="E2082" s="5">
        <v>97.1</v>
      </c>
      <c r="F2082" s="5">
        <v>193.8</v>
      </c>
      <c r="G2082" s="5">
        <v>96.7</v>
      </c>
      <c r="H2082" s="5">
        <v>96.5</v>
      </c>
      <c r="I2082" s="5">
        <v>0</v>
      </c>
      <c r="J2082" s="5">
        <v>0</v>
      </c>
      <c r="K2082" s="5">
        <v>0</v>
      </c>
    </row>
    <row r="2083" spans="1:11" x14ac:dyDescent="0.25">
      <c r="A2083" s="5">
        <f>2076</f>
      </c>
      <c r="B2083" s="5" t="s">
        <v>2091</v>
      </c>
      <c r="C2083" s="5">
        <v>97</v>
      </c>
      <c r="D2083" s="5">
        <v>0.1</v>
      </c>
      <c r="E2083" s="5">
        <v>97.1</v>
      </c>
      <c r="F2083" s="5">
        <v>193.8</v>
      </c>
      <c r="G2083" s="5">
        <v>96.7</v>
      </c>
      <c r="H2083" s="5">
        <v>96.5</v>
      </c>
      <c r="I2083" s="5">
        <v>0</v>
      </c>
      <c r="J2083" s="5">
        <v>0</v>
      </c>
      <c r="K2083" s="5">
        <v>0</v>
      </c>
    </row>
    <row r="2084" spans="1:11" x14ac:dyDescent="0.25">
      <c r="A2084" s="5">
        <f>2077</f>
      </c>
      <c r="B2084" s="5" t="s">
        <v>2092</v>
      </c>
      <c r="C2084" s="5">
        <v>97</v>
      </c>
      <c r="D2084" s="5">
        <v>0.1</v>
      </c>
      <c r="E2084" s="5">
        <v>97.1</v>
      </c>
      <c r="F2084" s="5">
        <v>193.8</v>
      </c>
      <c r="G2084" s="5">
        <v>96.7</v>
      </c>
      <c r="H2084" s="5">
        <v>96.5</v>
      </c>
      <c r="I2084" s="5">
        <v>0</v>
      </c>
      <c r="J2084" s="5">
        <v>0</v>
      </c>
      <c r="K2084" s="5">
        <v>0</v>
      </c>
    </row>
    <row r="2085" spans="1:11" x14ac:dyDescent="0.25">
      <c r="A2085" s="5">
        <f>2078</f>
      </c>
      <c r="B2085" s="5" t="s">
        <v>2093</v>
      </c>
      <c r="C2085" s="5">
        <v>97.4</v>
      </c>
      <c r="D2085" s="5">
        <v>0.1</v>
      </c>
      <c r="E2085" s="5">
        <v>97.6</v>
      </c>
      <c r="F2085" s="5">
        <v>194.2</v>
      </c>
      <c r="G2085" s="5">
        <v>97</v>
      </c>
      <c r="H2085" s="5">
        <v>97</v>
      </c>
      <c r="I2085" s="5">
        <v>0</v>
      </c>
      <c r="J2085" s="5">
        <v>0</v>
      </c>
      <c r="K2085" s="5">
        <v>0</v>
      </c>
    </row>
    <row r="2086" spans="1:11" x14ac:dyDescent="0.25">
      <c r="A2086" s="5">
        <f>2079</f>
      </c>
      <c r="B2086" s="5" t="s">
        <v>2094</v>
      </c>
      <c r="C2086" s="5">
        <v>97.4</v>
      </c>
      <c r="D2086" s="5">
        <v>0.1</v>
      </c>
      <c r="E2086" s="5">
        <v>97.6</v>
      </c>
      <c r="F2086" s="5">
        <v>194.2</v>
      </c>
      <c r="G2086" s="5">
        <v>97</v>
      </c>
      <c r="H2086" s="5">
        <v>97</v>
      </c>
      <c r="I2086" s="5">
        <v>0</v>
      </c>
      <c r="J2086" s="5">
        <v>0</v>
      </c>
      <c r="K2086" s="5">
        <v>0</v>
      </c>
    </row>
    <row r="2087" spans="1:11" x14ac:dyDescent="0.25">
      <c r="A2087" s="5">
        <f>2080</f>
      </c>
      <c r="B2087" s="5" t="s">
        <v>2095</v>
      </c>
      <c r="C2087" s="5">
        <v>96.7</v>
      </c>
      <c r="D2087" s="5">
        <v>0.1</v>
      </c>
      <c r="E2087" s="5">
        <v>96.9</v>
      </c>
      <c r="F2087" s="5">
        <v>193.3</v>
      </c>
      <c r="G2087" s="5">
        <v>96.4</v>
      </c>
      <c r="H2087" s="5">
        <v>96.3</v>
      </c>
      <c r="I2087" s="5">
        <v>0</v>
      </c>
      <c r="J2087" s="5">
        <v>0</v>
      </c>
      <c r="K2087" s="5">
        <v>0</v>
      </c>
    </row>
    <row r="2088" spans="1:11" x14ac:dyDescent="0.25">
      <c r="A2088" s="5">
        <f>2081</f>
      </c>
      <c r="B2088" s="5" t="s">
        <v>2096</v>
      </c>
      <c r="C2088" s="5">
        <v>96.7</v>
      </c>
      <c r="D2088" s="5">
        <v>0.1</v>
      </c>
      <c r="E2088" s="5">
        <v>96.9</v>
      </c>
      <c r="F2088" s="5">
        <v>193.3</v>
      </c>
      <c r="G2088" s="5">
        <v>96.4</v>
      </c>
      <c r="H2088" s="5">
        <v>96.3</v>
      </c>
      <c r="I2088" s="5">
        <v>0</v>
      </c>
      <c r="J2088" s="5">
        <v>0</v>
      </c>
      <c r="K2088" s="5">
        <v>0</v>
      </c>
    </row>
    <row r="2089" spans="1:11" x14ac:dyDescent="0.25">
      <c r="A2089" s="5">
        <f>2082</f>
      </c>
      <c r="B2089" s="5" t="s">
        <v>2097</v>
      </c>
      <c r="C2089" s="5">
        <v>97.1</v>
      </c>
      <c r="D2089" s="5">
        <v>0.1</v>
      </c>
      <c r="E2089" s="5">
        <v>97.2</v>
      </c>
      <c r="F2089" s="5">
        <v>194.1</v>
      </c>
      <c r="G2089" s="5">
        <v>96.8</v>
      </c>
      <c r="H2089" s="5">
        <v>96.7</v>
      </c>
      <c r="I2089" s="5">
        <v>0</v>
      </c>
      <c r="J2089" s="5">
        <v>0</v>
      </c>
      <c r="K2089" s="5">
        <v>0</v>
      </c>
    </row>
    <row r="2090" spans="1:11" x14ac:dyDescent="0.25">
      <c r="A2090" s="5">
        <f>2083</f>
      </c>
      <c r="B2090" s="5" t="s">
        <v>2098</v>
      </c>
      <c r="C2090" s="5">
        <v>97.1</v>
      </c>
      <c r="D2090" s="5">
        <v>0.1</v>
      </c>
      <c r="E2090" s="5">
        <v>97.2</v>
      </c>
      <c r="F2090" s="5">
        <v>194.1</v>
      </c>
      <c r="G2090" s="5">
        <v>96.8</v>
      </c>
      <c r="H2090" s="5">
        <v>96.7</v>
      </c>
      <c r="I2090" s="5">
        <v>0</v>
      </c>
      <c r="J2090" s="5">
        <v>0</v>
      </c>
      <c r="K2090" s="5">
        <v>0</v>
      </c>
    </row>
    <row r="2091" spans="1:11" x14ac:dyDescent="0.25">
      <c r="A2091" s="5">
        <f>2084</f>
      </c>
      <c r="B2091" s="5" t="s">
        <v>2099</v>
      </c>
      <c r="C2091" s="5">
        <v>97.3</v>
      </c>
      <c r="D2091" s="5">
        <v>0.1</v>
      </c>
      <c r="E2091" s="5">
        <v>97.4</v>
      </c>
      <c r="F2091" s="5">
        <v>194.4</v>
      </c>
      <c r="G2091" s="5">
        <v>97</v>
      </c>
      <c r="H2091" s="5">
        <v>96.8</v>
      </c>
      <c r="I2091" s="5">
        <v>0</v>
      </c>
      <c r="J2091" s="5">
        <v>0</v>
      </c>
      <c r="K2091" s="5">
        <v>0</v>
      </c>
    </row>
    <row r="2092" spans="1:11" x14ac:dyDescent="0.25">
      <c r="A2092" s="5">
        <f>2085</f>
      </c>
      <c r="B2092" s="5" t="s">
        <v>2100</v>
      </c>
      <c r="C2092" s="5">
        <v>97.3</v>
      </c>
      <c r="D2092" s="5">
        <v>0.1</v>
      </c>
      <c r="E2092" s="5">
        <v>97.4</v>
      </c>
      <c r="F2092" s="5">
        <v>194.4</v>
      </c>
      <c r="G2092" s="5">
        <v>97</v>
      </c>
      <c r="H2092" s="5">
        <v>96.8</v>
      </c>
      <c r="I2092" s="5">
        <v>0</v>
      </c>
      <c r="J2092" s="5">
        <v>0</v>
      </c>
      <c r="K2092" s="5">
        <v>0</v>
      </c>
    </row>
    <row r="2093" spans="1:11" x14ac:dyDescent="0.25">
      <c r="A2093" s="5">
        <f>2086</f>
      </c>
      <c r="B2093" s="5" t="s">
        <v>2101</v>
      </c>
      <c r="C2093" s="5">
        <v>97.3</v>
      </c>
      <c r="D2093" s="5">
        <v>0.1</v>
      </c>
      <c r="E2093" s="5">
        <v>97.4</v>
      </c>
      <c r="F2093" s="5">
        <v>194.4</v>
      </c>
      <c r="G2093" s="5">
        <v>97</v>
      </c>
      <c r="H2093" s="5">
        <v>96.8</v>
      </c>
      <c r="I2093" s="5">
        <v>0</v>
      </c>
      <c r="J2093" s="5">
        <v>0</v>
      </c>
      <c r="K2093" s="5">
        <v>0</v>
      </c>
    </row>
    <row r="2094" spans="1:11" x14ac:dyDescent="0.25">
      <c r="A2094" s="5">
        <f>2087</f>
      </c>
      <c r="B2094" s="5" t="s">
        <v>2102</v>
      </c>
      <c r="C2094" s="5">
        <v>97.3</v>
      </c>
      <c r="D2094" s="5">
        <v>0.1</v>
      </c>
      <c r="E2094" s="5">
        <v>97.4</v>
      </c>
      <c r="F2094" s="5">
        <v>194.4</v>
      </c>
      <c r="G2094" s="5">
        <v>97</v>
      </c>
      <c r="H2094" s="5">
        <v>96.8</v>
      </c>
      <c r="I2094" s="5">
        <v>0</v>
      </c>
      <c r="J2094" s="5">
        <v>0</v>
      </c>
      <c r="K2094" s="5">
        <v>0</v>
      </c>
    </row>
    <row r="2095" spans="1:11" x14ac:dyDescent="0.25">
      <c r="A2095" s="5">
        <f>2088</f>
      </c>
      <c r="B2095" s="5" t="s">
        <v>2103</v>
      </c>
      <c r="C2095" s="5">
        <v>97.3</v>
      </c>
      <c r="D2095" s="5">
        <v>0.1</v>
      </c>
      <c r="E2095" s="5">
        <v>97.4</v>
      </c>
      <c r="F2095" s="5">
        <v>194.6</v>
      </c>
      <c r="G2095" s="5">
        <v>97</v>
      </c>
      <c r="H2095" s="5">
        <v>96.9</v>
      </c>
      <c r="I2095" s="5">
        <v>0</v>
      </c>
      <c r="J2095" s="5">
        <v>0</v>
      </c>
      <c r="K2095" s="5">
        <v>0</v>
      </c>
    </row>
    <row r="2096" spans="1:11" x14ac:dyDescent="0.25">
      <c r="A2096" s="5">
        <f>2089</f>
      </c>
      <c r="B2096" s="5" t="s">
        <v>2104</v>
      </c>
      <c r="C2096" s="5">
        <v>97.3</v>
      </c>
      <c r="D2096" s="5">
        <v>0.1</v>
      </c>
      <c r="E2096" s="5">
        <v>97.4</v>
      </c>
      <c r="F2096" s="5">
        <v>194.6</v>
      </c>
      <c r="G2096" s="5">
        <v>97</v>
      </c>
      <c r="H2096" s="5">
        <v>96.9</v>
      </c>
      <c r="I2096" s="5">
        <v>0</v>
      </c>
      <c r="J2096" s="5">
        <v>0</v>
      </c>
      <c r="K2096" s="5">
        <v>0</v>
      </c>
    </row>
    <row r="2097" spans="1:11" x14ac:dyDescent="0.25">
      <c r="A2097" s="5">
        <f>2090</f>
      </c>
      <c r="B2097" s="5" t="s">
        <v>2105</v>
      </c>
      <c r="C2097" s="5">
        <v>97.9</v>
      </c>
      <c r="D2097" s="5">
        <v>0.1</v>
      </c>
      <c r="E2097" s="5">
        <v>98</v>
      </c>
      <c r="F2097" s="5">
        <v>194.6</v>
      </c>
      <c r="G2097" s="5">
        <v>97.1</v>
      </c>
      <c r="H2097" s="5">
        <v>97</v>
      </c>
      <c r="I2097" s="5">
        <v>0</v>
      </c>
      <c r="J2097" s="5">
        <v>0</v>
      </c>
      <c r="K2097" s="5">
        <v>0</v>
      </c>
    </row>
    <row r="2098" spans="1:11" x14ac:dyDescent="0.25">
      <c r="A2098" s="5">
        <f>2091</f>
      </c>
      <c r="B2098" s="5" t="s">
        <v>2106</v>
      </c>
      <c r="C2098" s="5">
        <v>97.9</v>
      </c>
      <c r="D2098" s="5">
        <v>0.1</v>
      </c>
      <c r="E2098" s="5">
        <v>98</v>
      </c>
      <c r="F2098" s="5">
        <v>194.6</v>
      </c>
      <c r="G2098" s="5">
        <v>97.1</v>
      </c>
      <c r="H2098" s="5">
        <v>97</v>
      </c>
      <c r="I2098" s="5">
        <v>0</v>
      </c>
      <c r="J2098" s="5">
        <v>0</v>
      </c>
      <c r="K2098" s="5">
        <v>0</v>
      </c>
    </row>
    <row r="2099" spans="1:11" x14ac:dyDescent="0.25">
      <c r="A2099" s="5">
        <f>2092</f>
      </c>
      <c r="B2099" s="5" t="s">
        <v>2107</v>
      </c>
      <c r="C2099" s="5">
        <v>88.4</v>
      </c>
      <c r="D2099" s="5">
        <v>0.1</v>
      </c>
      <c r="E2099" s="5">
        <v>88.4</v>
      </c>
      <c r="F2099" s="5">
        <v>176.5</v>
      </c>
      <c r="G2099" s="5">
        <v>88</v>
      </c>
      <c r="H2099" s="5">
        <v>88</v>
      </c>
      <c r="I2099" s="5">
        <v>0</v>
      </c>
      <c r="J2099" s="5">
        <v>0</v>
      </c>
      <c r="K2099" s="5">
        <v>0</v>
      </c>
    </row>
    <row r="2100" spans="1:11" x14ac:dyDescent="0.25">
      <c r="A2100" s="5">
        <f>2093</f>
      </c>
      <c r="B2100" s="5" t="s">
        <v>2108</v>
      </c>
      <c r="C2100" s="5">
        <v>88.4</v>
      </c>
      <c r="D2100" s="5">
        <v>0.1</v>
      </c>
      <c r="E2100" s="5">
        <v>88.4</v>
      </c>
      <c r="F2100" s="5">
        <v>176.5</v>
      </c>
      <c r="G2100" s="5">
        <v>88</v>
      </c>
      <c r="H2100" s="5">
        <v>88</v>
      </c>
      <c r="I2100" s="5">
        <v>0</v>
      </c>
      <c r="J2100" s="5">
        <v>0</v>
      </c>
      <c r="K2100" s="5">
        <v>0</v>
      </c>
    </row>
    <row r="2101" spans="1:11" x14ac:dyDescent="0.25">
      <c r="A2101" s="5">
        <f>2094</f>
      </c>
      <c r="B2101" s="5" t="s">
        <v>2109</v>
      </c>
      <c r="C2101" s="5">
        <v>88.6</v>
      </c>
      <c r="D2101" s="5">
        <v>0.1</v>
      </c>
      <c r="E2101" s="5">
        <v>88.7</v>
      </c>
      <c r="F2101" s="5">
        <v>180.3</v>
      </c>
      <c r="G2101" s="5">
        <v>89.6</v>
      </c>
      <c r="H2101" s="5">
        <v>89.2</v>
      </c>
      <c r="I2101" s="5">
        <v>0</v>
      </c>
      <c r="J2101" s="5">
        <v>0</v>
      </c>
      <c r="K2101" s="5">
        <v>0</v>
      </c>
    </row>
    <row r="2102" spans="1:11" x14ac:dyDescent="0.25">
      <c r="A2102" s="5">
        <f>2095</f>
      </c>
      <c r="B2102" s="5" t="s">
        <v>2110</v>
      </c>
      <c r="C2102" s="5">
        <v>88.6</v>
      </c>
      <c r="D2102" s="5">
        <v>0.1</v>
      </c>
      <c r="E2102" s="5">
        <v>88.7</v>
      </c>
      <c r="F2102" s="5">
        <v>180.3</v>
      </c>
      <c r="G2102" s="5">
        <v>89.6</v>
      </c>
      <c r="H2102" s="5">
        <v>89.2</v>
      </c>
      <c r="I2102" s="5">
        <v>0</v>
      </c>
      <c r="J2102" s="5">
        <v>0</v>
      </c>
      <c r="K2102" s="5">
        <v>0</v>
      </c>
    </row>
    <row r="2103" spans="1:11" x14ac:dyDescent="0.25">
      <c r="A2103" s="5">
        <f>2096</f>
      </c>
      <c r="B2103" s="5" t="s">
        <v>2111</v>
      </c>
      <c r="C2103" s="5">
        <v>88.6</v>
      </c>
      <c r="D2103" s="5">
        <v>0.1</v>
      </c>
      <c r="E2103" s="5">
        <v>88.7</v>
      </c>
      <c r="F2103" s="5">
        <v>180.3</v>
      </c>
      <c r="G2103" s="5">
        <v>89.6</v>
      </c>
      <c r="H2103" s="5">
        <v>89.2</v>
      </c>
      <c r="I2103" s="5">
        <v>0</v>
      </c>
      <c r="J2103" s="5">
        <v>0</v>
      </c>
      <c r="K2103" s="5">
        <v>0</v>
      </c>
    </row>
    <row r="2104" spans="1:11" x14ac:dyDescent="0.25">
      <c r="A2104" s="5">
        <f>2097</f>
      </c>
      <c r="B2104" s="5" t="s">
        <v>2112</v>
      </c>
      <c r="C2104" s="5">
        <v>88.6</v>
      </c>
      <c r="D2104" s="5">
        <v>0.1</v>
      </c>
      <c r="E2104" s="5">
        <v>88.7</v>
      </c>
      <c r="F2104" s="5">
        <v>180.3</v>
      </c>
      <c r="G2104" s="5">
        <v>89.6</v>
      </c>
      <c r="H2104" s="5">
        <v>89.2</v>
      </c>
      <c r="I2104" s="5">
        <v>0</v>
      </c>
      <c r="J2104" s="5">
        <v>0</v>
      </c>
      <c r="K2104" s="5">
        <v>0</v>
      </c>
    </row>
    <row r="2105" spans="1:11" x14ac:dyDescent="0.25">
      <c r="A2105" s="5">
        <f>2098</f>
      </c>
      <c r="B2105" s="5" t="s">
        <v>2113</v>
      </c>
      <c r="C2105" s="5">
        <v>99.9</v>
      </c>
      <c r="D2105" s="5">
        <v>0.1</v>
      </c>
      <c r="E2105" s="5">
        <v>100.1</v>
      </c>
      <c r="F2105" s="5">
        <v>200.1</v>
      </c>
      <c r="G2105" s="5">
        <v>99.8</v>
      </c>
      <c r="H2105" s="5">
        <v>97.9</v>
      </c>
      <c r="I2105" s="5">
        <v>0</v>
      </c>
      <c r="J2105" s="5">
        <v>0</v>
      </c>
      <c r="K2105" s="5">
        <v>0</v>
      </c>
    </row>
    <row r="2106" spans="1:11" x14ac:dyDescent="0.25">
      <c r="A2106" s="5">
        <f>2099</f>
      </c>
      <c r="B2106" s="5" t="s">
        <v>2114</v>
      </c>
      <c r="C2106" s="5">
        <v>99.9</v>
      </c>
      <c r="D2106" s="5">
        <v>0.1</v>
      </c>
      <c r="E2106" s="5">
        <v>100.1</v>
      </c>
      <c r="F2106" s="5">
        <v>200.1</v>
      </c>
      <c r="G2106" s="5">
        <v>99.8</v>
      </c>
      <c r="H2106" s="5">
        <v>97.9</v>
      </c>
      <c r="I2106" s="5">
        <v>0</v>
      </c>
      <c r="J2106" s="5">
        <v>0</v>
      </c>
      <c r="K2106" s="5">
        <v>0</v>
      </c>
    </row>
    <row r="2107" spans="1:11" x14ac:dyDescent="0.25">
      <c r="A2107" s="5">
        <f>2100</f>
      </c>
      <c r="B2107" s="5" t="s">
        <v>2115</v>
      </c>
      <c r="C2107" s="5">
        <v>91.5</v>
      </c>
      <c r="D2107" s="5">
        <v>0.1</v>
      </c>
      <c r="E2107" s="5">
        <v>91.6</v>
      </c>
      <c r="F2107" s="5">
        <v>184.8</v>
      </c>
      <c r="G2107" s="5">
        <v>92.1</v>
      </c>
      <c r="H2107" s="5">
        <v>91.8</v>
      </c>
      <c r="I2107" s="5">
        <v>0</v>
      </c>
      <c r="J2107" s="5">
        <v>0</v>
      </c>
      <c r="K2107" s="5">
        <v>0</v>
      </c>
    </row>
    <row r="2108" spans="1:11" x14ac:dyDescent="0.25">
      <c r="A2108" s="5">
        <f>2101</f>
      </c>
      <c r="B2108" s="5" t="s">
        <v>2116</v>
      </c>
      <c r="C2108" s="5">
        <v>91.5</v>
      </c>
      <c r="D2108" s="5">
        <v>0.1</v>
      </c>
      <c r="E2108" s="5">
        <v>91.6</v>
      </c>
      <c r="F2108" s="5">
        <v>184.8</v>
      </c>
      <c r="G2108" s="5">
        <v>92.1</v>
      </c>
      <c r="H2108" s="5">
        <v>91.8</v>
      </c>
      <c r="I2108" s="5">
        <v>0</v>
      </c>
      <c r="J2108" s="5">
        <v>0</v>
      </c>
      <c r="K2108" s="5">
        <v>0</v>
      </c>
    </row>
    <row r="2109" spans="1:11" x14ac:dyDescent="0.25">
      <c r="A2109" s="5">
        <f>2102</f>
      </c>
      <c r="B2109" s="5" t="s">
        <v>2117</v>
      </c>
      <c r="C2109" s="5">
        <v>92.5</v>
      </c>
      <c r="D2109" s="5">
        <v>0.1</v>
      </c>
      <c r="E2109" s="5">
        <v>92.6</v>
      </c>
      <c r="F2109" s="5">
        <v>180.1</v>
      </c>
      <c r="G2109" s="5">
        <v>89.9</v>
      </c>
      <c r="H2109" s="5">
        <v>90</v>
      </c>
      <c r="I2109" s="5">
        <v>0</v>
      </c>
      <c r="J2109" s="5">
        <v>0</v>
      </c>
      <c r="K2109" s="5">
        <v>0</v>
      </c>
    </row>
    <row r="2110" spans="1:11" x14ac:dyDescent="0.25">
      <c r="A2110" s="5">
        <f>2103</f>
      </c>
      <c r="B2110" s="5" t="s">
        <v>2118</v>
      </c>
      <c r="C2110" s="5">
        <v>92.5</v>
      </c>
      <c r="D2110" s="5">
        <v>0.1</v>
      </c>
      <c r="E2110" s="5">
        <v>92.6</v>
      </c>
      <c r="F2110" s="5">
        <v>180.1</v>
      </c>
      <c r="G2110" s="5">
        <v>89.9</v>
      </c>
      <c r="H2110" s="5">
        <v>90</v>
      </c>
      <c r="I2110" s="5">
        <v>0</v>
      </c>
      <c r="J2110" s="5">
        <v>0</v>
      </c>
      <c r="K2110" s="5">
        <v>0</v>
      </c>
    </row>
    <row r="2111" spans="1:11" x14ac:dyDescent="0.25">
      <c r="A2111" s="5">
        <f>2104</f>
      </c>
      <c r="B2111" s="5" t="s">
        <v>2119</v>
      </c>
      <c r="C2111" s="5">
        <v>98.3</v>
      </c>
      <c r="D2111" s="5">
        <v>0.1</v>
      </c>
      <c r="E2111" s="5">
        <v>98.5</v>
      </c>
      <c r="F2111" s="5">
        <v>195.7</v>
      </c>
      <c r="G2111" s="5">
        <v>97.6</v>
      </c>
      <c r="H2111" s="5">
        <v>97.5</v>
      </c>
      <c r="I2111" s="5">
        <v>0</v>
      </c>
      <c r="J2111" s="5">
        <v>0</v>
      </c>
      <c r="K2111" s="5">
        <v>0</v>
      </c>
    </row>
    <row r="2112" spans="1:11" x14ac:dyDescent="0.25">
      <c r="A2112" s="5">
        <f>2105</f>
      </c>
      <c r="B2112" s="5" t="s">
        <v>2120</v>
      </c>
      <c r="C2112" s="5">
        <v>98.3</v>
      </c>
      <c r="D2112" s="5">
        <v>0.1</v>
      </c>
      <c r="E2112" s="5">
        <v>98.5</v>
      </c>
      <c r="F2112" s="5">
        <v>195.7</v>
      </c>
      <c r="G2112" s="5">
        <v>97.6</v>
      </c>
      <c r="H2112" s="5">
        <v>97.5</v>
      </c>
      <c r="I2112" s="5">
        <v>0</v>
      </c>
      <c r="J2112" s="5">
        <v>0</v>
      </c>
      <c r="K2112" s="5">
        <v>0</v>
      </c>
    </row>
    <row r="2113" spans="1:11" x14ac:dyDescent="0.25">
      <c r="A2113" s="5">
        <f>2106</f>
      </c>
      <c r="B2113" s="5" t="s">
        <v>2121</v>
      </c>
      <c r="C2113" s="5">
        <v>98.3</v>
      </c>
      <c r="D2113" s="5">
        <v>0.1</v>
      </c>
      <c r="E2113" s="5">
        <v>98.5</v>
      </c>
      <c r="F2113" s="5">
        <v>195.7</v>
      </c>
      <c r="G2113" s="5">
        <v>97.6</v>
      </c>
      <c r="H2113" s="5">
        <v>97.5</v>
      </c>
      <c r="I2113" s="5">
        <v>0</v>
      </c>
      <c r="J2113" s="5">
        <v>0</v>
      </c>
      <c r="K2113" s="5">
        <v>0</v>
      </c>
    </row>
    <row r="2114" spans="1:11" x14ac:dyDescent="0.25">
      <c r="A2114" s="5">
        <f>2107</f>
      </c>
      <c r="B2114" s="5" t="s">
        <v>2122</v>
      </c>
      <c r="C2114" s="5">
        <v>98.3</v>
      </c>
      <c r="D2114" s="5">
        <v>0.1</v>
      </c>
      <c r="E2114" s="5">
        <v>98.5</v>
      </c>
      <c r="F2114" s="5">
        <v>195.7</v>
      </c>
      <c r="G2114" s="5">
        <v>97.6</v>
      </c>
      <c r="H2114" s="5">
        <v>97.5</v>
      </c>
      <c r="I2114" s="5">
        <v>0</v>
      </c>
      <c r="J2114" s="5">
        <v>0</v>
      </c>
      <c r="K2114" s="5">
        <v>0</v>
      </c>
    </row>
    <row r="2115" spans="1:11" x14ac:dyDescent="0.25">
      <c r="A2115" s="5">
        <f>2108</f>
      </c>
      <c r="B2115" s="5" t="s">
        <v>2123</v>
      </c>
      <c r="C2115" s="5">
        <v>90</v>
      </c>
      <c r="D2115" s="5">
        <v>0.1</v>
      </c>
      <c r="E2115" s="5">
        <v>90.1</v>
      </c>
      <c r="F2115" s="5">
        <v>180.3</v>
      </c>
      <c r="G2115" s="5">
        <v>89.9</v>
      </c>
      <c r="H2115" s="5">
        <v>89.8</v>
      </c>
      <c r="I2115" s="5">
        <v>0</v>
      </c>
      <c r="J2115" s="5">
        <v>0</v>
      </c>
      <c r="K2115" s="5">
        <v>0</v>
      </c>
    </row>
    <row r="2116" spans="1:11" x14ac:dyDescent="0.25">
      <c r="A2116" s="5">
        <f>2109</f>
      </c>
      <c r="B2116" s="5" t="s">
        <v>2124</v>
      </c>
      <c r="C2116" s="5">
        <v>90</v>
      </c>
      <c r="D2116" s="5">
        <v>0.1</v>
      </c>
      <c r="E2116" s="5">
        <v>90.1</v>
      </c>
      <c r="F2116" s="5">
        <v>180.3</v>
      </c>
      <c r="G2116" s="5">
        <v>89.9</v>
      </c>
      <c r="H2116" s="5">
        <v>89.8</v>
      </c>
      <c r="I2116" s="5">
        <v>0</v>
      </c>
      <c r="J2116" s="5">
        <v>0</v>
      </c>
      <c r="K2116" s="5">
        <v>0</v>
      </c>
    </row>
    <row r="2117" spans="1:11" x14ac:dyDescent="0.25">
      <c r="A2117" s="5">
        <f>2110</f>
      </c>
      <c r="B2117" s="5" t="s">
        <v>2125</v>
      </c>
      <c r="C2117" s="5">
        <v>98.8</v>
      </c>
      <c r="D2117" s="5">
        <v>0.1</v>
      </c>
      <c r="E2117" s="5">
        <v>98.9</v>
      </c>
      <c r="F2117" s="5">
        <v>199.2</v>
      </c>
      <c r="G2117" s="5">
        <v>99.3</v>
      </c>
      <c r="H2117" s="5">
        <v>99.1</v>
      </c>
      <c r="I2117" s="5">
        <v>0</v>
      </c>
      <c r="J2117" s="5">
        <v>0</v>
      </c>
      <c r="K2117" s="5">
        <v>0</v>
      </c>
    </row>
    <row r="2118" spans="1:11" x14ac:dyDescent="0.25">
      <c r="A2118" s="5">
        <f>2111</f>
      </c>
      <c r="B2118" s="5" t="s">
        <v>2126</v>
      </c>
      <c r="C2118" s="5">
        <v>98.8</v>
      </c>
      <c r="D2118" s="5">
        <v>0.1</v>
      </c>
      <c r="E2118" s="5">
        <v>98.9</v>
      </c>
      <c r="F2118" s="5">
        <v>199.2</v>
      </c>
      <c r="G2118" s="5">
        <v>99.3</v>
      </c>
      <c r="H2118" s="5">
        <v>99.1</v>
      </c>
      <c r="I2118" s="5">
        <v>0</v>
      </c>
      <c r="J2118" s="5">
        <v>0</v>
      </c>
      <c r="K2118" s="5">
        <v>0</v>
      </c>
    </row>
    <row r="2119" spans="1:11" x14ac:dyDescent="0.25">
      <c r="A2119" s="5">
        <f>2112</f>
      </c>
      <c r="B2119" s="5" t="s">
        <v>2127</v>
      </c>
      <c r="C2119" s="5">
        <v>97.4</v>
      </c>
      <c r="D2119" s="5">
        <v>0.1</v>
      </c>
      <c r="E2119" s="5">
        <v>97.6</v>
      </c>
      <c r="F2119" s="5">
        <v>194.1</v>
      </c>
      <c r="G2119" s="5">
        <v>96.9</v>
      </c>
      <c r="H2119" s="5">
        <v>96.7</v>
      </c>
      <c r="I2119" s="5">
        <v>0</v>
      </c>
      <c r="J2119" s="5">
        <v>0</v>
      </c>
      <c r="K2119" s="5">
        <v>0</v>
      </c>
    </row>
    <row r="2120" spans="1:11" x14ac:dyDescent="0.25">
      <c r="A2120" s="5">
        <f>2113</f>
      </c>
      <c r="B2120" s="5" t="s">
        <v>2128</v>
      </c>
      <c r="C2120" s="5">
        <v>97.4</v>
      </c>
      <c r="D2120" s="5">
        <v>0.1</v>
      </c>
      <c r="E2120" s="5">
        <v>97.6</v>
      </c>
      <c r="F2120" s="5">
        <v>194.1</v>
      </c>
      <c r="G2120" s="5">
        <v>96.9</v>
      </c>
      <c r="H2120" s="5">
        <v>96.7</v>
      </c>
      <c r="I2120" s="5">
        <v>0</v>
      </c>
      <c r="J2120" s="5">
        <v>0</v>
      </c>
      <c r="K2120" s="5">
        <v>0</v>
      </c>
    </row>
    <row r="2121" spans="1:11" x14ac:dyDescent="0.25">
      <c r="A2121" s="5">
        <f>2114</f>
      </c>
      <c r="B2121" s="5" t="s">
        <v>2129</v>
      </c>
      <c r="C2121" s="5">
        <v>97.3</v>
      </c>
      <c r="D2121" s="5">
        <v>0.1</v>
      </c>
      <c r="E2121" s="5">
        <v>97.5</v>
      </c>
      <c r="F2121" s="5">
        <v>194.3</v>
      </c>
      <c r="G2121" s="5">
        <v>96.9</v>
      </c>
      <c r="H2121" s="5">
        <v>96.7</v>
      </c>
      <c r="I2121" s="5">
        <v>0</v>
      </c>
      <c r="J2121" s="5">
        <v>0</v>
      </c>
      <c r="K2121" s="5">
        <v>0</v>
      </c>
    </row>
    <row r="2122" spans="1:11" x14ac:dyDescent="0.25">
      <c r="A2122" s="5">
        <f>2115</f>
      </c>
      <c r="B2122" s="5" t="s">
        <v>2130</v>
      </c>
      <c r="C2122" s="5">
        <v>97.3</v>
      </c>
      <c r="D2122" s="5">
        <v>0.1</v>
      </c>
      <c r="E2122" s="5">
        <v>97.5</v>
      </c>
      <c r="F2122" s="5">
        <v>194.3</v>
      </c>
      <c r="G2122" s="5">
        <v>96.9</v>
      </c>
      <c r="H2122" s="5">
        <v>96.7</v>
      </c>
      <c r="I2122" s="5">
        <v>0</v>
      </c>
      <c r="J2122" s="5">
        <v>0</v>
      </c>
      <c r="K2122" s="5">
        <v>0</v>
      </c>
    </row>
    <row r="2123" spans="1:11" x14ac:dyDescent="0.25">
      <c r="A2123" s="5">
        <f>2116</f>
      </c>
      <c r="B2123" s="5" t="s">
        <v>2131</v>
      </c>
      <c r="C2123" s="5">
        <v>97.3</v>
      </c>
      <c r="D2123" s="5">
        <v>0.1</v>
      </c>
      <c r="E2123" s="5">
        <v>97.5</v>
      </c>
      <c r="F2123" s="5">
        <v>194.3</v>
      </c>
      <c r="G2123" s="5">
        <v>96.9</v>
      </c>
      <c r="H2123" s="5">
        <v>96.7</v>
      </c>
      <c r="I2123" s="5">
        <v>0</v>
      </c>
      <c r="J2123" s="5">
        <v>0</v>
      </c>
      <c r="K2123" s="5">
        <v>0</v>
      </c>
    </row>
    <row r="2124" spans="1:11" x14ac:dyDescent="0.25">
      <c r="A2124" s="5">
        <f>2117</f>
      </c>
      <c r="B2124" s="5" t="s">
        <v>2132</v>
      </c>
      <c r="C2124" s="5">
        <v>97.3</v>
      </c>
      <c r="D2124" s="5">
        <v>0.1</v>
      </c>
      <c r="E2124" s="5">
        <v>97.5</v>
      </c>
      <c r="F2124" s="5">
        <v>194.3</v>
      </c>
      <c r="G2124" s="5">
        <v>96.9</v>
      </c>
      <c r="H2124" s="5">
        <v>96.7</v>
      </c>
      <c r="I2124" s="5">
        <v>0</v>
      </c>
      <c r="J2124" s="5">
        <v>0</v>
      </c>
      <c r="K2124" s="5">
        <v>0</v>
      </c>
    </row>
    <row r="2125" spans="1:11" x14ac:dyDescent="0.25">
      <c r="A2125" s="5">
        <f>2118</f>
      </c>
      <c r="B2125" s="5" t="s">
        <v>2133</v>
      </c>
      <c r="C2125" s="5">
        <v>98.3</v>
      </c>
      <c r="D2125" s="5">
        <v>0.1</v>
      </c>
      <c r="E2125" s="5">
        <v>98.5</v>
      </c>
      <c r="F2125" s="5">
        <v>196.7</v>
      </c>
      <c r="G2125" s="5">
        <v>98.1</v>
      </c>
      <c r="H2125" s="5">
        <v>98</v>
      </c>
      <c r="I2125" s="5">
        <v>0</v>
      </c>
      <c r="J2125" s="5">
        <v>0</v>
      </c>
      <c r="K2125" s="5">
        <v>0</v>
      </c>
    </row>
    <row r="2126" spans="1:11" x14ac:dyDescent="0.25">
      <c r="A2126" s="5">
        <f>2119</f>
      </c>
      <c r="B2126" s="5" t="s">
        <v>2134</v>
      </c>
      <c r="C2126" s="5">
        <v>98.3</v>
      </c>
      <c r="D2126" s="5">
        <v>0.1</v>
      </c>
      <c r="E2126" s="5">
        <v>98.5</v>
      </c>
      <c r="F2126" s="5">
        <v>196.7</v>
      </c>
      <c r="G2126" s="5">
        <v>98.1</v>
      </c>
      <c r="H2126" s="5">
        <v>98</v>
      </c>
      <c r="I2126" s="5">
        <v>0</v>
      </c>
      <c r="J2126" s="5">
        <v>0</v>
      </c>
      <c r="K2126" s="5">
        <v>0</v>
      </c>
    </row>
    <row r="2127" spans="1:11" x14ac:dyDescent="0.25">
      <c r="A2127" s="5">
        <f>2120</f>
      </c>
      <c r="B2127" s="5" t="s">
        <v>2135</v>
      </c>
      <c r="C2127" s="5">
        <v>98.1</v>
      </c>
      <c r="D2127" s="5">
        <v>0.1</v>
      </c>
      <c r="E2127" s="5">
        <v>98.3</v>
      </c>
      <c r="F2127" s="5">
        <v>195.9</v>
      </c>
      <c r="G2127" s="5">
        <v>97.7</v>
      </c>
      <c r="H2127" s="5">
        <v>97.6</v>
      </c>
      <c r="I2127" s="5">
        <v>0</v>
      </c>
      <c r="J2127" s="5">
        <v>0</v>
      </c>
      <c r="K2127" s="5">
        <v>0</v>
      </c>
    </row>
    <row r="2128" spans="1:11" x14ac:dyDescent="0.25">
      <c r="A2128" s="5">
        <f>2121</f>
      </c>
      <c r="B2128" s="5" t="s">
        <v>2136</v>
      </c>
      <c r="C2128" s="5">
        <v>98.1</v>
      </c>
      <c r="D2128" s="5">
        <v>0.1</v>
      </c>
      <c r="E2128" s="5">
        <v>98.3</v>
      </c>
      <c r="F2128" s="5">
        <v>195.9</v>
      </c>
      <c r="G2128" s="5">
        <v>97.7</v>
      </c>
      <c r="H2128" s="5">
        <v>97.6</v>
      </c>
      <c r="I2128" s="5">
        <v>0</v>
      </c>
      <c r="J2128" s="5">
        <v>0</v>
      </c>
      <c r="K2128" s="5">
        <v>0</v>
      </c>
    </row>
    <row r="2129" spans="1:11" x14ac:dyDescent="0.25">
      <c r="A2129" s="5">
        <f>2122</f>
      </c>
      <c r="B2129" s="5" t="s">
        <v>2137</v>
      </c>
      <c r="C2129" s="5">
        <v>98.6</v>
      </c>
      <c r="D2129" s="5">
        <v>0.1</v>
      </c>
      <c r="E2129" s="5">
        <v>98.6</v>
      </c>
      <c r="F2129" s="5">
        <v>195.7</v>
      </c>
      <c r="G2129" s="5">
        <v>97.7</v>
      </c>
      <c r="H2129" s="5">
        <v>97.6</v>
      </c>
      <c r="I2129" s="5">
        <v>0</v>
      </c>
      <c r="J2129" s="5">
        <v>0</v>
      </c>
      <c r="K2129" s="5">
        <v>0</v>
      </c>
    </row>
    <row r="2130" spans="1:11" x14ac:dyDescent="0.25">
      <c r="A2130" s="5">
        <f>2123</f>
      </c>
      <c r="B2130" s="5" t="s">
        <v>2138</v>
      </c>
      <c r="C2130" s="5">
        <v>98.6</v>
      </c>
      <c r="D2130" s="5">
        <v>0.1</v>
      </c>
      <c r="E2130" s="5">
        <v>98.6</v>
      </c>
      <c r="F2130" s="5">
        <v>195.7</v>
      </c>
      <c r="G2130" s="5">
        <v>97.7</v>
      </c>
      <c r="H2130" s="5">
        <v>97.6</v>
      </c>
      <c r="I2130" s="5">
        <v>0</v>
      </c>
      <c r="J2130" s="5">
        <v>0</v>
      </c>
      <c r="K2130" s="5">
        <v>0</v>
      </c>
    </row>
    <row r="2131" spans="1:11" x14ac:dyDescent="0.25">
      <c r="A2131" s="5">
        <f>2124</f>
      </c>
      <c r="B2131" s="5" t="s">
        <v>2139</v>
      </c>
      <c r="C2131" s="5">
        <v>98.9</v>
      </c>
      <c r="D2131" s="5">
        <v>0.1</v>
      </c>
      <c r="E2131" s="5">
        <v>99.1</v>
      </c>
      <c r="F2131" s="5">
        <v>196.9</v>
      </c>
      <c r="G2131" s="5">
        <v>98.2</v>
      </c>
      <c r="H2131" s="5">
        <v>98.1</v>
      </c>
      <c r="I2131" s="5">
        <v>0</v>
      </c>
      <c r="J2131" s="5">
        <v>0</v>
      </c>
      <c r="K2131" s="5">
        <v>0</v>
      </c>
    </row>
    <row r="2132" spans="1:11" x14ac:dyDescent="0.25">
      <c r="A2132" s="5">
        <f>2125</f>
      </c>
      <c r="B2132" s="5" t="s">
        <v>2140</v>
      </c>
      <c r="C2132" s="5">
        <v>98.9</v>
      </c>
      <c r="D2132" s="5">
        <v>0.1</v>
      </c>
      <c r="E2132" s="5">
        <v>99.1</v>
      </c>
      <c r="F2132" s="5">
        <v>196.9</v>
      </c>
      <c r="G2132" s="5">
        <v>98.2</v>
      </c>
      <c r="H2132" s="5">
        <v>98.1</v>
      </c>
      <c r="I2132" s="5">
        <v>0</v>
      </c>
      <c r="J2132" s="5">
        <v>0</v>
      </c>
      <c r="K2132" s="5">
        <v>0</v>
      </c>
    </row>
    <row r="2133" spans="1:11" x14ac:dyDescent="0.25">
      <c r="A2133" s="5">
        <f>2126</f>
      </c>
      <c r="B2133" s="5" t="s">
        <v>2141</v>
      </c>
      <c r="C2133" s="5">
        <v>98.9</v>
      </c>
      <c r="D2133" s="5">
        <v>0.1</v>
      </c>
      <c r="E2133" s="5">
        <v>99.1</v>
      </c>
      <c r="F2133" s="5">
        <v>196.9</v>
      </c>
      <c r="G2133" s="5">
        <v>98.2</v>
      </c>
      <c r="H2133" s="5">
        <v>98.1</v>
      </c>
      <c r="I2133" s="5">
        <v>0</v>
      </c>
      <c r="J2133" s="5">
        <v>0</v>
      </c>
      <c r="K2133" s="5">
        <v>0</v>
      </c>
    </row>
    <row r="2134" spans="1:11" x14ac:dyDescent="0.25">
      <c r="A2134" s="5">
        <f>2127</f>
      </c>
      <c r="B2134" s="5" t="s">
        <v>2142</v>
      </c>
      <c r="C2134" s="5">
        <v>98.4</v>
      </c>
      <c r="D2134" s="5">
        <v>0.1</v>
      </c>
      <c r="E2134" s="5">
        <v>98.6</v>
      </c>
      <c r="F2134" s="5">
        <v>196.1</v>
      </c>
      <c r="G2134" s="5">
        <v>97.9</v>
      </c>
      <c r="H2134" s="5">
        <v>97.7</v>
      </c>
      <c r="I2134" s="5">
        <v>0</v>
      </c>
      <c r="J2134" s="5">
        <v>0</v>
      </c>
      <c r="K2134" s="5">
        <v>0</v>
      </c>
    </row>
    <row r="2135" spans="1:11" x14ac:dyDescent="0.25">
      <c r="A2135" s="5">
        <f>2128</f>
      </c>
      <c r="B2135" s="5" t="s">
        <v>2143</v>
      </c>
      <c r="C2135" s="5">
        <v>98.4</v>
      </c>
      <c r="D2135" s="5">
        <v>0.1</v>
      </c>
      <c r="E2135" s="5">
        <v>98.6</v>
      </c>
      <c r="F2135" s="5">
        <v>196.1</v>
      </c>
      <c r="G2135" s="5">
        <v>97.9</v>
      </c>
      <c r="H2135" s="5">
        <v>97.7</v>
      </c>
      <c r="I2135" s="5">
        <v>0</v>
      </c>
      <c r="J2135" s="5">
        <v>0</v>
      </c>
      <c r="K2135" s="5">
        <v>0</v>
      </c>
    </row>
    <row r="2136" spans="1:11" x14ac:dyDescent="0.25">
      <c r="A2136" s="5">
        <f>2129</f>
      </c>
      <c r="B2136" s="5" t="s">
        <v>2144</v>
      </c>
      <c r="C2136" s="5">
        <v>98</v>
      </c>
      <c r="D2136" s="5">
        <v>0.1</v>
      </c>
      <c r="E2136" s="5">
        <v>98.1</v>
      </c>
      <c r="F2136" s="5">
        <v>196.3</v>
      </c>
      <c r="G2136" s="5">
        <v>97.9</v>
      </c>
      <c r="H2136" s="5">
        <v>97.8</v>
      </c>
      <c r="I2136" s="5">
        <v>0</v>
      </c>
      <c r="J2136" s="5">
        <v>0</v>
      </c>
      <c r="K2136" s="5">
        <v>0</v>
      </c>
    </row>
    <row r="2137" spans="1:11" x14ac:dyDescent="0.25">
      <c r="A2137" s="5">
        <f>2130</f>
      </c>
      <c r="B2137" s="5" t="s">
        <v>2145</v>
      </c>
      <c r="C2137" s="5">
        <v>98</v>
      </c>
      <c r="D2137" s="5">
        <v>0.1</v>
      </c>
      <c r="E2137" s="5">
        <v>98.1</v>
      </c>
      <c r="F2137" s="5">
        <v>196.3</v>
      </c>
      <c r="G2137" s="5">
        <v>97.9</v>
      </c>
      <c r="H2137" s="5">
        <v>97.8</v>
      </c>
      <c r="I2137" s="5">
        <v>0</v>
      </c>
      <c r="J2137" s="5">
        <v>0</v>
      </c>
      <c r="K2137" s="5">
        <v>0</v>
      </c>
    </row>
    <row r="2138" spans="1:11" x14ac:dyDescent="0.25">
      <c r="A2138" s="5">
        <f>2131</f>
      </c>
      <c r="B2138" s="5" t="s">
        <v>2146</v>
      </c>
      <c r="C2138" s="5">
        <v>98</v>
      </c>
      <c r="D2138" s="5">
        <v>0.1</v>
      </c>
      <c r="E2138" s="5">
        <v>98.5</v>
      </c>
      <c r="F2138" s="5">
        <v>195.4</v>
      </c>
      <c r="G2138" s="5">
        <v>97.5</v>
      </c>
      <c r="H2138" s="5">
        <v>97.3</v>
      </c>
      <c r="I2138" s="5">
        <v>0</v>
      </c>
      <c r="J2138" s="5">
        <v>0</v>
      </c>
      <c r="K2138" s="5">
        <v>0</v>
      </c>
    </row>
    <row r="2139" spans="1:11" x14ac:dyDescent="0.25">
      <c r="A2139" s="5">
        <f>2132</f>
      </c>
      <c r="B2139" s="5" t="s">
        <v>2147</v>
      </c>
      <c r="C2139" s="5">
        <v>98.3</v>
      </c>
      <c r="D2139" s="5">
        <v>0.1</v>
      </c>
      <c r="E2139" s="5">
        <v>98.5</v>
      </c>
      <c r="F2139" s="5">
        <v>195.4</v>
      </c>
      <c r="G2139" s="5">
        <v>97.5</v>
      </c>
      <c r="H2139" s="5">
        <v>97.3</v>
      </c>
      <c r="I2139" s="5">
        <v>0</v>
      </c>
      <c r="J2139" s="5">
        <v>0</v>
      </c>
      <c r="K2139" s="5">
        <v>0</v>
      </c>
    </row>
    <row r="2140" spans="1:11" x14ac:dyDescent="0.25">
      <c r="A2140" s="5">
        <f>2133</f>
      </c>
      <c r="B2140" s="5" t="s">
        <v>2148</v>
      </c>
      <c r="C2140" s="5">
        <v>98.3</v>
      </c>
      <c r="D2140" s="5">
        <v>0.1</v>
      </c>
      <c r="E2140" s="5">
        <v>98.7</v>
      </c>
      <c r="F2140" s="5">
        <v>196.8</v>
      </c>
      <c r="G2140" s="5">
        <v>98.2</v>
      </c>
      <c r="H2140" s="5">
        <v>98</v>
      </c>
      <c r="I2140" s="5">
        <v>0</v>
      </c>
      <c r="J2140" s="5">
        <v>0</v>
      </c>
      <c r="K2140" s="5">
        <v>0</v>
      </c>
    </row>
    <row r="2141" spans="1:11" x14ac:dyDescent="0.25">
      <c r="A2141" s="5">
        <f>2134</f>
      </c>
      <c r="B2141" s="5" t="s">
        <v>2149</v>
      </c>
      <c r="C2141" s="5">
        <v>98.6</v>
      </c>
      <c r="D2141" s="5">
        <v>0.1</v>
      </c>
      <c r="E2141" s="5">
        <v>98.7</v>
      </c>
      <c r="F2141" s="5">
        <v>196.8</v>
      </c>
      <c r="G2141" s="5">
        <v>98.2</v>
      </c>
      <c r="H2141" s="5">
        <v>98</v>
      </c>
      <c r="I2141" s="5">
        <v>0</v>
      </c>
      <c r="J2141" s="5">
        <v>0</v>
      </c>
      <c r="K2141" s="5">
        <v>0</v>
      </c>
    </row>
    <row r="2142" spans="1:11" x14ac:dyDescent="0.25">
      <c r="A2142" s="5">
        <f>2135</f>
      </c>
      <c r="B2142" s="5" t="s">
        <v>2150</v>
      </c>
      <c r="C2142" s="5">
        <v>98.6</v>
      </c>
      <c r="D2142" s="5">
        <v>0.1</v>
      </c>
      <c r="E2142" s="5">
        <v>98.7</v>
      </c>
      <c r="F2142" s="5">
        <v>196.8</v>
      </c>
      <c r="G2142" s="5">
        <v>98.2</v>
      </c>
      <c r="H2142" s="5">
        <v>98</v>
      </c>
      <c r="I2142" s="5">
        <v>0</v>
      </c>
      <c r="J2142" s="5">
        <v>0</v>
      </c>
      <c r="K2142" s="5">
        <v>0</v>
      </c>
    </row>
    <row r="2143" spans="1:11" x14ac:dyDescent="0.25">
      <c r="A2143" s="5">
        <f>2136</f>
      </c>
      <c r="B2143" s="5" t="s">
        <v>2151</v>
      </c>
      <c r="C2143" s="5">
        <v>98.6</v>
      </c>
      <c r="D2143" s="5">
        <v>0.1</v>
      </c>
      <c r="E2143" s="5">
        <v>98.7</v>
      </c>
      <c r="F2143" s="5">
        <v>196.8</v>
      </c>
      <c r="G2143" s="5">
        <v>98.2</v>
      </c>
      <c r="H2143" s="5">
        <v>98</v>
      </c>
      <c r="I2143" s="5">
        <v>0</v>
      </c>
      <c r="J2143" s="5">
        <v>0</v>
      </c>
      <c r="K2143" s="5">
        <v>0</v>
      </c>
    </row>
    <row r="2144" spans="1:11" x14ac:dyDescent="0.25">
      <c r="A2144" s="5">
        <f>2137</f>
      </c>
      <c r="B2144" s="5" t="s">
        <v>2152</v>
      </c>
      <c r="C2144" s="5">
        <v>97.5</v>
      </c>
      <c r="D2144" s="5">
        <v>0.1</v>
      </c>
      <c r="E2144" s="5">
        <v>97.6</v>
      </c>
      <c r="F2144" s="5">
        <v>195</v>
      </c>
      <c r="G2144" s="5">
        <v>97.2</v>
      </c>
      <c r="H2144" s="5">
        <v>97.1</v>
      </c>
      <c r="I2144" s="5">
        <v>0</v>
      </c>
      <c r="J2144" s="5">
        <v>0</v>
      </c>
      <c r="K2144" s="5">
        <v>0</v>
      </c>
    </row>
    <row r="2145" spans="1:11" x14ac:dyDescent="0.25">
      <c r="A2145" s="5">
        <f>2138</f>
      </c>
      <c r="B2145" s="5" t="s">
        <v>2153</v>
      </c>
      <c r="C2145" s="5">
        <v>97.5</v>
      </c>
      <c r="D2145" s="5">
        <v>0.1</v>
      </c>
      <c r="E2145" s="5">
        <v>97.6</v>
      </c>
      <c r="F2145" s="5">
        <v>195</v>
      </c>
      <c r="G2145" s="5">
        <v>97.2</v>
      </c>
      <c r="H2145" s="5">
        <v>97.1</v>
      </c>
      <c r="I2145" s="5">
        <v>0</v>
      </c>
      <c r="J2145" s="5">
        <v>0</v>
      </c>
      <c r="K2145" s="5">
        <v>0</v>
      </c>
    </row>
    <row r="2146" spans="1:11" x14ac:dyDescent="0.25">
      <c r="A2146" s="5">
        <f>2139</f>
      </c>
      <c r="B2146" s="5" t="s">
        <v>2154</v>
      </c>
      <c r="C2146" s="5">
        <v>98.3</v>
      </c>
      <c r="D2146" s="5">
        <v>0.1</v>
      </c>
      <c r="E2146" s="5">
        <v>98.5</v>
      </c>
      <c r="F2146" s="5">
        <v>196</v>
      </c>
      <c r="G2146" s="5">
        <v>97.8</v>
      </c>
      <c r="H2146" s="5">
        <v>97.7</v>
      </c>
      <c r="I2146" s="5">
        <v>0</v>
      </c>
      <c r="J2146" s="5">
        <v>0</v>
      </c>
      <c r="K2146" s="5">
        <v>0</v>
      </c>
    </row>
    <row r="2147" spans="1:11" x14ac:dyDescent="0.25">
      <c r="A2147" s="5">
        <f>2140</f>
      </c>
      <c r="B2147" s="5" t="s">
        <v>2155</v>
      </c>
      <c r="C2147" s="5">
        <v>98.3</v>
      </c>
      <c r="D2147" s="5">
        <v>0.1</v>
      </c>
      <c r="E2147" s="5">
        <v>98.5</v>
      </c>
      <c r="F2147" s="5">
        <v>196</v>
      </c>
      <c r="G2147" s="5">
        <v>97.8</v>
      </c>
      <c r="H2147" s="5">
        <v>97.7</v>
      </c>
      <c r="I2147" s="5">
        <v>0</v>
      </c>
      <c r="J2147" s="5">
        <v>0</v>
      </c>
      <c r="K2147" s="5">
        <v>0</v>
      </c>
    </row>
    <row r="2148" spans="1:11" x14ac:dyDescent="0.25">
      <c r="A2148" s="5">
        <f>2141</f>
      </c>
      <c r="B2148" s="5" t="s">
        <v>2156</v>
      </c>
      <c r="C2148" s="5">
        <v>98.3</v>
      </c>
      <c r="D2148" s="5">
        <v>0.1</v>
      </c>
      <c r="E2148" s="5">
        <v>98.4</v>
      </c>
      <c r="F2148" s="5">
        <v>196.4</v>
      </c>
      <c r="G2148" s="5">
        <v>98</v>
      </c>
      <c r="H2148" s="5">
        <v>97.8</v>
      </c>
      <c r="I2148" s="5">
        <v>0</v>
      </c>
      <c r="J2148" s="5">
        <v>0</v>
      </c>
      <c r="K2148" s="5">
        <v>0</v>
      </c>
    </row>
    <row r="2149" spans="1:11" x14ac:dyDescent="0.25">
      <c r="A2149" s="5">
        <f>2142</f>
      </c>
      <c r="B2149" s="5" t="s">
        <v>2157</v>
      </c>
      <c r="C2149" s="5">
        <v>98.3</v>
      </c>
      <c r="D2149" s="5">
        <v>0.1</v>
      </c>
      <c r="E2149" s="5">
        <v>98.4</v>
      </c>
      <c r="F2149" s="5">
        <v>196.4</v>
      </c>
      <c r="G2149" s="5">
        <v>98</v>
      </c>
      <c r="H2149" s="5">
        <v>97.8</v>
      </c>
      <c r="I2149" s="5">
        <v>0</v>
      </c>
      <c r="J2149" s="5">
        <v>0</v>
      </c>
      <c r="K2149" s="5">
        <v>0</v>
      </c>
    </row>
    <row r="2150" spans="1:11" x14ac:dyDescent="0.25">
      <c r="A2150" s="5">
        <f>2143</f>
      </c>
      <c r="B2150" s="5" t="s">
        <v>2158</v>
      </c>
      <c r="C2150" s="5">
        <v>98.6</v>
      </c>
      <c r="D2150" s="5">
        <v>0.1</v>
      </c>
      <c r="E2150" s="5">
        <v>98.8</v>
      </c>
      <c r="F2150" s="5">
        <v>196.5</v>
      </c>
      <c r="G2150" s="5">
        <v>98</v>
      </c>
      <c r="H2150" s="5">
        <v>97.8</v>
      </c>
      <c r="I2150" s="5">
        <v>0</v>
      </c>
      <c r="J2150" s="5">
        <v>0</v>
      </c>
      <c r="K2150" s="5">
        <v>0</v>
      </c>
    </row>
    <row r="2151" spans="1:11" x14ac:dyDescent="0.25">
      <c r="A2151" s="5">
        <f>2144</f>
      </c>
      <c r="B2151" s="5" t="s">
        <v>2159</v>
      </c>
      <c r="C2151" s="5">
        <v>98.6</v>
      </c>
      <c r="D2151" s="5">
        <v>0.1</v>
      </c>
      <c r="E2151" s="5">
        <v>98.8</v>
      </c>
      <c r="F2151" s="5">
        <v>196.5</v>
      </c>
      <c r="G2151" s="5">
        <v>98</v>
      </c>
      <c r="H2151" s="5">
        <v>97.9</v>
      </c>
      <c r="I2151" s="5">
        <v>0</v>
      </c>
      <c r="J2151" s="5">
        <v>0</v>
      </c>
      <c r="K2151" s="5">
        <v>0</v>
      </c>
    </row>
    <row r="2152" spans="1:11" x14ac:dyDescent="0.25">
      <c r="A2152" s="5">
        <f>2145</f>
      </c>
      <c r="B2152" s="5" t="s">
        <v>2160</v>
      </c>
      <c r="C2152" s="5">
        <v>98.6</v>
      </c>
      <c r="D2152" s="5">
        <v>0.1</v>
      </c>
      <c r="E2152" s="5">
        <v>98.8</v>
      </c>
      <c r="F2152" s="5">
        <v>196.5</v>
      </c>
      <c r="G2152" s="5">
        <v>98</v>
      </c>
      <c r="H2152" s="5">
        <v>97.9</v>
      </c>
      <c r="I2152" s="5">
        <v>0</v>
      </c>
      <c r="J2152" s="5">
        <v>0</v>
      </c>
      <c r="K2152" s="5">
        <v>0</v>
      </c>
    </row>
    <row r="2153" spans="1:11" x14ac:dyDescent="0.25">
      <c r="A2153" s="5">
        <f>2146</f>
      </c>
      <c r="B2153" s="5" t="s">
        <v>2161</v>
      </c>
      <c r="C2153" s="5">
        <v>98.6</v>
      </c>
      <c r="D2153" s="5">
        <v>0.1</v>
      </c>
      <c r="E2153" s="5">
        <v>98.8</v>
      </c>
      <c r="F2153" s="5">
        <v>196.5</v>
      </c>
      <c r="G2153" s="5">
        <v>98</v>
      </c>
      <c r="H2153" s="5">
        <v>97.9</v>
      </c>
      <c r="I2153" s="5">
        <v>0</v>
      </c>
      <c r="J2153" s="5">
        <v>0</v>
      </c>
      <c r="K2153" s="5">
        <v>0</v>
      </c>
    </row>
    <row r="2154" spans="1:11" x14ac:dyDescent="0.25">
      <c r="A2154" s="5">
        <f>2147</f>
      </c>
      <c r="B2154" s="5" t="s">
        <v>2162</v>
      </c>
      <c r="C2154" s="5">
        <v>97.6</v>
      </c>
      <c r="D2154" s="5">
        <v>0.1</v>
      </c>
      <c r="E2154" s="5">
        <v>98.8</v>
      </c>
      <c r="F2154" s="5">
        <v>196.5</v>
      </c>
      <c r="G2154" s="5">
        <v>98</v>
      </c>
      <c r="H2154" s="5">
        <v>97.9</v>
      </c>
      <c r="I2154" s="5">
        <v>0</v>
      </c>
      <c r="J2154" s="5">
        <v>0</v>
      </c>
      <c r="K2154" s="5">
        <v>0</v>
      </c>
    </row>
    <row r="2155" spans="1:11" x14ac:dyDescent="0.25">
      <c r="A2155" s="5">
        <f>2148</f>
      </c>
      <c r="B2155" s="5" t="s">
        <v>2163</v>
      </c>
      <c r="C2155" s="5">
        <v>97.6</v>
      </c>
      <c r="D2155" s="5">
        <v>0.1</v>
      </c>
      <c r="E2155" s="5">
        <v>97.7</v>
      </c>
      <c r="F2155" s="5">
        <v>197</v>
      </c>
      <c r="G2155" s="5">
        <v>98.3</v>
      </c>
      <c r="H2155" s="5">
        <v>98.1</v>
      </c>
      <c r="I2155" s="5">
        <v>0</v>
      </c>
      <c r="J2155" s="5">
        <v>0</v>
      </c>
      <c r="K2155" s="5">
        <v>0</v>
      </c>
    </row>
    <row r="2156" spans="1:11" x14ac:dyDescent="0.25">
      <c r="A2156" s="5">
        <f>2149</f>
      </c>
      <c r="B2156" s="5" t="s">
        <v>2164</v>
      </c>
      <c r="C2156" s="5">
        <v>97.6</v>
      </c>
      <c r="D2156" s="5">
        <v>0.1</v>
      </c>
      <c r="E2156" s="5">
        <v>97.7</v>
      </c>
      <c r="F2156" s="5">
        <v>197</v>
      </c>
      <c r="G2156" s="5">
        <v>98.3</v>
      </c>
      <c r="H2156" s="5">
        <v>98.1</v>
      </c>
      <c r="I2156" s="5">
        <v>0</v>
      </c>
      <c r="J2156" s="5">
        <v>0</v>
      </c>
      <c r="K2156" s="5">
        <v>0</v>
      </c>
    </row>
    <row r="2157" spans="1:11" x14ac:dyDescent="0.25">
      <c r="A2157" s="5">
        <f>2150</f>
      </c>
      <c r="B2157" s="5" t="s">
        <v>2165</v>
      </c>
      <c r="C2157" s="5">
        <v>98.8</v>
      </c>
      <c r="D2157" s="5">
        <v>0.1</v>
      </c>
      <c r="E2157" s="5">
        <v>98.9</v>
      </c>
      <c r="F2157" s="5">
        <v>196.3</v>
      </c>
      <c r="G2157" s="5">
        <v>97.9</v>
      </c>
      <c r="H2157" s="5">
        <v>97.8</v>
      </c>
      <c r="I2157" s="5">
        <v>0</v>
      </c>
      <c r="J2157" s="5">
        <v>0</v>
      </c>
      <c r="K2157" s="5">
        <v>0</v>
      </c>
    </row>
    <row r="2158" spans="1:11" x14ac:dyDescent="0.25">
      <c r="A2158" s="5">
        <f>2151</f>
      </c>
      <c r="B2158" s="5" t="s">
        <v>2166</v>
      </c>
      <c r="C2158" s="5">
        <v>98.8</v>
      </c>
      <c r="D2158" s="5">
        <v>0.1</v>
      </c>
      <c r="E2158" s="5">
        <v>98.9</v>
      </c>
      <c r="F2158" s="5">
        <v>196.3</v>
      </c>
      <c r="G2158" s="5">
        <v>97.9</v>
      </c>
      <c r="H2158" s="5">
        <v>97.8</v>
      </c>
      <c r="I2158" s="5">
        <v>0</v>
      </c>
      <c r="J2158" s="5">
        <v>0</v>
      </c>
      <c r="K2158" s="5">
        <v>0</v>
      </c>
    </row>
    <row r="2159" spans="1:11" x14ac:dyDescent="0.25">
      <c r="A2159" s="5">
        <f>2152</f>
      </c>
      <c r="B2159" s="5" t="s">
        <v>2167</v>
      </c>
      <c r="C2159" s="5">
        <v>98.5</v>
      </c>
      <c r="D2159" s="5">
        <v>0.1</v>
      </c>
      <c r="E2159" s="5">
        <v>98.6</v>
      </c>
      <c r="F2159" s="5">
        <v>197.8</v>
      </c>
      <c r="G2159" s="5">
        <v>98.7</v>
      </c>
      <c r="H2159" s="5">
        <v>98.5</v>
      </c>
      <c r="I2159" s="5">
        <v>0</v>
      </c>
      <c r="J2159" s="5">
        <v>0</v>
      </c>
      <c r="K2159" s="5">
        <v>0</v>
      </c>
    </row>
    <row r="2160" spans="1:11" x14ac:dyDescent="0.25">
      <c r="A2160" s="5">
        <f>2153</f>
      </c>
      <c r="B2160" s="5" t="s">
        <v>2168</v>
      </c>
      <c r="C2160" s="5">
        <v>98.5</v>
      </c>
      <c r="D2160" s="5">
        <v>0.1</v>
      </c>
      <c r="E2160" s="5">
        <v>98.6</v>
      </c>
      <c r="F2160" s="5">
        <v>197.8</v>
      </c>
      <c r="G2160" s="5">
        <v>98.7</v>
      </c>
      <c r="H2160" s="5">
        <v>98.5</v>
      </c>
      <c r="I2160" s="5">
        <v>0</v>
      </c>
      <c r="J2160" s="5">
        <v>0</v>
      </c>
      <c r="K2160" s="5">
        <v>0</v>
      </c>
    </row>
    <row r="2161" spans="1:11" x14ac:dyDescent="0.25">
      <c r="A2161" s="5">
        <f>2154</f>
      </c>
      <c r="B2161" s="5" t="s">
        <v>2169</v>
      </c>
      <c r="C2161" s="5">
        <v>98.9</v>
      </c>
      <c r="D2161" s="5">
        <v>0.1</v>
      </c>
      <c r="E2161" s="5">
        <v>99.1</v>
      </c>
      <c r="F2161" s="5">
        <v>197.1</v>
      </c>
      <c r="G2161" s="5">
        <v>98.3</v>
      </c>
      <c r="H2161" s="5">
        <v>98.2</v>
      </c>
      <c r="I2161" s="5">
        <v>0</v>
      </c>
      <c r="J2161" s="5">
        <v>0</v>
      </c>
      <c r="K2161" s="5">
        <v>0</v>
      </c>
    </row>
    <row r="2162" spans="1:11" x14ac:dyDescent="0.25">
      <c r="A2162" s="5">
        <f>2155</f>
      </c>
      <c r="B2162" s="5" t="s">
        <v>2170</v>
      </c>
      <c r="C2162" s="5">
        <v>98.9</v>
      </c>
      <c r="D2162" s="5">
        <v>0.1</v>
      </c>
      <c r="E2162" s="5">
        <v>99.1</v>
      </c>
      <c r="F2162" s="5">
        <v>197.1</v>
      </c>
      <c r="G2162" s="5">
        <v>98.3</v>
      </c>
      <c r="H2162" s="5">
        <v>98.2</v>
      </c>
      <c r="I2162" s="5">
        <v>0</v>
      </c>
      <c r="J2162" s="5">
        <v>0</v>
      </c>
      <c r="K2162" s="5">
        <v>0</v>
      </c>
    </row>
    <row r="2163" spans="1:11" x14ac:dyDescent="0.25">
      <c r="A2163" s="5">
        <f>2156</f>
      </c>
      <c r="B2163" s="5" t="s">
        <v>2171</v>
      </c>
      <c r="C2163" s="5">
        <v>98.9</v>
      </c>
      <c r="D2163" s="5">
        <v>0.1</v>
      </c>
      <c r="E2163" s="5">
        <v>99.1</v>
      </c>
      <c r="F2163" s="5">
        <v>197.1</v>
      </c>
      <c r="G2163" s="5">
        <v>98.3</v>
      </c>
      <c r="H2163" s="5">
        <v>98.2</v>
      </c>
      <c r="I2163" s="5">
        <v>0</v>
      </c>
      <c r="J2163" s="5">
        <v>0</v>
      </c>
      <c r="K2163" s="5">
        <v>0</v>
      </c>
    </row>
    <row r="2164" spans="1:11" x14ac:dyDescent="0.25">
      <c r="A2164" s="5">
        <f>2157</f>
      </c>
      <c r="B2164" s="5" t="s">
        <v>2172</v>
      </c>
      <c r="C2164" s="5">
        <v>98.9</v>
      </c>
      <c r="D2164" s="5">
        <v>0.1</v>
      </c>
      <c r="E2164" s="5">
        <v>99</v>
      </c>
      <c r="F2164" s="5">
        <v>197</v>
      </c>
      <c r="G2164" s="5">
        <v>98.3</v>
      </c>
      <c r="H2164" s="5">
        <v>98.1</v>
      </c>
      <c r="I2164" s="5">
        <v>0</v>
      </c>
      <c r="J2164" s="5">
        <v>0</v>
      </c>
      <c r="K2164" s="5">
        <v>0</v>
      </c>
    </row>
    <row r="2165" spans="1:11" x14ac:dyDescent="0.25">
      <c r="A2165" s="5">
        <f>2158</f>
      </c>
      <c r="B2165" s="5" t="s">
        <v>2173</v>
      </c>
      <c r="C2165" s="5">
        <v>98.9</v>
      </c>
      <c r="D2165" s="5">
        <v>0.1</v>
      </c>
      <c r="E2165" s="5">
        <v>99</v>
      </c>
      <c r="F2165" s="5">
        <v>197</v>
      </c>
      <c r="G2165" s="5">
        <v>98.3</v>
      </c>
      <c r="H2165" s="5">
        <v>98.1</v>
      </c>
      <c r="I2165" s="5">
        <v>0</v>
      </c>
      <c r="J2165" s="5">
        <v>0</v>
      </c>
      <c r="K2165" s="5">
        <v>0</v>
      </c>
    </row>
    <row r="2166" spans="1:11" x14ac:dyDescent="0.25">
      <c r="A2166" s="5">
        <f>2159</f>
      </c>
      <c r="B2166" s="5" t="s">
        <v>2174</v>
      </c>
      <c r="C2166" s="5">
        <v>98.9</v>
      </c>
      <c r="D2166" s="5">
        <v>0.1</v>
      </c>
      <c r="E2166" s="5">
        <v>99</v>
      </c>
      <c r="F2166" s="5">
        <v>197</v>
      </c>
      <c r="G2166" s="5">
        <v>98.3</v>
      </c>
      <c r="H2166" s="5">
        <v>98.1</v>
      </c>
      <c r="I2166" s="5">
        <v>0</v>
      </c>
      <c r="J2166" s="5">
        <v>0</v>
      </c>
      <c r="K2166" s="5">
        <v>0</v>
      </c>
    </row>
    <row r="2167" spans="1:11" x14ac:dyDescent="0.25">
      <c r="A2167" s="5">
        <f>2160</f>
      </c>
      <c r="B2167" s="5" t="s">
        <v>2175</v>
      </c>
      <c r="C2167" s="5">
        <v>98.9</v>
      </c>
      <c r="D2167" s="5">
        <v>0.1</v>
      </c>
      <c r="E2167" s="5">
        <v>99</v>
      </c>
      <c r="F2167" s="5">
        <v>197</v>
      </c>
      <c r="G2167" s="5">
        <v>98.3</v>
      </c>
      <c r="H2167" s="5">
        <v>98.1</v>
      </c>
      <c r="I2167" s="5">
        <v>0</v>
      </c>
      <c r="J2167" s="5">
        <v>0</v>
      </c>
      <c r="K2167" s="5">
        <v>0</v>
      </c>
    </row>
    <row r="2168" spans="1:11" x14ac:dyDescent="0.25">
      <c r="A2168" s="5">
        <f>2161</f>
      </c>
      <c r="B2168" s="5" t="s">
        <v>2176</v>
      </c>
      <c r="C2168" s="5">
        <v>98.9</v>
      </c>
      <c r="D2168" s="5">
        <v>0.1</v>
      </c>
      <c r="E2168" s="5">
        <v>99</v>
      </c>
      <c r="F2168" s="5">
        <v>197</v>
      </c>
      <c r="G2168" s="5">
        <v>98.5</v>
      </c>
      <c r="H2168" s="5">
        <v>98.4</v>
      </c>
      <c r="I2168" s="5">
        <v>0</v>
      </c>
      <c r="J2168" s="5">
        <v>0</v>
      </c>
      <c r="K2168" s="5">
        <v>0</v>
      </c>
    </row>
    <row r="2169" spans="1:11" x14ac:dyDescent="0.25">
      <c r="A2169" s="5">
        <f>2162</f>
      </c>
      <c r="B2169" s="5" t="s">
        <v>2177</v>
      </c>
      <c r="C2169" s="5">
        <v>99</v>
      </c>
      <c r="D2169" s="5">
        <v>0.1</v>
      </c>
      <c r="E2169" s="5">
        <v>99.2</v>
      </c>
      <c r="F2169" s="5">
        <v>197.5</v>
      </c>
      <c r="G2169" s="5">
        <v>98.5</v>
      </c>
      <c r="H2169" s="5">
        <v>98.4</v>
      </c>
      <c r="I2169" s="5">
        <v>0</v>
      </c>
      <c r="J2169" s="5">
        <v>0</v>
      </c>
      <c r="K2169" s="5">
        <v>0</v>
      </c>
    </row>
    <row r="2170" spans="1:11" x14ac:dyDescent="0.25">
      <c r="A2170" s="5">
        <f>2163</f>
      </c>
      <c r="B2170" s="5" t="s">
        <v>2178</v>
      </c>
      <c r="C2170" s="5">
        <v>99</v>
      </c>
      <c r="D2170" s="5">
        <v>0.1</v>
      </c>
      <c r="E2170" s="5">
        <v>99.2</v>
      </c>
      <c r="F2170" s="5">
        <v>197.5</v>
      </c>
      <c r="G2170" s="5">
        <v>98.5</v>
      </c>
      <c r="H2170" s="5">
        <v>98.8</v>
      </c>
      <c r="I2170" s="5">
        <v>0</v>
      </c>
      <c r="J2170" s="5">
        <v>0</v>
      </c>
      <c r="K2170" s="5">
        <v>0</v>
      </c>
    </row>
    <row r="2171" spans="1:11" x14ac:dyDescent="0.25">
      <c r="A2171" s="5">
        <f>2164</f>
      </c>
      <c r="B2171" s="5" t="s">
        <v>2179</v>
      </c>
      <c r="C2171" s="5">
        <v>99.5</v>
      </c>
      <c r="D2171" s="5">
        <v>0.1</v>
      </c>
      <c r="E2171" s="5">
        <v>99.6</v>
      </c>
      <c r="F2171" s="5">
        <v>198.3</v>
      </c>
      <c r="G2171" s="5">
        <v>98.9</v>
      </c>
      <c r="H2171" s="5">
        <v>98.8</v>
      </c>
      <c r="I2171" s="5">
        <v>0</v>
      </c>
      <c r="J2171" s="5">
        <v>0</v>
      </c>
      <c r="K2171" s="5">
        <v>0</v>
      </c>
    </row>
    <row r="2172" spans="1:11" x14ac:dyDescent="0.25">
      <c r="A2172" s="5">
        <f>2165</f>
      </c>
      <c r="B2172" s="5" t="s">
        <v>2180</v>
      </c>
      <c r="C2172" s="5">
        <v>99.5</v>
      </c>
      <c r="D2172" s="5">
        <v>0.1</v>
      </c>
      <c r="E2172" s="5">
        <v>99.6</v>
      </c>
      <c r="F2172" s="5">
        <v>198.3</v>
      </c>
      <c r="G2172" s="5">
        <v>98.9</v>
      </c>
      <c r="H2172" s="5">
        <v>98.8</v>
      </c>
      <c r="I2172" s="5">
        <v>0</v>
      </c>
      <c r="J2172" s="5">
        <v>0</v>
      </c>
      <c r="K2172" s="5">
        <v>0</v>
      </c>
    </row>
    <row r="2173" spans="1:11" x14ac:dyDescent="0.25">
      <c r="A2173" s="5">
        <f>2166</f>
      </c>
      <c r="B2173" s="5" t="s">
        <v>2181</v>
      </c>
      <c r="C2173" s="5">
        <v>99.5</v>
      </c>
      <c r="D2173" s="5">
        <v>0.1</v>
      </c>
      <c r="E2173" s="5">
        <v>99.6</v>
      </c>
      <c r="F2173" s="5">
        <v>198.3</v>
      </c>
      <c r="G2173" s="5">
        <v>98.9</v>
      </c>
      <c r="H2173" s="5">
        <v>98.8</v>
      </c>
      <c r="I2173" s="5">
        <v>0</v>
      </c>
      <c r="J2173" s="5">
        <v>0</v>
      </c>
      <c r="K2173" s="5">
        <v>0</v>
      </c>
    </row>
    <row r="2174" spans="1:11" x14ac:dyDescent="0.25">
      <c r="A2174" s="5">
        <f>2167</f>
      </c>
      <c r="B2174" s="5" t="s">
        <v>2182</v>
      </c>
      <c r="C2174" s="5">
        <v>98.9</v>
      </c>
      <c r="D2174" s="5">
        <v>0.1</v>
      </c>
      <c r="E2174" s="5">
        <v>99.1</v>
      </c>
      <c r="F2174" s="5">
        <v>197.9</v>
      </c>
      <c r="G2174" s="5">
        <v>98.7</v>
      </c>
      <c r="H2174" s="5">
        <v>98.5</v>
      </c>
      <c r="I2174" s="5">
        <v>0</v>
      </c>
      <c r="J2174" s="5">
        <v>0</v>
      </c>
      <c r="K2174" s="5">
        <v>0</v>
      </c>
    </row>
    <row r="2175" spans="1:11" x14ac:dyDescent="0.25">
      <c r="A2175" s="5">
        <f>2168</f>
      </c>
      <c r="B2175" s="5" t="s">
        <v>2183</v>
      </c>
      <c r="C2175" s="5">
        <v>98.9</v>
      </c>
      <c r="D2175" s="5">
        <v>0.1</v>
      </c>
      <c r="E2175" s="5">
        <v>99.1</v>
      </c>
      <c r="F2175" s="5">
        <v>197.9</v>
      </c>
      <c r="G2175" s="5">
        <v>98.7</v>
      </c>
      <c r="H2175" s="5">
        <v>98.5</v>
      </c>
      <c r="I2175" s="5">
        <v>0</v>
      </c>
      <c r="J2175" s="5">
        <v>0</v>
      </c>
      <c r="K2175" s="5">
        <v>0</v>
      </c>
    </row>
    <row r="2176" spans="1:11" x14ac:dyDescent="0.25">
      <c r="A2176" s="5">
        <f>2169</f>
      </c>
      <c r="B2176" s="5" t="s">
        <v>2184</v>
      </c>
      <c r="C2176" s="5">
        <v>99</v>
      </c>
      <c r="D2176" s="5">
        <v>0.1</v>
      </c>
      <c r="E2176" s="5">
        <v>99.2</v>
      </c>
      <c r="F2176" s="5">
        <v>199.2</v>
      </c>
      <c r="G2176" s="5">
        <v>99.4</v>
      </c>
      <c r="H2176" s="5">
        <v>99.2</v>
      </c>
      <c r="I2176" s="5">
        <v>0</v>
      </c>
      <c r="J2176" s="5">
        <v>0</v>
      </c>
      <c r="K2176" s="5">
        <v>0</v>
      </c>
    </row>
    <row r="2177" spans="1:11" x14ac:dyDescent="0.25">
      <c r="A2177" s="5">
        <f>2170</f>
      </c>
      <c r="B2177" s="5" t="s">
        <v>2185</v>
      </c>
      <c r="C2177" s="5">
        <v>99</v>
      </c>
      <c r="D2177" s="5">
        <v>0.1</v>
      </c>
      <c r="E2177" s="5">
        <v>99.2</v>
      </c>
      <c r="F2177" s="5">
        <v>199.2</v>
      </c>
      <c r="G2177" s="5">
        <v>99.4</v>
      </c>
      <c r="H2177" s="5">
        <v>99.2</v>
      </c>
      <c r="I2177" s="5">
        <v>0</v>
      </c>
      <c r="J2177" s="5">
        <v>0</v>
      </c>
      <c r="K2177" s="5">
        <v>0</v>
      </c>
    </row>
    <row r="2178" spans="1:11" x14ac:dyDescent="0.25">
      <c r="A2178" s="5">
        <f>2171</f>
      </c>
      <c r="B2178" s="5" t="s">
        <v>2186</v>
      </c>
      <c r="C2178" s="5">
        <v>98.9</v>
      </c>
      <c r="D2178" s="5">
        <v>0.1</v>
      </c>
      <c r="E2178" s="5">
        <v>99.1</v>
      </c>
      <c r="F2178" s="5">
        <v>197.5</v>
      </c>
      <c r="G2178" s="5">
        <v>98.6</v>
      </c>
      <c r="H2178" s="5">
        <v>98.4</v>
      </c>
      <c r="I2178" s="5">
        <v>0</v>
      </c>
      <c r="J2178" s="5">
        <v>0</v>
      </c>
      <c r="K2178" s="5">
        <v>0</v>
      </c>
    </row>
    <row r="2179" spans="1:11" x14ac:dyDescent="0.25">
      <c r="A2179" s="5">
        <f>2172</f>
      </c>
      <c r="B2179" s="5" t="s">
        <v>2187</v>
      </c>
      <c r="C2179" s="5">
        <v>98.9</v>
      </c>
      <c r="D2179" s="5">
        <v>0.1</v>
      </c>
      <c r="E2179" s="5">
        <v>99.1</v>
      </c>
      <c r="F2179" s="5">
        <v>197.5</v>
      </c>
      <c r="G2179" s="5">
        <v>98.6</v>
      </c>
      <c r="H2179" s="5">
        <v>98.4</v>
      </c>
      <c r="I2179" s="5">
        <v>0</v>
      </c>
      <c r="J2179" s="5">
        <v>0</v>
      </c>
      <c r="K2179" s="5">
        <v>0</v>
      </c>
    </row>
    <row r="2180" spans="1:11" x14ac:dyDescent="0.25">
      <c r="A2180" s="5">
        <f>2173</f>
      </c>
      <c r="B2180" s="5" t="s">
        <v>2188</v>
      </c>
      <c r="C2180" s="5">
        <v>100.8</v>
      </c>
      <c r="D2180" s="5">
        <v>0.1</v>
      </c>
      <c r="E2180" s="5">
        <v>100.9</v>
      </c>
      <c r="F2180" s="5">
        <v>201.3</v>
      </c>
      <c r="G2180" s="5">
        <v>100.4</v>
      </c>
      <c r="H2180" s="5">
        <v>100.3</v>
      </c>
      <c r="I2180" s="5">
        <v>0</v>
      </c>
      <c r="J2180" s="5">
        <v>0</v>
      </c>
      <c r="K2180" s="5">
        <v>0</v>
      </c>
    </row>
    <row r="2181" spans="1:11" x14ac:dyDescent="0.25">
      <c r="A2181" s="5">
        <f>2174</f>
      </c>
      <c r="B2181" s="5" t="s">
        <v>2189</v>
      </c>
      <c r="C2181" s="5">
        <v>100.8</v>
      </c>
      <c r="D2181" s="5">
        <v>0.1</v>
      </c>
      <c r="E2181" s="5">
        <v>100.9</v>
      </c>
      <c r="F2181" s="5">
        <v>201.3</v>
      </c>
      <c r="G2181" s="5">
        <v>100.4</v>
      </c>
      <c r="H2181" s="5">
        <v>100.3</v>
      </c>
      <c r="I2181" s="5">
        <v>0</v>
      </c>
      <c r="J2181" s="5">
        <v>0</v>
      </c>
      <c r="K2181" s="5">
        <v>0</v>
      </c>
    </row>
    <row r="2182" spans="1:11" x14ac:dyDescent="0.25">
      <c r="A2182" s="5">
        <f>2175</f>
      </c>
      <c r="B2182" s="5" t="s">
        <v>2190</v>
      </c>
      <c r="C2182" s="5">
        <v>100.8</v>
      </c>
      <c r="D2182" s="5">
        <v>0.1</v>
      </c>
      <c r="E2182" s="5">
        <v>100.9</v>
      </c>
      <c r="F2182" s="5">
        <v>201.3</v>
      </c>
      <c r="G2182" s="5">
        <v>100.4</v>
      </c>
      <c r="H2182" s="5">
        <v>100.3</v>
      </c>
      <c r="I2182" s="5">
        <v>0</v>
      </c>
      <c r="J2182" s="5">
        <v>0</v>
      </c>
      <c r="K2182" s="5">
        <v>0</v>
      </c>
    </row>
    <row r="2183" spans="1:11" x14ac:dyDescent="0.25">
      <c r="A2183" s="5">
        <f>2176</f>
      </c>
      <c r="B2183" s="5" t="s">
        <v>2191</v>
      </c>
      <c r="C2183" s="5">
        <v>100.8</v>
      </c>
      <c r="D2183" s="5">
        <v>0.1</v>
      </c>
      <c r="E2183" s="5">
        <v>100.9</v>
      </c>
      <c r="F2183" s="5">
        <v>201.3</v>
      </c>
      <c r="G2183" s="5">
        <v>100.4</v>
      </c>
      <c r="H2183" s="5">
        <v>100.3</v>
      </c>
      <c r="I2183" s="5">
        <v>0</v>
      </c>
      <c r="J2183" s="5">
        <v>0</v>
      </c>
      <c r="K2183" s="5">
        <v>0</v>
      </c>
    </row>
    <row r="2184" spans="1:11" x14ac:dyDescent="0.25">
      <c r="A2184" s="5">
        <f>2177</f>
      </c>
      <c r="B2184" s="5" t="s">
        <v>2192</v>
      </c>
      <c r="C2184" s="5">
        <v>100.7</v>
      </c>
      <c r="D2184" s="5">
        <v>0.1</v>
      </c>
      <c r="E2184" s="5">
        <v>100.8</v>
      </c>
      <c r="F2184" s="5">
        <v>200.9</v>
      </c>
      <c r="G2184" s="5">
        <v>100.2</v>
      </c>
      <c r="H2184" s="5">
        <v>100</v>
      </c>
      <c r="I2184" s="5">
        <v>0</v>
      </c>
      <c r="J2184" s="5">
        <v>0</v>
      </c>
      <c r="K2184" s="5">
        <v>0</v>
      </c>
    </row>
    <row r="2185" spans="1:11" x14ac:dyDescent="0.25">
      <c r="A2185" s="5">
        <f>2178</f>
      </c>
      <c r="B2185" s="5" t="s">
        <v>2193</v>
      </c>
      <c r="C2185" s="5">
        <v>100.7</v>
      </c>
      <c r="D2185" s="5">
        <v>0.1</v>
      </c>
      <c r="E2185" s="5">
        <v>100.8</v>
      </c>
      <c r="F2185" s="5">
        <v>200.9</v>
      </c>
      <c r="G2185" s="5">
        <v>100.2</v>
      </c>
      <c r="H2185" s="5">
        <v>100</v>
      </c>
      <c r="I2185" s="5">
        <v>0</v>
      </c>
      <c r="J2185" s="5">
        <v>0</v>
      </c>
      <c r="K2185" s="5">
        <v>0</v>
      </c>
    </row>
    <row r="2186" spans="1:11" x14ac:dyDescent="0.25">
      <c r="A2186" s="5">
        <f>2179</f>
      </c>
      <c r="B2186" s="5" t="s">
        <v>2194</v>
      </c>
      <c r="C2186" s="5">
        <v>101.1</v>
      </c>
      <c r="D2186" s="5">
        <v>0.1</v>
      </c>
      <c r="E2186" s="5">
        <v>101.2</v>
      </c>
      <c r="F2186" s="5">
        <v>202.2</v>
      </c>
      <c r="G2186" s="5">
        <v>100.8</v>
      </c>
      <c r="H2186" s="5">
        <v>100.6</v>
      </c>
      <c r="I2186" s="5">
        <v>0</v>
      </c>
      <c r="J2186" s="5">
        <v>0</v>
      </c>
      <c r="K2186" s="5">
        <v>0</v>
      </c>
    </row>
    <row r="2187" spans="1:11" x14ac:dyDescent="0.25">
      <c r="A2187" s="5">
        <f>2180</f>
      </c>
      <c r="B2187" s="5" t="s">
        <v>2195</v>
      </c>
      <c r="C2187" s="5">
        <v>101.1</v>
      </c>
      <c r="D2187" s="5">
        <v>0.1</v>
      </c>
      <c r="E2187" s="5">
        <v>101.2</v>
      </c>
      <c r="F2187" s="5">
        <v>202.2</v>
      </c>
      <c r="G2187" s="5">
        <v>100.8</v>
      </c>
      <c r="H2187" s="5">
        <v>100.6</v>
      </c>
      <c r="I2187" s="5">
        <v>0</v>
      </c>
      <c r="J2187" s="5">
        <v>0</v>
      </c>
      <c r="K2187" s="5">
        <v>0</v>
      </c>
    </row>
    <row r="2188" spans="1:11" x14ac:dyDescent="0.25">
      <c r="A2188" s="5">
        <f>2181</f>
      </c>
      <c r="B2188" s="5" t="s">
        <v>2196</v>
      </c>
      <c r="C2188" s="5">
        <v>101.5</v>
      </c>
      <c r="D2188" s="5">
        <v>0.1</v>
      </c>
      <c r="E2188" s="5">
        <v>101.6</v>
      </c>
      <c r="F2188" s="5">
        <v>202.4</v>
      </c>
      <c r="G2188" s="5">
        <v>101</v>
      </c>
      <c r="H2188" s="5">
        <v>100.9</v>
      </c>
      <c r="I2188" s="5">
        <v>0</v>
      </c>
      <c r="J2188" s="5">
        <v>0</v>
      </c>
      <c r="K2188" s="5">
        <v>0</v>
      </c>
    </row>
    <row r="2189" spans="1:11" x14ac:dyDescent="0.25">
      <c r="A2189" s="5">
        <f>2182</f>
      </c>
      <c r="B2189" s="5" t="s">
        <v>2197</v>
      </c>
      <c r="C2189" s="5">
        <v>101.5</v>
      </c>
      <c r="D2189" s="5">
        <v>0.1</v>
      </c>
      <c r="E2189" s="5">
        <v>101.6</v>
      </c>
      <c r="F2189" s="5">
        <v>202.4</v>
      </c>
      <c r="G2189" s="5">
        <v>101</v>
      </c>
      <c r="H2189" s="5">
        <v>100.9</v>
      </c>
      <c r="I2189" s="5">
        <v>0</v>
      </c>
      <c r="J2189" s="5">
        <v>0</v>
      </c>
      <c r="K2189" s="5">
        <v>0</v>
      </c>
    </row>
    <row r="2190" spans="1:11" x14ac:dyDescent="0.25">
      <c r="A2190" s="5">
        <f>2183</f>
      </c>
      <c r="B2190" s="5" t="s">
        <v>2198</v>
      </c>
      <c r="C2190" s="5">
        <v>101.9</v>
      </c>
      <c r="D2190" s="5">
        <v>0.1</v>
      </c>
      <c r="E2190" s="5">
        <v>102.1</v>
      </c>
      <c r="F2190" s="5">
        <v>203.6</v>
      </c>
      <c r="G2190" s="5">
        <v>101.5</v>
      </c>
      <c r="H2190" s="5">
        <v>101.3</v>
      </c>
      <c r="I2190" s="5">
        <v>0</v>
      </c>
      <c r="J2190" s="5">
        <v>0</v>
      </c>
      <c r="K2190" s="5">
        <v>0</v>
      </c>
    </row>
    <row r="2191" spans="1:11" x14ac:dyDescent="0.25">
      <c r="A2191" s="5">
        <f>2184</f>
      </c>
      <c r="B2191" s="5" t="s">
        <v>2199</v>
      </c>
      <c r="C2191" s="5">
        <v>101.9</v>
      </c>
      <c r="D2191" s="5">
        <v>0.1</v>
      </c>
      <c r="E2191" s="5">
        <v>102.1</v>
      </c>
      <c r="F2191" s="5">
        <v>203.6</v>
      </c>
      <c r="G2191" s="5">
        <v>101.5</v>
      </c>
      <c r="H2191" s="5">
        <v>101.3</v>
      </c>
      <c r="I2191" s="5">
        <v>0</v>
      </c>
      <c r="J2191" s="5">
        <v>0</v>
      </c>
      <c r="K2191" s="5">
        <v>0</v>
      </c>
    </row>
    <row r="2192" spans="1:11" x14ac:dyDescent="0.25">
      <c r="A2192" s="5">
        <f>2185</f>
      </c>
      <c r="B2192" s="5" t="s">
        <v>2200</v>
      </c>
      <c r="C2192" s="5">
        <v>101.9</v>
      </c>
      <c r="D2192" s="5">
        <v>0.1</v>
      </c>
      <c r="E2192" s="5">
        <v>102.1</v>
      </c>
      <c r="F2192" s="5">
        <v>203.6</v>
      </c>
      <c r="G2192" s="5">
        <v>101.5</v>
      </c>
      <c r="H2192" s="5">
        <v>101.3</v>
      </c>
      <c r="I2192" s="5">
        <v>0</v>
      </c>
      <c r="J2192" s="5">
        <v>0</v>
      </c>
      <c r="K2192" s="5">
        <v>0</v>
      </c>
    </row>
    <row r="2193" spans="1:11" x14ac:dyDescent="0.25">
      <c r="A2193" s="5">
        <f>2186</f>
      </c>
      <c r="B2193" s="5" t="s">
        <v>2201</v>
      </c>
      <c r="C2193" s="5">
        <v>101.9</v>
      </c>
      <c r="D2193" s="5">
        <v>0.1</v>
      </c>
      <c r="E2193" s="5">
        <v>102.1</v>
      </c>
      <c r="F2193" s="5">
        <v>203.6</v>
      </c>
      <c r="G2193" s="5">
        <v>101.5</v>
      </c>
      <c r="H2193" s="5">
        <v>101.3</v>
      </c>
      <c r="I2193" s="5">
        <v>0</v>
      </c>
      <c r="J2193" s="5">
        <v>0</v>
      </c>
      <c r="K2193" s="5">
        <v>0</v>
      </c>
    </row>
    <row r="2194" spans="1:11" x14ac:dyDescent="0.25">
      <c r="A2194" s="5">
        <f>2187</f>
      </c>
      <c r="B2194" s="5" t="s">
        <v>2202</v>
      </c>
      <c r="C2194" s="5">
        <v>103.6</v>
      </c>
      <c r="D2194" s="5">
        <v>0.1</v>
      </c>
      <c r="E2194" s="5">
        <v>103.7</v>
      </c>
      <c r="F2194" s="5">
        <v>204.8</v>
      </c>
      <c r="G2194" s="5">
        <v>102.2</v>
      </c>
      <c r="H2194" s="5">
        <v>102</v>
      </c>
      <c r="I2194" s="5">
        <v>0</v>
      </c>
      <c r="J2194" s="5">
        <v>0</v>
      </c>
      <c r="K2194" s="5">
        <v>0</v>
      </c>
    </row>
    <row r="2195" spans="1:11" x14ac:dyDescent="0.25">
      <c r="A2195" s="5">
        <f>2188</f>
      </c>
      <c r="B2195" s="5" t="s">
        <v>2203</v>
      </c>
      <c r="C2195" s="5">
        <v>103.6</v>
      </c>
      <c r="D2195" s="5">
        <v>0.1</v>
      </c>
      <c r="E2195" s="5">
        <v>103.7</v>
      </c>
      <c r="F2195" s="5">
        <v>204.8</v>
      </c>
      <c r="G2195" s="5">
        <v>102.2</v>
      </c>
      <c r="H2195" s="5">
        <v>102</v>
      </c>
      <c r="I2195" s="5">
        <v>0</v>
      </c>
      <c r="J2195" s="5">
        <v>0</v>
      </c>
      <c r="K2195" s="5">
        <v>0</v>
      </c>
    </row>
    <row r="2196" spans="1:11" x14ac:dyDescent="0.25">
      <c r="A2196" s="5">
        <f>2189</f>
      </c>
      <c r="B2196" s="5" t="s">
        <v>2204</v>
      </c>
      <c r="C2196" s="5">
        <v>102.1</v>
      </c>
      <c r="D2196" s="5">
        <v>0.1</v>
      </c>
      <c r="E2196" s="5">
        <v>102.3</v>
      </c>
      <c r="F2196" s="5">
        <v>203.9</v>
      </c>
      <c r="G2196" s="5">
        <v>101.6</v>
      </c>
      <c r="H2196" s="5">
        <v>101.4</v>
      </c>
      <c r="I2196" s="5">
        <v>0</v>
      </c>
      <c r="J2196" s="5">
        <v>0</v>
      </c>
      <c r="K2196" s="5">
        <v>0</v>
      </c>
    </row>
    <row r="2197" spans="1:11" x14ac:dyDescent="0.25">
      <c r="A2197" s="5">
        <f>2190</f>
      </c>
      <c r="B2197" s="5" t="s">
        <v>2205</v>
      </c>
      <c r="C2197" s="5">
        <v>102.1</v>
      </c>
      <c r="D2197" s="5">
        <v>0.1</v>
      </c>
      <c r="E2197" s="5">
        <v>102.3</v>
      </c>
      <c r="F2197" s="5">
        <v>203.9</v>
      </c>
      <c r="G2197" s="5">
        <v>101.6</v>
      </c>
      <c r="H2197" s="5">
        <v>101.4</v>
      </c>
      <c r="I2197" s="5">
        <v>0</v>
      </c>
      <c r="J2197" s="5">
        <v>0</v>
      </c>
      <c r="K2197" s="5">
        <v>0</v>
      </c>
    </row>
    <row r="2198" spans="1:11" x14ac:dyDescent="0.25">
      <c r="A2198" s="5">
        <f>2191</f>
      </c>
      <c r="B2198" s="5" t="s">
        <v>2206</v>
      </c>
      <c r="C2198" s="5">
        <v>101.6</v>
      </c>
      <c r="D2198" s="5">
        <v>0.1</v>
      </c>
      <c r="E2198" s="5">
        <v>101.8</v>
      </c>
      <c r="F2198" s="5">
        <v>203.2</v>
      </c>
      <c r="G2198" s="5">
        <v>101.4</v>
      </c>
      <c r="H2198" s="5">
        <v>101.3</v>
      </c>
      <c r="I2198" s="5">
        <v>0</v>
      </c>
      <c r="J2198" s="5">
        <v>0</v>
      </c>
      <c r="K2198" s="5">
        <v>0</v>
      </c>
    </row>
    <row r="2199" spans="1:11" x14ac:dyDescent="0.25">
      <c r="A2199" s="5">
        <f>2192</f>
      </c>
      <c r="B2199" s="5" t="s">
        <v>2207</v>
      </c>
      <c r="C2199" s="5">
        <v>101.6</v>
      </c>
      <c r="D2199" s="5">
        <v>0.1</v>
      </c>
      <c r="E2199" s="5">
        <v>101.8</v>
      </c>
      <c r="F2199" s="5">
        <v>203.2</v>
      </c>
      <c r="G2199" s="5">
        <v>101.4</v>
      </c>
      <c r="H2199" s="5">
        <v>101.3</v>
      </c>
      <c r="I2199" s="5">
        <v>0</v>
      </c>
      <c r="J2199" s="5">
        <v>0</v>
      </c>
      <c r="K2199" s="5">
        <v>0</v>
      </c>
    </row>
    <row r="2200" spans="1:11" x14ac:dyDescent="0.25">
      <c r="A2200" s="5">
        <f>2193</f>
      </c>
      <c r="B2200" s="5" t="s">
        <v>2208</v>
      </c>
      <c r="C2200" s="5">
        <v>102.1</v>
      </c>
      <c r="D2200" s="5">
        <v>0.1</v>
      </c>
      <c r="E2200" s="5">
        <v>102.3</v>
      </c>
      <c r="F2200" s="5">
        <v>203.8</v>
      </c>
      <c r="G2200" s="5">
        <v>101.8</v>
      </c>
      <c r="H2200" s="5">
        <v>101.7</v>
      </c>
      <c r="I2200" s="5">
        <v>0</v>
      </c>
      <c r="J2200" s="5">
        <v>0</v>
      </c>
      <c r="K2200" s="5">
        <v>0</v>
      </c>
    </row>
    <row r="2201" spans="1:11" x14ac:dyDescent="0.25">
      <c r="A2201" s="5">
        <f>2194</f>
      </c>
      <c r="B2201" s="5" t="s">
        <v>2209</v>
      </c>
      <c r="C2201" s="5">
        <v>102.1</v>
      </c>
      <c r="D2201" s="5">
        <v>0.1</v>
      </c>
      <c r="E2201" s="5">
        <v>102.3</v>
      </c>
      <c r="F2201" s="5">
        <v>203.8</v>
      </c>
      <c r="G2201" s="5">
        <v>101.8</v>
      </c>
      <c r="H2201" s="5">
        <v>101.7</v>
      </c>
      <c r="I2201" s="5">
        <v>0</v>
      </c>
      <c r="J2201" s="5">
        <v>0</v>
      </c>
      <c r="K2201" s="5">
        <v>0</v>
      </c>
    </row>
    <row r="2202" spans="1:11" x14ac:dyDescent="0.25">
      <c r="A2202" s="5">
        <f>2195</f>
      </c>
      <c r="B2202" s="5" t="s">
        <v>2210</v>
      </c>
      <c r="C2202" s="5">
        <v>102.1</v>
      </c>
      <c r="D2202" s="5">
        <v>0.1</v>
      </c>
      <c r="E2202" s="5">
        <v>102.3</v>
      </c>
      <c r="F2202" s="5">
        <v>203.8</v>
      </c>
      <c r="G2202" s="5">
        <v>101.8</v>
      </c>
      <c r="H2202" s="5">
        <v>101.7</v>
      </c>
      <c r="I2202" s="5">
        <v>0</v>
      </c>
      <c r="J2202" s="5">
        <v>0</v>
      </c>
      <c r="K2202" s="5">
        <v>0</v>
      </c>
    </row>
    <row r="2203" spans="1:11" x14ac:dyDescent="0.25">
      <c r="A2203" s="5">
        <f>2196</f>
      </c>
      <c r="B2203" s="5" t="s">
        <v>2211</v>
      </c>
      <c r="C2203" s="5">
        <v>102.1</v>
      </c>
      <c r="D2203" s="5">
        <v>0.1</v>
      </c>
      <c r="E2203" s="5">
        <v>102.3</v>
      </c>
      <c r="F2203" s="5">
        <v>203.8</v>
      </c>
      <c r="G2203" s="5">
        <v>101.8</v>
      </c>
      <c r="H2203" s="5">
        <v>101.7</v>
      </c>
      <c r="I2203" s="5">
        <v>0</v>
      </c>
      <c r="J2203" s="5">
        <v>0</v>
      </c>
      <c r="K2203" s="5">
        <v>0</v>
      </c>
    </row>
    <row r="2204" spans="1:11" x14ac:dyDescent="0.25">
      <c r="A2204" s="5">
        <f>2197</f>
      </c>
      <c r="B2204" s="5" t="s">
        <v>2212</v>
      </c>
      <c r="C2204" s="5">
        <v>102.9</v>
      </c>
      <c r="D2204" s="5">
        <v>0.1</v>
      </c>
      <c r="E2204" s="5">
        <v>103.1</v>
      </c>
      <c r="F2204" s="5">
        <v>205</v>
      </c>
      <c r="G2204" s="5">
        <v>102.3</v>
      </c>
      <c r="H2204" s="5">
        <v>102.1</v>
      </c>
      <c r="I2204" s="5">
        <v>0</v>
      </c>
      <c r="J2204" s="5">
        <v>0</v>
      </c>
      <c r="K2204" s="5">
        <v>0</v>
      </c>
    </row>
    <row r="2205" spans="1:11" x14ac:dyDescent="0.25">
      <c r="A2205" s="5">
        <f>2198</f>
      </c>
      <c r="B2205" s="5" t="s">
        <v>2213</v>
      </c>
      <c r="C2205" s="5">
        <v>102.9</v>
      </c>
      <c r="D2205" s="5">
        <v>0.1</v>
      </c>
      <c r="E2205" s="5">
        <v>103.1</v>
      </c>
      <c r="F2205" s="5">
        <v>205</v>
      </c>
      <c r="G2205" s="5">
        <v>102.3</v>
      </c>
      <c r="H2205" s="5">
        <v>102.1</v>
      </c>
      <c r="I2205" s="5">
        <v>0</v>
      </c>
      <c r="J2205" s="5">
        <v>0</v>
      </c>
      <c r="K2205" s="5">
        <v>0</v>
      </c>
    </row>
    <row r="2206" spans="1:11" x14ac:dyDescent="0.25">
      <c r="A2206" s="5">
        <f>2199</f>
      </c>
      <c r="B2206" s="5" t="s">
        <v>2214</v>
      </c>
      <c r="C2206" s="5">
        <v>103.2</v>
      </c>
      <c r="D2206" s="5">
        <v>0.1</v>
      </c>
      <c r="E2206" s="5">
        <v>103.4</v>
      </c>
      <c r="F2206" s="5">
        <v>205.7</v>
      </c>
      <c r="G2206" s="5">
        <v>102.6</v>
      </c>
      <c r="H2206" s="5">
        <v>102.4</v>
      </c>
      <c r="I2206" s="5">
        <v>0</v>
      </c>
      <c r="J2206" s="5">
        <v>0</v>
      </c>
      <c r="K2206" s="5">
        <v>0</v>
      </c>
    </row>
    <row r="2207" spans="1:11" x14ac:dyDescent="0.25">
      <c r="A2207" s="5">
        <f>2200</f>
      </c>
      <c r="B2207" s="5" t="s">
        <v>2215</v>
      </c>
      <c r="C2207" s="5">
        <v>103.2</v>
      </c>
      <c r="D2207" s="5">
        <v>0.1</v>
      </c>
      <c r="E2207" s="5">
        <v>103.4</v>
      </c>
      <c r="F2207" s="5">
        <v>205.7</v>
      </c>
      <c r="G2207" s="5">
        <v>102.6</v>
      </c>
      <c r="H2207" s="5">
        <v>102.4</v>
      </c>
      <c r="I2207" s="5">
        <v>0</v>
      </c>
      <c r="J2207" s="5">
        <v>0</v>
      </c>
      <c r="K2207" s="5">
        <v>0</v>
      </c>
    </row>
    <row r="2208" spans="1:11" x14ac:dyDescent="0.25">
      <c r="A2208" s="5">
        <f>2201</f>
      </c>
      <c r="B2208" s="5" t="s">
        <v>2216</v>
      </c>
      <c r="C2208" s="5">
        <v>102.2</v>
      </c>
      <c r="D2208" s="5">
        <v>0.1</v>
      </c>
      <c r="E2208" s="5">
        <v>102.4</v>
      </c>
      <c r="F2208" s="5">
        <v>205</v>
      </c>
      <c r="G2208" s="5">
        <v>102.2</v>
      </c>
      <c r="H2208" s="5">
        <v>102</v>
      </c>
      <c r="I2208" s="5">
        <v>0</v>
      </c>
      <c r="J2208" s="5">
        <v>0</v>
      </c>
      <c r="K2208" s="5">
        <v>0</v>
      </c>
    </row>
    <row r="2209" spans="1:11" x14ac:dyDescent="0.25">
      <c r="A2209" s="5">
        <f>2202</f>
      </c>
      <c r="B2209" s="5" t="s">
        <v>2217</v>
      </c>
      <c r="C2209" s="5">
        <v>102.2</v>
      </c>
      <c r="D2209" s="5">
        <v>0.1</v>
      </c>
      <c r="E2209" s="5">
        <v>102.4</v>
      </c>
      <c r="F2209" s="5">
        <v>205</v>
      </c>
      <c r="G2209" s="5">
        <v>102.2</v>
      </c>
      <c r="H2209" s="5">
        <v>102</v>
      </c>
      <c r="I2209" s="5">
        <v>0</v>
      </c>
      <c r="J2209" s="5">
        <v>0</v>
      </c>
      <c r="K2209" s="5">
        <v>0</v>
      </c>
    </row>
    <row r="2210" spans="1:11" x14ac:dyDescent="0.25">
      <c r="A2210" s="5">
        <f>2203</f>
      </c>
      <c r="B2210" s="5" t="s">
        <v>2218</v>
      </c>
      <c r="C2210" s="5">
        <v>102.2</v>
      </c>
      <c r="D2210" s="5">
        <v>0.1</v>
      </c>
      <c r="E2210" s="5">
        <v>102.4</v>
      </c>
      <c r="F2210" s="5">
        <v>204.4</v>
      </c>
      <c r="G2210" s="5">
        <v>101.9</v>
      </c>
      <c r="H2210" s="5">
        <v>101.8</v>
      </c>
      <c r="I2210" s="5">
        <v>0</v>
      </c>
      <c r="J2210" s="5">
        <v>0</v>
      </c>
      <c r="K2210" s="5">
        <v>0</v>
      </c>
    </row>
    <row r="2211" spans="1:11" x14ac:dyDescent="0.25">
      <c r="A2211" s="5">
        <f>2204</f>
      </c>
      <c r="B2211" s="5" t="s">
        <v>2219</v>
      </c>
      <c r="C2211" s="5">
        <v>102.2</v>
      </c>
      <c r="D2211" s="5">
        <v>0.1</v>
      </c>
      <c r="E2211" s="5">
        <v>102.4</v>
      </c>
      <c r="F2211" s="5">
        <v>204.4</v>
      </c>
      <c r="G2211" s="5">
        <v>101.9</v>
      </c>
      <c r="H2211" s="5">
        <v>101.8</v>
      </c>
      <c r="I2211" s="5">
        <v>0</v>
      </c>
      <c r="J2211" s="5">
        <v>0</v>
      </c>
      <c r="K2211" s="5">
        <v>0</v>
      </c>
    </row>
    <row r="2212" spans="1:11" x14ac:dyDescent="0.25">
      <c r="A2212" s="5">
        <f>2205</f>
      </c>
      <c r="B2212" s="5" t="s">
        <v>2220</v>
      </c>
      <c r="C2212" s="5">
        <v>102.2</v>
      </c>
      <c r="D2212" s="5">
        <v>0.1</v>
      </c>
      <c r="E2212" s="5">
        <v>102.4</v>
      </c>
      <c r="F2212" s="5">
        <v>204.4</v>
      </c>
      <c r="G2212" s="5">
        <v>101.9</v>
      </c>
      <c r="H2212" s="5">
        <v>101.8</v>
      </c>
      <c r="I2212" s="5">
        <v>0</v>
      </c>
      <c r="J2212" s="5">
        <v>0</v>
      </c>
      <c r="K2212" s="5">
        <v>0</v>
      </c>
    </row>
    <row r="2213" spans="1:11" x14ac:dyDescent="0.25">
      <c r="A2213" s="5">
        <f>2206</f>
      </c>
      <c r="B2213" s="5" t="s">
        <v>2221</v>
      </c>
      <c r="C2213" s="5">
        <v>102.2</v>
      </c>
      <c r="D2213" s="5">
        <v>0.1</v>
      </c>
      <c r="E2213" s="5">
        <v>102.4</v>
      </c>
      <c r="F2213" s="5">
        <v>204.4</v>
      </c>
      <c r="G2213" s="5">
        <v>101.9</v>
      </c>
      <c r="H2213" s="5">
        <v>101.8</v>
      </c>
      <c r="I2213" s="5">
        <v>0</v>
      </c>
      <c r="J2213" s="5">
        <v>0</v>
      </c>
      <c r="K2213" s="5">
        <v>0</v>
      </c>
    </row>
    <row r="2214" spans="1:11" x14ac:dyDescent="0.25">
      <c r="A2214" s="5">
        <f>2207</f>
      </c>
      <c r="B2214" s="5" t="s">
        <v>2222</v>
      </c>
      <c r="C2214" s="5">
        <v>102.1</v>
      </c>
      <c r="D2214" s="5">
        <v>0.1</v>
      </c>
      <c r="E2214" s="5">
        <v>102.3</v>
      </c>
      <c r="F2214" s="5">
        <v>203.6</v>
      </c>
      <c r="G2214" s="5">
        <v>102</v>
      </c>
      <c r="H2214" s="5">
        <v>102.3</v>
      </c>
      <c r="I2214" s="5">
        <v>0</v>
      </c>
      <c r="J2214" s="5">
        <v>0</v>
      </c>
      <c r="K2214" s="5">
        <v>0</v>
      </c>
    </row>
    <row r="2215" spans="1:11" x14ac:dyDescent="0.25">
      <c r="A2215" s="5">
        <f>2208</f>
      </c>
      <c r="B2215" s="5" t="s">
        <v>2223</v>
      </c>
      <c r="C2215" s="5">
        <v>102.1</v>
      </c>
      <c r="D2215" s="5">
        <v>0.1</v>
      </c>
      <c r="E2215" s="5">
        <v>102.3</v>
      </c>
      <c r="F2215" s="5">
        <v>203.6</v>
      </c>
      <c r="G2215" s="5">
        <v>102</v>
      </c>
      <c r="H2215" s="5">
        <v>102.3</v>
      </c>
      <c r="I2215" s="5">
        <v>0</v>
      </c>
      <c r="J2215" s="5">
        <v>0</v>
      </c>
      <c r="K2215" s="5">
        <v>0</v>
      </c>
    </row>
    <row r="2216" spans="1:11" x14ac:dyDescent="0.25">
      <c r="A2216" s="5">
        <f>2209</f>
      </c>
      <c r="B2216" s="5" t="s">
        <v>2224</v>
      </c>
      <c r="C2216" s="5">
        <v>103.1</v>
      </c>
      <c r="D2216" s="5">
        <v>0.1</v>
      </c>
      <c r="E2216" s="5">
        <v>103.3</v>
      </c>
      <c r="F2216" s="5">
        <v>205.1</v>
      </c>
      <c r="G2216" s="5">
        <v>102.3</v>
      </c>
      <c r="H2216" s="5">
        <v>102.2</v>
      </c>
      <c r="I2216" s="5">
        <v>0</v>
      </c>
      <c r="J2216" s="5">
        <v>0</v>
      </c>
      <c r="K2216" s="5">
        <v>0</v>
      </c>
    </row>
    <row r="2217" spans="1:11" x14ac:dyDescent="0.25">
      <c r="A2217" s="5">
        <f>2210</f>
      </c>
      <c r="B2217" s="5" t="s">
        <v>2225</v>
      </c>
      <c r="C2217" s="5">
        <v>103.1</v>
      </c>
      <c r="D2217" s="5">
        <v>0.1</v>
      </c>
      <c r="E2217" s="5">
        <v>103.3</v>
      </c>
      <c r="F2217" s="5">
        <v>205.1</v>
      </c>
      <c r="G2217" s="5">
        <v>102.3</v>
      </c>
      <c r="H2217" s="5">
        <v>102.2</v>
      </c>
      <c r="I2217" s="5">
        <v>0</v>
      </c>
      <c r="J2217" s="5">
        <v>0</v>
      </c>
      <c r="K2217" s="5">
        <v>0</v>
      </c>
    </row>
    <row r="2218" spans="1:11" x14ac:dyDescent="0.25">
      <c r="A2218" s="5">
        <f>2211</f>
      </c>
      <c r="B2218" s="5" t="s">
        <v>2226</v>
      </c>
      <c r="C2218" s="5">
        <v>102.5</v>
      </c>
      <c r="D2218" s="5">
        <v>0.1</v>
      </c>
      <c r="E2218" s="5">
        <v>102.7</v>
      </c>
      <c r="F2218" s="5">
        <v>204.6</v>
      </c>
      <c r="G2218" s="5">
        <v>102</v>
      </c>
      <c r="H2218" s="5">
        <v>101.9</v>
      </c>
      <c r="I2218" s="5">
        <v>0</v>
      </c>
      <c r="J2218" s="5">
        <v>0</v>
      </c>
      <c r="K2218" s="5">
        <v>0</v>
      </c>
    </row>
    <row r="2219" spans="1:11" x14ac:dyDescent="0.25">
      <c r="A2219" s="5">
        <f>2212</f>
      </c>
      <c r="B2219" s="5" t="s">
        <v>2227</v>
      </c>
      <c r="C2219" s="5">
        <v>102.5</v>
      </c>
      <c r="D2219" s="5">
        <v>0.1</v>
      </c>
      <c r="E2219" s="5">
        <v>102.7</v>
      </c>
      <c r="F2219" s="5">
        <v>204.6</v>
      </c>
      <c r="G2219" s="5">
        <v>102</v>
      </c>
      <c r="H2219" s="5">
        <v>101.9</v>
      </c>
      <c r="I2219" s="5">
        <v>0</v>
      </c>
      <c r="J2219" s="5">
        <v>0</v>
      </c>
      <c r="K2219" s="5">
        <v>0</v>
      </c>
    </row>
    <row r="2220" spans="1:11" x14ac:dyDescent="0.25">
      <c r="A2220" s="5">
        <f>2213</f>
      </c>
      <c r="B2220" s="5" t="s">
        <v>2228</v>
      </c>
      <c r="C2220" s="5">
        <v>102.6</v>
      </c>
      <c r="D2220" s="5">
        <v>0.1</v>
      </c>
      <c r="E2220" s="5">
        <v>102.7</v>
      </c>
      <c r="F2220" s="5">
        <v>205</v>
      </c>
      <c r="G2220" s="5">
        <v>102.2</v>
      </c>
      <c r="H2220" s="5">
        <v>102.1</v>
      </c>
      <c r="I2220" s="5">
        <v>0</v>
      </c>
      <c r="J2220" s="5">
        <v>0</v>
      </c>
      <c r="K2220" s="5">
        <v>0</v>
      </c>
    </row>
    <row r="2221" spans="1:11" x14ac:dyDescent="0.25">
      <c r="A2221" s="5">
        <f>2214</f>
      </c>
      <c r="B2221" s="5" t="s">
        <v>2229</v>
      </c>
      <c r="C2221" s="5">
        <v>102.6</v>
      </c>
      <c r="D2221" s="5">
        <v>0.1</v>
      </c>
      <c r="E2221" s="5">
        <v>102.7</v>
      </c>
      <c r="F2221" s="5">
        <v>205</v>
      </c>
      <c r="G2221" s="5">
        <v>102.2</v>
      </c>
      <c r="H2221" s="5">
        <v>102.1</v>
      </c>
      <c r="I2221" s="5">
        <v>0</v>
      </c>
      <c r="J2221" s="5">
        <v>0</v>
      </c>
      <c r="K2221" s="5">
        <v>0</v>
      </c>
    </row>
    <row r="2222" spans="1:11" x14ac:dyDescent="0.25">
      <c r="A2222" s="5">
        <f>2215</f>
      </c>
      <c r="B2222" s="5" t="s">
        <v>2230</v>
      </c>
      <c r="C2222" s="5">
        <v>102.6</v>
      </c>
      <c r="D2222" s="5">
        <v>0.1</v>
      </c>
      <c r="E2222" s="5">
        <v>102.7</v>
      </c>
      <c r="F2222" s="5">
        <v>205</v>
      </c>
      <c r="G2222" s="5">
        <v>102.2</v>
      </c>
      <c r="H2222" s="5">
        <v>102.1</v>
      </c>
      <c r="I2222" s="5">
        <v>0</v>
      </c>
      <c r="J2222" s="5">
        <v>0</v>
      </c>
      <c r="K2222" s="5">
        <v>0</v>
      </c>
    </row>
    <row r="2223" spans="1:11" x14ac:dyDescent="0.25">
      <c r="A2223" s="5">
        <f>2216</f>
      </c>
      <c r="B2223" s="5" t="s">
        <v>2231</v>
      </c>
      <c r="C2223" s="5">
        <v>102.6</v>
      </c>
      <c r="D2223" s="5">
        <v>0.1</v>
      </c>
      <c r="E2223" s="5">
        <v>102.7</v>
      </c>
      <c r="F2223" s="5">
        <v>205</v>
      </c>
      <c r="G2223" s="5">
        <v>102.2</v>
      </c>
      <c r="H2223" s="5">
        <v>102.1</v>
      </c>
      <c r="I2223" s="5">
        <v>0</v>
      </c>
      <c r="J2223" s="5">
        <v>0</v>
      </c>
      <c r="K2223" s="5">
        <v>0</v>
      </c>
    </row>
    <row r="2224" spans="1:11" x14ac:dyDescent="0.25">
      <c r="A2224" s="5">
        <f>2217</f>
      </c>
      <c r="B2224" s="5" t="s">
        <v>2232</v>
      </c>
      <c r="C2224" s="5">
        <v>102.3</v>
      </c>
      <c r="D2224" s="5">
        <v>0.1</v>
      </c>
      <c r="E2224" s="5">
        <v>102.4</v>
      </c>
      <c r="F2224" s="5">
        <v>204.5</v>
      </c>
      <c r="G2224" s="5">
        <v>102</v>
      </c>
      <c r="H2224" s="5">
        <v>101.8</v>
      </c>
      <c r="I2224" s="5">
        <v>0</v>
      </c>
      <c r="J2224" s="5">
        <v>0</v>
      </c>
      <c r="K2224" s="5">
        <v>0</v>
      </c>
    </row>
    <row r="2225" spans="1:11" x14ac:dyDescent="0.25">
      <c r="A2225" s="5">
        <f>2218</f>
      </c>
      <c r="B2225" s="5" t="s">
        <v>2233</v>
      </c>
      <c r="C2225" s="5">
        <v>102.3</v>
      </c>
      <c r="D2225" s="5">
        <v>0.1</v>
      </c>
      <c r="E2225" s="5">
        <v>102.4</v>
      </c>
      <c r="F2225" s="5">
        <v>204.5</v>
      </c>
      <c r="G2225" s="5">
        <v>102</v>
      </c>
      <c r="H2225" s="5">
        <v>101.8</v>
      </c>
      <c r="I2225" s="5">
        <v>0</v>
      </c>
      <c r="J2225" s="5">
        <v>0</v>
      </c>
      <c r="K2225" s="5">
        <v>0</v>
      </c>
    </row>
    <row r="2226" spans="1:11" x14ac:dyDescent="0.25">
      <c r="A2226" s="5">
        <f>2219</f>
      </c>
      <c r="B2226" s="5" t="s">
        <v>2234</v>
      </c>
      <c r="C2226" s="5">
        <v>102.8</v>
      </c>
      <c r="D2226" s="5">
        <v>0.1</v>
      </c>
      <c r="E2226" s="5">
        <v>103</v>
      </c>
      <c r="F2226" s="5">
        <v>205.4</v>
      </c>
      <c r="G2226" s="5">
        <v>102.4</v>
      </c>
      <c r="H2226" s="5">
        <v>102.2</v>
      </c>
      <c r="I2226" s="5">
        <v>0</v>
      </c>
      <c r="J2226" s="5">
        <v>0</v>
      </c>
      <c r="K2226" s="5">
        <v>0</v>
      </c>
    </row>
    <row r="2227" spans="1:11" x14ac:dyDescent="0.25">
      <c r="A2227" s="5">
        <f>2220</f>
      </c>
      <c r="B2227" s="5" t="s">
        <v>2235</v>
      </c>
      <c r="C2227" s="5">
        <v>102.8</v>
      </c>
      <c r="D2227" s="5">
        <v>0.1</v>
      </c>
      <c r="E2227" s="5">
        <v>103</v>
      </c>
      <c r="F2227" s="5">
        <v>205.4</v>
      </c>
      <c r="G2227" s="5">
        <v>102.4</v>
      </c>
      <c r="H2227" s="5">
        <v>102.2</v>
      </c>
      <c r="I2227" s="5">
        <v>0</v>
      </c>
      <c r="J2227" s="5">
        <v>0</v>
      </c>
      <c r="K2227" s="5">
        <v>0</v>
      </c>
    </row>
    <row r="2228" spans="1:11" x14ac:dyDescent="0.25">
      <c r="A2228" s="5">
        <f>2221</f>
      </c>
      <c r="B2228" s="5" t="s">
        <v>2236</v>
      </c>
      <c r="C2228" s="5">
        <v>102.5</v>
      </c>
      <c r="D2228" s="5">
        <v>0.1</v>
      </c>
      <c r="E2228" s="5">
        <v>102.6</v>
      </c>
      <c r="F2228" s="5">
        <v>204.8</v>
      </c>
      <c r="G2228" s="5">
        <v>102.1</v>
      </c>
      <c r="H2228" s="5">
        <v>101.9</v>
      </c>
      <c r="I2228" s="5">
        <v>0</v>
      </c>
      <c r="J2228" s="5">
        <v>0</v>
      </c>
      <c r="K2228" s="5">
        <v>0</v>
      </c>
    </row>
    <row r="2229" spans="1:11" x14ac:dyDescent="0.25">
      <c r="A2229" s="5">
        <f>2222</f>
      </c>
      <c r="B2229" s="5" t="s">
        <v>2237</v>
      </c>
      <c r="C2229" s="5">
        <v>102.5</v>
      </c>
      <c r="D2229" s="5">
        <v>0.1</v>
      </c>
      <c r="E2229" s="5">
        <v>102.6</v>
      </c>
      <c r="F2229" s="5">
        <v>204.8</v>
      </c>
      <c r="G2229" s="5">
        <v>102.1</v>
      </c>
      <c r="H2229" s="5">
        <v>101.9</v>
      </c>
      <c r="I2229" s="5">
        <v>0</v>
      </c>
      <c r="J2229" s="5">
        <v>0</v>
      </c>
      <c r="K2229" s="5">
        <v>0</v>
      </c>
    </row>
    <row r="2230" spans="1:11" x14ac:dyDescent="0.25">
      <c r="A2230" s="5">
        <f>2223</f>
      </c>
      <c r="B2230" s="5" t="s">
        <v>2238</v>
      </c>
      <c r="C2230" s="5">
        <v>102.6</v>
      </c>
      <c r="D2230" s="5">
        <v>0.1</v>
      </c>
      <c r="E2230" s="5">
        <v>102.7</v>
      </c>
      <c r="F2230" s="5">
        <v>205.2</v>
      </c>
      <c r="G2230" s="5">
        <v>102.3</v>
      </c>
      <c r="H2230" s="5">
        <v>102.2</v>
      </c>
      <c r="I2230" s="5">
        <v>0</v>
      </c>
      <c r="J2230" s="5">
        <v>0</v>
      </c>
      <c r="K2230" s="5">
        <v>0</v>
      </c>
    </row>
    <row r="2231" spans="1:11" x14ac:dyDescent="0.25">
      <c r="A2231" s="5">
        <f>2224</f>
      </c>
      <c r="B2231" s="5" t="s">
        <v>2239</v>
      </c>
      <c r="C2231" s="5">
        <v>102.6</v>
      </c>
      <c r="D2231" s="5">
        <v>0.1</v>
      </c>
      <c r="E2231" s="5">
        <v>102.7</v>
      </c>
      <c r="F2231" s="5">
        <v>205.2</v>
      </c>
      <c r="G2231" s="5">
        <v>102.3</v>
      </c>
      <c r="H2231" s="5">
        <v>102.2</v>
      </c>
      <c r="I2231" s="5">
        <v>0</v>
      </c>
      <c r="J2231" s="5">
        <v>0</v>
      </c>
      <c r="K2231" s="5">
        <v>0</v>
      </c>
    </row>
    <row r="2232" spans="1:11" x14ac:dyDescent="0.25">
      <c r="A2232" s="5">
        <f>2225</f>
      </c>
      <c r="B2232" s="5" t="s">
        <v>2240</v>
      </c>
      <c r="C2232" s="5">
        <v>102.6</v>
      </c>
      <c r="D2232" s="5">
        <v>0.1</v>
      </c>
      <c r="E2232" s="5">
        <v>102.7</v>
      </c>
      <c r="F2232" s="5">
        <v>205.2</v>
      </c>
      <c r="G2232" s="5">
        <v>102.3</v>
      </c>
      <c r="H2232" s="5">
        <v>102.2</v>
      </c>
      <c r="I2232" s="5">
        <v>0</v>
      </c>
      <c r="J2232" s="5">
        <v>0</v>
      </c>
      <c r="K2232" s="5">
        <v>0</v>
      </c>
    </row>
    <row r="2233" spans="1:11" x14ac:dyDescent="0.25">
      <c r="A2233" s="5">
        <f>2226</f>
      </c>
      <c r="B2233" s="5" t="s">
        <v>2241</v>
      </c>
      <c r="C2233" s="5">
        <v>102.6</v>
      </c>
      <c r="D2233" s="5">
        <v>0.1</v>
      </c>
      <c r="E2233" s="5">
        <v>102.7</v>
      </c>
      <c r="F2233" s="5">
        <v>205.2</v>
      </c>
      <c r="G2233" s="5">
        <v>102.3</v>
      </c>
      <c r="H2233" s="5">
        <v>102.2</v>
      </c>
      <c r="I2233" s="5">
        <v>0</v>
      </c>
      <c r="J2233" s="5">
        <v>0</v>
      </c>
      <c r="K2233" s="5">
        <v>0</v>
      </c>
    </row>
    <row r="2234" spans="1:11" x14ac:dyDescent="0.25">
      <c r="A2234" s="5">
        <f>2227</f>
      </c>
      <c r="B2234" s="5" t="s">
        <v>2242</v>
      </c>
      <c r="C2234" s="5">
        <v>102.5</v>
      </c>
      <c r="D2234" s="5">
        <v>0.1</v>
      </c>
      <c r="E2234" s="5">
        <v>102.6</v>
      </c>
      <c r="F2234" s="5">
        <v>204.4</v>
      </c>
      <c r="G2234" s="5">
        <v>101.9</v>
      </c>
      <c r="H2234" s="5">
        <v>101.8</v>
      </c>
      <c r="I2234" s="5">
        <v>0</v>
      </c>
      <c r="J2234" s="5">
        <v>0</v>
      </c>
      <c r="K2234" s="5">
        <v>0</v>
      </c>
    </row>
    <row r="2235" spans="1:11" x14ac:dyDescent="0.25">
      <c r="A2235" s="5">
        <f>2228</f>
      </c>
      <c r="B2235" s="5" t="s">
        <v>2243</v>
      </c>
      <c r="C2235" s="5">
        <v>102.5</v>
      </c>
      <c r="D2235" s="5">
        <v>0.1</v>
      </c>
      <c r="E2235" s="5">
        <v>102.6</v>
      </c>
      <c r="F2235" s="5">
        <v>204.4</v>
      </c>
      <c r="G2235" s="5">
        <v>101.9</v>
      </c>
      <c r="H2235" s="5">
        <v>101.8</v>
      </c>
      <c r="I2235" s="5">
        <v>0</v>
      </c>
      <c r="J2235" s="5">
        <v>0</v>
      </c>
      <c r="K2235" s="5">
        <v>0</v>
      </c>
    </row>
    <row r="2236" spans="1:11" x14ac:dyDescent="0.25">
      <c r="A2236" s="5">
        <f>2229</f>
      </c>
      <c r="B2236" s="5" t="s">
        <v>2244</v>
      </c>
      <c r="C2236" s="5">
        <v>102.8</v>
      </c>
      <c r="D2236" s="5">
        <v>0.1</v>
      </c>
      <c r="E2236" s="5">
        <v>103</v>
      </c>
      <c r="F2236" s="5">
        <v>205.4</v>
      </c>
      <c r="G2236" s="5">
        <v>102.5</v>
      </c>
      <c r="H2236" s="5">
        <v>102.3</v>
      </c>
      <c r="I2236" s="5">
        <v>0</v>
      </c>
      <c r="J2236" s="5">
        <v>0</v>
      </c>
      <c r="K2236" s="5">
        <v>0</v>
      </c>
    </row>
    <row r="2237" spans="1:11" x14ac:dyDescent="0.25">
      <c r="A2237" s="5">
        <f>2230</f>
      </c>
      <c r="B2237" s="5" t="s">
        <v>2245</v>
      </c>
      <c r="C2237" s="5">
        <v>102.5</v>
      </c>
      <c r="D2237" s="5">
        <v>0.1</v>
      </c>
      <c r="E2237" s="5">
        <v>102.6</v>
      </c>
      <c r="F2237" s="5">
        <v>204.6</v>
      </c>
      <c r="G2237" s="5">
        <v>102.1</v>
      </c>
      <c r="H2237" s="5">
        <v>101.9</v>
      </c>
      <c r="I2237" s="5">
        <v>0</v>
      </c>
      <c r="J2237" s="5">
        <v>0</v>
      </c>
      <c r="K2237" s="5">
        <v>0</v>
      </c>
    </row>
    <row r="2238" spans="1:11" x14ac:dyDescent="0.25">
      <c r="A2238" s="5">
        <f>2231</f>
      </c>
      <c r="B2238" s="5" t="s">
        <v>2246</v>
      </c>
      <c r="C2238" s="5">
        <v>102.1</v>
      </c>
      <c r="D2238" s="5">
        <v>0.1</v>
      </c>
      <c r="E2238" s="5">
        <v>102.3</v>
      </c>
      <c r="F2238" s="5">
        <v>204.5</v>
      </c>
      <c r="G2238" s="5">
        <v>102</v>
      </c>
      <c r="H2238" s="5">
        <v>101.8</v>
      </c>
      <c r="I2238" s="5">
        <v>0</v>
      </c>
      <c r="J2238" s="5">
        <v>0</v>
      </c>
      <c r="K2238" s="5">
        <v>0</v>
      </c>
    </row>
    <row r="2239" spans="1:11" x14ac:dyDescent="0.25">
      <c r="A2239" s="5">
        <f>2232</f>
      </c>
      <c r="B2239" s="5" t="s">
        <v>2247</v>
      </c>
      <c r="C2239" s="5">
        <v>102.1</v>
      </c>
      <c r="D2239" s="5">
        <v>0.1</v>
      </c>
      <c r="E2239" s="5">
        <v>102.3</v>
      </c>
      <c r="F2239" s="5">
        <v>204.5</v>
      </c>
      <c r="G2239" s="5">
        <v>102</v>
      </c>
      <c r="H2239" s="5">
        <v>101.8</v>
      </c>
      <c r="I2239" s="5">
        <v>0</v>
      </c>
      <c r="J2239" s="5">
        <v>0</v>
      </c>
      <c r="K2239" s="5">
        <v>0</v>
      </c>
    </row>
    <row r="2240" spans="1:11" x14ac:dyDescent="0.25">
      <c r="A2240" s="5">
        <f>2233</f>
      </c>
      <c r="B2240" s="5" t="s">
        <v>2248</v>
      </c>
      <c r="C2240" s="5">
        <v>102.1</v>
      </c>
      <c r="D2240" s="5">
        <v>0.1</v>
      </c>
      <c r="E2240" s="5">
        <v>102.3</v>
      </c>
      <c r="F2240" s="5">
        <v>204.5</v>
      </c>
      <c r="G2240" s="5">
        <v>102</v>
      </c>
      <c r="H2240" s="5">
        <v>101.8</v>
      </c>
      <c r="I2240" s="5">
        <v>0</v>
      </c>
      <c r="J2240" s="5">
        <v>0</v>
      </c>
      <c r="K2240" s="5">
        <v>0</v>
      </c>
    </row>
    <row r="2241" spans="1:11" x14ac:dyDescent="0.25">
      <c r="A2241" s="5">
        <f>2234</f>
      </c>
      <c r="B2241" s="5" t="s">
        <v>2249</v>
      </c>
      <c r="C2241" s="5">
        <v>102.1</v>
      </c>
      <c r="D2241" s="5">
        <v>0.1</v>
      </c>
      <c r="E2241" s="5">
        <v>102.3</v>
      </c>
      <c r="F2241" s="5">
        <v>204.5</v>
      </c>
      <c r="G2241" s="5">
        <v>102</v>
      </c>
      <c r="H2241" s="5">
        <v>101.8</v>
      </c>
      <c r="I2241" s="5">
        <v>0</v>
      </c>
      <c r="J2241" s="5">
        <v>0</v>
      </c>
      <c r="K2241" s="5">
        <v>0</v>
      </c>
    </row>
    <row r="2242" spans="1:11" x14ac:dyDescent="0.25">
      <c r="A2242" s="5">
        <f>2235</f>
      </c>
      <c r="B2242" s="5" t="s">
        <v>2250</v>
      </c>
      <c r="C2242" s="5">
        <v>102.8</v>
      </c>
      <c r="D2242" s="5">
        <v>0.1</v>
      </c>
      <c r="E2242" s="5">
        <v>103</v>
      </c>
      <c r="F2242" s="5">
        <v>205</v>
      </c>
      <c r="G2242" s="5">
        <v>102.2</v>
      </c>
      <c r="H2242" s="5">
        <v>102.1</v>
      </c>
      <c r="I2242" s="5">
        <v>0</v>
      </c>
      <c r="J2242" s="5">
        <v>0</v>
      </c>
      <c r="K2242" s="5">
        <v>0</v>
      </c>
    </row>
    <row r="2243" spans="1:11" x14ac:dyDescent="0.25">
      <c r="A2243" s="5">
        <f>2236</f>
      </c>
      <c r="B2243" s="5" t="s">
        <v>2251</v>
      </c>
      <c r="C2243" s="5">
        <v>102.8</v>
      </c>
      <c r="D2243" s="5">
        <v>0.1</v>
      </c>
      <c r="E2243" s="5">
        <v>103</v>
      </c>
      <c r="F2243" s="5">
        <v>205</v>
      </c>
      <c r="G2243" s="5">
        <v>102.2</v>
      </c>
      <c r="H2243" s="5">
        <v>102.1</v>
      </c>
      <c r="I2243" s="5">
        <v>0</v>
      </c>
      <c r="J2243" s="5">
        <v>0</v>
      </c>
      <c r="K2243" s="5">
        <v>0</v>
      </c>
    </row>
    <row r="2244" spans="1:11" x14ac:dyDescent="0.25">
      <c r="A2244" s="5">
        <f>2237</f>
      </c>
      <c r="B2244" s="5" t="s">
        <v>2252</v>
      </c>
      <c r="C2244" s="5">
        <v>102.7</v>
      </c>
      <c r="D2244" s="5">
        <v>0.1</v>
      </c>
      <c r="E2244" s="5">
        <v>102.9</v>
      </c>
      <c r="F2244" s="5">
        <v>205.4</v>
      </c>
      <c r="G2244" s="5">
        <v>102.4</v>
      </c>
      <c r="H2244" s="5">
        <v>102.3</v>
      </c>
      <c r="I2244" s="5">
        <v>0</v>
      </c>
      <c r="J2244" s="5">
        <v>0</v>
      </c>
      <c r="K2244" s="5">
        <v>0</v>
      </c>
    </row>
    <row r="2245" spans="1:11" x14ac:dyDescent="0.25">
      <c r="A2245" s="5">
        <f>2238</f>
      </c>
      <c r="B2245" s="5" t="s">
        <v>2253</v>
      </c>
      <c r="C2245" s="5">
        <v>102.7</v>
      </c>
      <c r="D2245" s="5">
        <v>0.1</v>
      </c>
      <c r="E2245" s="5">
        <v>102.9</v>
      </c>
      <c r="F2245" s="5">
        <v>205.4</v>
      </c>
      <c r="G2245" s="5">
        <v>102.4</v>
      </c>
      <c r="H2245" s="5">
        <v>102.3</v>
      </c>
      <c r="I2245" s="5">
        <v>0</v>
      </c>
      <c r="J2245" s="5">
        <v>0</v>
      </c>
      <c r="K2245" s="5">
        <v>0</v>
      </c>
    </row>
    <row r="2246" spans="1:11" x14ac:dyDescent="0.25">
      <c r="A2246" s="5">
        <f>2239</f>
      </c>
      <c r="B2246" s="5" t="s">
        <v>2254</v>
      </c>
      <c r="C2246" s="5">
        <v>102.4</v>
      </c>
      <c r="D2246" s="5">
        <v>0.1</v>
      </c>
      <c r="E2246" s="5">
        <v>102.6</v>
      </c>
      <c r="F2246" s="5">
        <v>204.5</v>
      </c>
      <c r="G2246" s="5">
        <v>102</v>
      </c>
      <c r="H2246" s="5">
        <v>101.9</v>
      </c>
      <c r="I2246" s="5">
        <v>0</v>
      </c>
      <c r="J2246" s="5">
        <v>0</v>
      </c>
      <c r="K2246" s="5">
        <v>0</v>
      </c>
    </row>
    <row r="2247" spans="1:11" x14ac:dyDescent="0.25">
      <c r="A2247" s="5">
        <f>2240</f>
      </c>
      <c r="B2247" s="5" t="s">
        <v>2255</v>
      </c>
      <c r="C2247" s="5">
        <v>102.4</v>
      </c>
      <c r="D2247" s="5">
        <v>0.1</v>
      </c>
      <c r="E2247" s="5">
        <v>102.6</v>
      </c>
      <c r="F2247" s="5">
        <v>204.5</v>
      </c>
      <c r="G2247" s="5">
        <v>102</v>
      </c>
      <c r="H2247" s="5">
        <v>101.9</v>
      </c>
      <c r="I2247" s="5">
        <v>0</v>
      </c>
      <c r="J2247" s="5">
        <v>0</v>
      </c>
      <c r="K2247" s="5">
        <v>0</v>
      </c>
    </row>
    <row r="2248" spans="1:11" x14ac:dyDescent="0.25">
      <c r="A2248" s="5">
        <f>2241</f>
      </c>
      <c r="B2248" s="5" t="s">
        <v>2256</v>
      </c>
      <c r="C2248" s="5">
        <v>101.1</v>
      </c>
      <c r="D2248" s="5">
        <v>0.1</v>
      </c>
      <c r="E2248" s="5">
        <v>101.2</v>
      </c>
      <c r="F2248" s="5">
        <v>202.6</v>
      </c>
      <c r="G2248" s="5">
        <v>101</v>
      </c>
      <c r="H2248" s="5">
        <v>100.8</v>
      </c>
      <c r="I2248" s="5">
        <v>0</v>
      </c>
      <c r="J2248" s="5">
        <v>0</v>
      </c>
      <c r="K2248" s="5">
        <v>0</v>
      </c>
    </row>
    <row r="2249" spans="1:11" x14ac:dyDescent="0.25">
      <c r="A2249" s="5">
        <f>2242</f>
      </c>
      <c r="B2249" s="5" t="s">
        <v>2257</v>
      </c>
      <c r="C2249" s="5">
        <v>101.1</v>
      </c>
      <c r="D2249" s="5">
        <v>0.1</v>
      </c>
      <c r="E2249" s="5">
        <v>101.2</v>
      </c>
      <c r="F2249" s="5">
        <v>202.6</v>
      </c>
      <c r="G2249" s="5">
        <v>101</v>
      </c>
      <c r="H2249" s="5">
        <v>100.8</v>
      </c>
      <c r="I2249" s="5">
        <v>0</v>
      </c>
      <c r="J2249" s="5">
        <v>0</v>
      </c>
      <c r="K2249" s="5">
        <v>0</v>
      </c>
    </row>
    <row r="2250" spans="1:11" x14ac:dyDescent="0.25">
      <c r="A2250" s="5">
        <f>2243</f>
      </c>
      <c r="B2250" s="5" t="s">
        <v>2258</v>
      </c>
      <c r="C2250" s="5">
        <v>101.1</v>
      </c>
      <c r="D2250" s="5">
        <v>0.1</v>
      </c>
      <c r="E2250" s="5">
        <v>101.2</v>
      </c>
      <c r="F2250" s="5">
        <v>202.6</v>
      </c>
      <c r="G2250" s="5">
        <v>101</v>
      </c>
      <c r="H2250" s="5">
        <v>100.8</v>
      </c>
      <c r="I2250" s="5">
        <v>0</v>
      </c>
      <c r="J2250" s="5">
        <v>0</v>
      </c>
      <c r="K2250" s="5">
        <v>0</v>
      </c>
    </row>
    <row r="2251" spans="1:11" x14ac:dyDescent="0.25">
      <c r="A2251" s="5">
        <f>2244</f>
      </c>
      <c r="B2251" s="5" t="s">
        <v>2259</v>
      </c>
      <c r="C2251" s="5">
        <v>101.1</v>
      </c>
      <c r="D2251" s="5">
        <v>0.1</v>
      </c>
      <c r="E2251" s="5">
        <v>101.2</v>
      </c>
      <c r="F2251" s="5">
        <v>202.6</v>
      </c>
      <c r="G2251" s="5">
        <v>101</v>
      </c>
      <c r="H2251" s="5">
        <v>100.8</v>
      </c>
      <c r="I2251" s="5">
        <v>0</v>
      </c>
      <c r="J2251" s="5">
        <v>0</v>
      </c>
      <c r="K2251" s="5">
        <v>0</v>
      </c>
    </row>
    <row r="2252" spans="1:11" x14ac:dyDescent="0.25">
      <c r="A2252" s="5">
        <f>2245</f>
      </c>
      <c r="B2252" s="5" t="s">
        <v>2260</v>
      </c>
      <c r="C2252" s="5">
        <v>100</v>
      </c>
      <c r="D2252" s="5">
        <v>0.1</v>
      </c>
      <c r="E2252" s="5">
        <v>100.2</v>
      </c>
      <c r="F2252" s="5">
        <v>199.8</v>
      </c>
      <c r="G2252" s="5">
        <v>99.7</v>
      </c>
      <c r="H2252" s="5">
        <v>99.6</v>
      </c>
      <c r="I2252" s="5">
        <v>0</v>
      </c>
      <c r="J2252" s="5">
        <v>0</v>
      </c>
      <c r="K2252" s="5">
        <v>0</v>
      </c>
    </row>
    <row r="2253" spans="1:11" x14ac:dyDescent="0.25">
      <c r="A2253" s="5">
        <f>2246</f>
      </c>
      <c r="B2253" s="5" t="s">
        <v>2261</v>
      </c>
      <c r="C2253" s="5">
        <v>100</v>
      </c>
      <c r="D2253" s="5">
        <v>0.1</v>
      </c>
      <c r="E2253" s="5">
        <v>100.2</v>
      </c>
      <c r="F2253" s="5">
        <v>199.8</v>
      </c>
      <c r="G2253" s="5">
        <v>99.7</v>
      </c>
      <c r="H2253" s="5">
        <v>99.6</v>
      </c>
      <c r="I2253" s="5">
        <v>0</v>
      </c>
      <c r="J2253" s="5">
        <v>0</v>
      </c>
      <c r="K2253" s="5">
        <v>0</v>
      </c>
    </row>
    <row r="2254" spans="1:11" x14ac:dyDescent="0.25">
      <c r="A2254" s="5">
        <f>2247</f>
      </c>
      <c r="B2254" s="5" t="s">
        <v>2262</v>
      </c>
      <c r="C2254" s="5">
        <v>100.5</v>
      </c>
      <c r="D2254" s="5">
        <v>0.1</v>
      </c>
      <c r="E2254" s="5">
        <v>100.7</v>
      </c>
      <c r="F2254" s="5">
        <v>200</v>
      </c>
      <c r="G2254" s="5">
        <v>99.8</v>
      </c>
      <c r="H2254" s="5">
        <v>99.7</v>
      </c>
      <c r="I2254" s="5">
        <v>0</v>
      </c>
      <c r="J2254" s="5">
        <v>0</v>
      </c>
      <c r="K2254" s="5">
        <v>0</v>
      </c>
    </row>
    <row r="2255" spans="1:11" x14ac:dyDescent="0.25">
      <c r="A2255" s="5">
        <f>2248</f>
      </c>
      <c r="B2255" s="5" t="s">
        <v>2263</v>
      </c>
      <c r="C2255" s="5">
        <v>100.5</v>
      </c>
      <c r="D2255" s="5">
        <v>0.1</v>
      </c>
      <c r="E2255" s="5">
        <v>100.7</v>
      </c>
      <c r="F2255" s="5">
        <v>200</v>
      </c>
      <c r="G2255" s="5">
        <v>99.8</v>
      </c>
      <c r="H2255" s="5">
        <v>99.7</v>
      </c>
      <c r="I2255" s="5">
        <v>0</v>
      </c>
      <c r="J2255" s="5">
        <v>0</v>
      </c>
      <c r="K2255" s="5">
        <v>0</v>
      </c>
    </row>
    <row r="2256" spans="1:11" x14ac:dyDescent="0.25">
      <c r="A2256" s="5">
        <f>2249</f>
      </c>
      <c r="B2256" s="5" t="s">
        <v>2264</v>
      </c>
      <c r="C2256" s="5">
        <v>100.2</v>
      </c>
      <c r="D2256" s="5">
        <v>0.1</v>
      </c>
      <c r="E2256" s="5">
        <v>100.4</v>
      </c>
      <c r="F2256" s="5">
        <v>200.4</v>
      </c>
      <c r="G2256" s="5">
        <v>99.9</v>
      </c>
      <c r="H2256" s="5">
        <v>99.8</v>
      </c>
      <c r="I2256" s="5">
        <v>0</v>
      </c>
      <c r="J2256" s="5">
        <v>0</v>
      </c>
      <c r="K2256" s="5">
        <v>0</v>
      </c>
    </row>
    <row r="2257" spans="1:11" x14ac:dyDescent="0.25">
      <c r="A2257" s="5">
        <f>2250</f>
      </c>
      <c r="B2257" s="5" t="s">
        <v>2265</v>
      </c>
      <c r="C2257" s="5">
        <v>100.2</v>
      </c>
      <c r="D2257" s="5">
        <v>0.1</v>
      </c>
      <c r="E2257" s="5">
        <v>100.4</v>
      </c>
      <c r="F2257" s="5">
        <v>200.4</v>
      </c>
      <c r="G2257" s="5">
        <v>99.9</v>
      </c>
      <c r="H2257" s="5">
        <v>99.8</v>
      </c>
      <c r="I2257" s="5">
        <v>0</v>
      </c>
      <c r="J2257" s="5">
        <v>0</v>
      </c>
      <c r="K2257" s="5">
        <v>0</v>
      </c>
    </row>
    <row r="2258" spans="1:11" x14ac:dyDescent="0.25">
      <c r="A2258" s="5">
        <f>2251</f>
      </c>
      <c r="B2258" s="5" t="s">
        <v>2266</v>
      </c>
      <c r="C2258" s="5">
        <v>100.4</v>
      </c>
      <c r="D2258" s="5">
        <v>0.1</v>
      </c>
      <c r="E2258" s="5">
        <v>100.5</v>
      </c>
      <c r="F2258" s="5">
        <v>200.6</v>
      </c>
      <c r="G2258" s="5">
        <v>100</v>
      </c>
      <c r="H2258" s="5">
        <v>99.9</v>
      </c>
      <c r="I2258" s="5">
        <v>0</v>
      </c>
      <c r="J2258" s="5">
        <v>0</v>
      </c>
      <c r="K2258" s="5">
        <v>0</v>
      </c>
    </row>
    <row r="2259" spans="1:11" x14ac:dyDescent="0.25">
      <c r="A2259" s="5">
        <f>2252</f>
      </c>
      <c r="B2259" s="5" t="s">
        <v>2267</v>
      </c>
      <c r="C2259" s="5">
        <v>100.4</v>
      </c>
      <c r="D2259" s="5">
        <v>0.1</v>
      </c>
      <c r="E2259" s="5">
        <v>100.5</v>
      </c>
      <c r="F2259" s="5">
        <v>200.6</v>
      </c>
      <c r="G2259" s="5">
        <v>100</v>
      </c>
      <c r="H2259" s="5">
        <v>99.9</v>
      </c>
      <c r="I2259" s="5">
        <v>0</v>
      </c>
      <c r="J2259" s="5">
        <v>0</v>
      </c>
      <c r="K2259" s="5">
        <v>0</v>
      </c>
    </row>
    <row r="2260" spans="1:11" x14ac:dyDescent="0.25">
      <c r="A2260" s="5">
        <f>2253</f>
      </c>
      <c r="B2260" s="5" t="s">
        <v>2268</v>
      </c>
      <c r="C2260" s="5">
        <v>100.4</v>
      </c>
      <c r="D2260" s="5">
        <v>0.1</v>
      </c>
      <c r="E2260" s="5">
        <v>100.5</v>
      </c>
      <c r="F2260" s="5">
        <v>200.6</v>
      </c>
      <c r="G2260" s="5">
        <v>100</v>
      </c>
      <c r="H2260" s="5">
        <v>99.9</v>
      </c>
      <c r="I2260" s="5">
        <v>0</v>
      </c>
      <c r="J2260" s="5">
        <v>0</v>
      </c>
      <c r="K2260" s="5">
        <v>0</v>
      </c>
    </row>
    <row r="2261" spans="1:11" x14ac:dyDescent="0.25">
      <c r="A2261" s="5">
        <f>2254</f>
      </c>
      <c r="B2261" s="5" t="s">
        <v>2269</v>
      </c>
      <c r="C2261" s="5">
        <v>100.4</v>
      </c>
      <c r="D2261" s="5">
        <v>0.1</v>
      </c>
      <c r="E2261" s="5">
        <v>100.5</v>
      </c>
      <c r="F2261" s="5">
        <v>200.6</v>
      </c>
      <c r="G2261" s="5">
        <v>99.9</v>
      </c>
      <c r="H2261" s="5">
        <v>99.7</v>
      </c>
      <c r="I2261" s="5">
        <v>0</v>
      </c>
      <c r="J2261" s="5">
        <v>0</v>
      </c>
      <c r="K2261" s="5">
        <v>0</v>
      </c>
    </row>
    <row r="2262" spans="1:11" x14ac:dyDescent="0.25">
      <c r="A2262" s="5">
        <f>2255</f>
      </c>
      <c r="B2262" s="5" t="s">
        <v>2270</v>
      </c>
      <c r="C2262" s="5">
        <v>100.4</v>
      </c>
      <c r="D2262" s="5">
        <v>0.1</v>
      </c>
      <c r="E2262" s="5">
        <v>100.5</v>
      </c>
      <c r="F2262" s="5">
        <v>200.3</v>
      </c>
      <c r="G2262" s="5">
        <v>99.9</v>
      </c>
      <c r="H2262" s="5">
        <v>99.7</v>
      </c>
      <c r="I2262" s="5">
        <v>0</v>
      </c>
      <c r="J2262" s="5">
        <v>0</v>
      </c>
      <c r="K2262" s="5">
        <v>0</v>
      </c>
    </row>
    <row r="2263" spans="1:11" x14ac:dyDescent="0.25">
      <c r="A2263" s="5">
        <f>2256</f>
      </c>
      <c r="B2263" s="5" t="s">
        <v>2271</v>
      </c>
      <c r="C2263" s="5">
        <v>100.4</v>
      </c>
      <c r="D2263" s="5">
        <v>0.1</v>
      </c>
      <c r="E2263" s="5">
        <v>100.5</v>
      </c>
      <c r="F2263" s="5">
        <v>200.3</v>
      </c>
      <c r="G2263" s="5">
        <v>99.7</v>
      </c>
      <c r="H2263" s="5">
        <v>99.6</v>
      </c>
      <c r="I2263" s="5">
        <v>0</v>
      </c>
      <c r="J2263" s="5">
        <v>0</v>
      </c>
      <c r="K2263" s="5">
        <v>0</v>
      </c>
    </row>
    <row r="2264" spans="1:11" x14ac:dyDescent="0.25">
      <c r="A2264" s="5">
        <f>2257</f>
      </c>
      <c r="B2264" s="5" t="s">
        <v>2272</v>
      </c>
      <c r="C2264" s="5">
        <v>100.5</v>
      </c>
      <c r="D2264" s="5">
        <v>0.1</v>
      </c>
      <c r="E2264" s="5">
        <v>100.6</v>
      </c>
      <c r="F2264" s="5">
        <v>200</v>
      </c>
      <c r="G2264" s="5">
        <v>99.7</v>
      </c>
      <c r="H2264" s="5">
        <v>99.6</v>
      </c>
      <c r="I2264" s="5">
        <v>0</v>
      </c>
      <c r="J2264" s="5">
        <v>0</v>
      </c>
      <c r="K2264" s="5">
        <v>0</v>
      </c>
    </row>
    <row r="2265" spans="1:11" x14ac:dyDescent="0.25">
      <c r="A2265" s="5">
        <f>2258</f>
      </c>
      <c r="B2265" s="5" t="s">
        <v>2273</v>
      </c>
      <c r="C2265" s="5">
        <v>100.5</v>
      </c>
      <c r="D2265" s="5">
        <v>0.1</v>
      </c>
      <c r="E2265" s="5">
        <v>100.6</v>
      </c>
      <c r="F2265" s="5">
        <v>200</v>
      </c>
      <c r="G2265" s="5">
        <v>99.7</v>
      </c>
      <c r="H2265" s="5">
        <v>99.8</v>
      </c>
      <c r="I2265" s="5">
        <v>0</v>
      </c>
      <c r="J2265" s="5">
        <v>0</v>
      </c>
      <c r="K2265" s="5">
        <v>0</v>
      </c>
    </row>
    <row r="2266" spans="1:11" x14ac:dyDescent="0.25">
      <c r="A2266" s="5">
        <f>2259</f>
      </c>
      <c r="B2266" s="5" t="s">
        <v>2274</v>
      </c>
      <c r="C2266" s="5">
        <v>101.1</v>
      </c>
      <c r="D2266" s="5">
        <v>0.1</v>
      </c>
      <c r="E2266" s="5">
        <v>101.2</v>
      </c>
      <c r="F2266" s="5">
        <v>200.4</v>
      </c>
      <c r="G2266" s="5">
        <v>100</v>
      </c>
      <c r="H2266" s="5">
        <v>99.8</v>
      </c>
      <c r="I2266" s="5">
        <v>0</v>
      </c>
      <c r="J2266" s="5">
        <v>0</v>
      </c>
      <c r="K2266" s="5">
        <v>0</v>
      </c>
    </row>
    <row r="2267" spans="1:11" x14ac:dyDescent="0.25">
      <c r="A2267" s="5">
        <f>2260</f>
      </c>
      <c r="B2267" s="5" t="s">
        <v>2275</v>
      </c>
      <c r="C2267" s="5">
        <v>101.1</v>
      </c>
      <c r="D2267" s="5">
        <v>0.1</v>
      </c>
      <c r="E2267" s="5">
        <v>101.2</v>
      </c>
      <c r="F2267" s="5">
        <v>200.4</v>
      </c>
      <c r="G2267" s="5">
        <v>100</v>
      </c>
      <c r="H2267" s="5">
        <v>99.8</v>
      </c>
      <c r="I2267" s="5">
        <v>0</v>
      </c>
      <c r="J2267" s="5">
        <v>0</v>
      </c>
      <c r="K2267" s="5">
        <v>0</v>
      </c>
    </row>
    <row r="2268" spans="1:11" x14ac:dyDescent="0.25">
      <c r="A2268" s="5">
        <f>2261</f>
      </c>
      <c r="B2268" s="5" t="s">
        <v>2276</v>
      </c>
      <c r="C2268" s="5">
        <v>101.1</v>
      </c>
      <c r="D2268" s="5">
        <v>0.1</v>
      </c>
      <c r="E2268" s="5">
        <v>101.3</v>
      </c>
      <c r="F2268" s="5">
        <v>202.1</v>
      </c>
      <c r="G2268" s="5">
        <v>100.8</v>
      </c>
      <c r="H2268" s="5">
        <v>100.6</v>
      </c>
      <c r="I2268" s="5">
        <v>0</v>
      </c>
      <c r="J2268" s="5">
        <v>0</v>
      </c>
      <c r="K2268" s="5">
        <v>0</v>
      </c>
    </row>
    <row r="2269" spans="1:11" x14ac:dyDescent="0.25">
      <c r="A2269" s="5">
        <f>2262</f>
      </c>
      <c r="B2269" s="5" t="s">
        <v>2277</v>
      </c>
      <c r="C2269" s="5">
        <v>101.1</v>
      </c>
      <c r="D2269" s="5">
        <v>0.1</v>
      </c>
      <c r="E2269" s="5">
        <v>101.3</v>
      </c>
      <c r="F2269" s="5">
        <v>202.1</v>
      </c>
      <c r="G2269" s="5">
        <v>100.8</v>
      </c>
      <c r="H2269" s="5">
        <v>100.6</v>
      </c>
      <c r="I2269" s="5">
        <v>0</v>
      </c>
      <c r="J2269" s="5">
        <v>0</v>
      </c>
      <c r="K2269" s="5">
        <v>0</v>
      </c>
    </row>
    <row r="2270" spans="1:11" x14ac:dyDescent="0.25">
      <c r="A2270" s="5">
        <f>2263</f>
      </c>
      <c r="B2270" s="5" t="s">
        <v>2278</v>
      </c>
      <c r="C2270" s="5">
        <v>101.1</v>
      </c>
      <c r="D2270" s="5">
        <v>0.1</v>
      </c>
      <c r="E2270" s="5">
        <v>101.3</v>
      </c>
      <c r="F2270" s="5">
        <v>202.1</v>
      </c>
      <c r="G2270" s="5">
        <v>100.8</v>
      </c>
      <c r="H2270" s="5">
        <v>100.6</v>
      </c>
      <c r="I2270" s="5">
        <v>0</v>
      </c>
      <c r="J2270" s="5">
        <v>0</v>
      </c>
      <c r="K2270" s="5">
        <v>0</v>
      </c>
    </row>
    <row r="2271" spans="1:11" x14ac:dyDescent="0.25">
      <c r="A2271" s="5">
        <f>2264</f>
      </c>
      <c r="B2271" s="5" t="s">
        <v>2279</v>
      </c>
      <c r="C2271" s="5">
        <v>101.1</v>
      </c>
      <c r="D2271" s="5">
        <v>0.1</v>
      </c>
      <c r="E2271" s="5">
        <v>101.1</v>
      </c>
      <c r="F2271" s="5">
        <v>201.5</v>
      </c>
      <c r="G2271" s="5">
        <v>100.5</v>
      </c>
      <c r="H2271" s="5">
        <v>100.3</v>
      </c>
      <c r="I2271" s="5">
        <v>0</v>
      </c>
      <c r="J2271" s="5">
        <v>0</v>
      </c>
      <c r="K2271" s="5">
        <v>0</v>
      </c>
    </row>
    <row r="2272" spans="1:11" x14ac:dyDescent="0.25">
      <c r="A2272" s="5">
        <f>2265</f>
      </c>
      <c r="B2272" s="5" t="s">
        <v>2280</v>
      </c>
      <c r="C2272" s="5">
        <v>101.1</v>
      </c>
      <c r="D2272" s="5">
        <v>0.1</v>
      </c>
      <c r="E2272" s="5">
        <v>101.1</v>
      </c>
      <c r="F2272" s="5">
        <v>201.5</v>
      </c>
      <c r="G2272" s="5">
        <v>100.5</v>
      </c>
      <c r="H2272" s="5">
        <v>100.3</v>
      </c>
      <c r="I2272" s="5">
        <v>0</v>
      </c>
      <c r="J2272" s="5">
        <v>0</v>
      </c>
      <c r="K2272" s="5">
        <v>0</v>
      </c>
    </row>
    <row r="2273" spans="1:11" x14ac:dyDescent="0.25">
      <c r="A2273" s="5">
        <f>2266</f>
      </c>
      <c r="B2273" s="5" t="s">
        <v>2281</v>
      </c>
      <c r="C2273" s="5">
        <v>100.7</v>
      </c>
      <c r="D2273" s="5">
        <v>0.1</v>
      </c>
      <c r="E2273" s="5">
        <v>100.8</v>
      </c>
      <c r="F2273" s="5">
        <v>201.5</v>
      </c>
      <c r="G2273" s="5">
        <v>100.5</v>
      </c>
      <c r="H2273" s="5">
        <v>100.3</v>
      </c>
      <c r="I2273" s="5">
        <v>0</v>
      </c>
      <c r="J2273" s="5">
        <v>0</v>
      </c>
      <c r="K2273" s="5">
        <v>0</v>
      </c>
    </row>
    <row r="2274" spans="1:11" x14ac:dyDescent="0.25">
      <c r="A2274" s="5">
        <f>2267</f>
      </c>
      <c r="B2274" s="5" t="s">
        <v>2282</v>
      </c>
      <c r="C2274" s="5">
        <v>100.7</v>
      </c>
      <c r="D2274" s="5">
        <v>0.1</v>
      </c>
      <c r="E2274" s="5">
        <v>100.8</v>
      </c>
      <c r="F2274" s="5">
        <v>201.5</v>
      </c>
      <c r="G2274" s="5">
        <v>100.5</v>
      </c>
      <c r="H2274" s="5">
        <v>100.3</v>
      </c>
      <c r="I2274" s="5">
        <v>0</v>
      </c>
      <c r="J2274" s="5">
        <v>0</v>
      </c>
      <c r="K2274" s="5">
        <v>0</v>
      </c>
    </row>
    <row r="2275" spans="1:11" x14ac:dyDescent="0.25">
      <c r="A2275" s="5">
        <f>2268</f>
      </c>
      <c r="B2275" s="5" t="s">
        <v>2283</v>
      </c>
      <c r="C2275" s="5">
        <v>101.1</v>
      </c>
      <c r="D2275" s="5">
        <v>0.1</v>
      </c>
      <c r="E2275" s="5">
        <v>101.3</v>
      </c>
      <c r="F2275" s="5">
        <v>201.8</v>
      </c>
      <c r="G2275" s="5">
        <v>100.7</v>
      </c>
      <c r="H2275" s="5">
        <v>100.5</v>
      </c>
      <c r="I2275" s="5">
        <v>0</v>
      </c>
      <c r="J2275" s="5">
        <v>0</v>
      </c>
      <c r="K2275" s="5">
        <v>0</v>
      </c>
    </row>
    <row r="2276" spans="1:11" x14ac:dyDescent="0.25">
      <c r="A2276" s="5">
        <f>2269</f>
      </c>
      <c r="B2276" s="5" t="s">
        <v>2284</v>
      </c>
      <c r="C2276" s="5">
        <v>101.1</v>
      </c>
      <c r="D2276" s="5">
        <v>0.1</v>
      </c>
      <c r="E2276" s="5">
        <v>101.3</v>
      </c>
      <c r="F2276" s="5">
        <v>201.8</v>
      </c>
      <c r="G2276" s="5">
        <v>100.7</v>
      </c>
      <c r="H2276" s="5">
        <v>100.5</v>
      </c>
      <c r="I2276" s="5">
        <v>0</v>
      </c>
      <c r="J2276" s="5">
        <v>0</v>
      </c>
      <c r="K2276" s="5">
        <v>0</v>
      </c>
    </row>
    <row r="2277" spans="1:11" x14ac:dyDescent="0.25">
      <c r="A2277" s="5">
        <f>2270</f>
      </c>
      <c r="B2277" s="5" t="s">
        <v>2285</v>
      </c>
      <c r="C2277" s="5">
        <v>101.2</v>
      </c>
      <c r="D2277" s="5">
        <v>0.1</v>
      </c>
      <c r="E2277" s="5">
        <v>101.4</v>
      </c>
      <c r="F2277" s="5">
        <v>202</v>
      </c>
      <c r="G2277" s="5">
        <v>100.8</v>
      </c>
      <c r="H2277" s="5">
        <v>100.5</v>
      </c>
      <c r="I2277" s="5">
        <v>0</v>
      </c>
      <c r="J2277" s="5">
        <v>0</v>
      </c>
      <c r="K2277" s="5">
        <v>0</v>
      </c>
    </row>
    <row r="2278" spans="1:11" x14ac:dyDescent="0.25">
      <c r="A2278" s="5">
        <f>2271</f>
      </c>
      <c r="B2278" s="5" t="s">
        <v>2286</v>
      </c>
      <c r="C2278" s="5">
        <v>101.2</v>
      </c>
      <c r="D2278" s="5">
        <v>0.1</v>
      </c>
      <c r="E2278" s="5">
        <v>101.4</v>
      </c>
      <c r="F2278" s="5">
        <v>202</v>
      </c>
      <c r="G2278" s="5">
        <v>100.8</v>
      </c>
      <c r="H2278" s="5">
        <v>100.6</v>
      </c>
      <c r="I2278" s="5">
        <v>0</v>
      </c>
      <c r="J2278" s="5">
        <v>0</v>
      </c>
      <c r="K2278" s="5">
        <v>0</v>
      </c>
    </row>
    <row r="2279" spans="1:11" x14ac:dyDescent="0.25">
      <c r="A2279" s="5">
        <f>2272</f>
      </c>
      <c r="B2279" s="5" t="s">
        <v>2287</v>
      </c>
      <c r="C2279" s="5">
        <v>101.2</v>
      </c>
      <c r="D2279" s="5">
        <v>0.1</v>
      </c>
      <c r="E2279" s="5">
        <v>101.4</v>
      </c>
      <c r="F2279" s="5">
        <v>202</v>
      </c>
      <c r="G2279" s="5">
        <v>100.8</v>
      </c>
      <c r="H2279" s="5">
        <v>100.6</v>
      </c>
      <c r="I2279" s="5">
        <v>0</v>
      </c>
      <c r="J2279" s="5">
        <v>0</v>
      </c>
      <c r="K2279" s="5">
        <v>0</v>
      </c>
    </row>
    <row r="2280" spans="1:11" x14ac:dyDescent="0.25">
      <c r="A2280" s="5">
        <f>2273</f>
      </c>
      <c r="B2280" s="5" t="s">
        <v>2288</v>
      </c>
      <c r="C2280" s="5">
        <v>101.2</v>
      </c>
      <c r="D2280" s="5">
        <v>0.1</v>
      </c>
      <c r="E2280" s="5">
        <v>101.4</v>
      </c>
      <c r="F2280" s="5">
        <v>202</v>
      </c>
      <c r="G2280" s="5">
        <v>100.8</v>
      </c>
      <c r="H2280" s="5">
        <v>100.6</v>
      </c>
      <c r="I2280" s="5">
        <v>0</v>
      </c>
      <c r="J2280" s="5">
        <v>0</v>
      </c>
      <c r="K2280" s="5">
        <v>0</v>
      </c>
    </row>
    <row r="2281" spans="1:11" x14ac:dyDescent="0.25">
      <c r="A2281" s="5">
        <f>2274</f>
      </c>
      <c r="B2281" s="5" t="s">
        <v>2289</v>
      </c>
      <c r="C2281" s="5">
        <v>101.2</v>
      </c>
      <c r="D2281" s="5">
        <v>0.1</v>
      </c>
      <c r="E2281" s="5">
        <v>101.4</v>
      </c>
      <c r="F2281" s="5">
        <v>202</v>
      </c>
      <c r="G2281" s="5">
        <v>100.8</v>
      </c>
      <c r="H2281" s="5">
        <v>100.6</v>
      </c>
      <c r="I2281" s="5">
        <v>0</v>
      </c>
      <c r="J2281" s="5">
        <v>0</v>
      </c>
      <c r="K2281" s="5">
        <v>0</v>
      </c>
    </row>
    <row r="2282" spans="1:11" x14ac:dyDescent="0.25">
      <c r="A2282" s="5">
        <f>2275</f>
      </c>
      <c r="B2282" s="5" t="s">
        <v>2290</v>
      </c>
      <c r="C2282" s="5">
        <v>101.1</v>
      </c>
      <c r="D2282" s="5">
        <v>0.1</v>
      </c>
      <c r="E2282" s="5">
        <v>101.2</v>
      </c>
      <c r="F2282" s="5">
        <v>201.2</v>
      </c>
      <c r="G2282" s="5">
        <v>100.3</v>
      </c>
      <c r="H2282" s="5">
        <v>100.2</v>
      </c>
      <c r="I2282" s="5">
        <v>0</v>
      </c>
      <c r="J2282" s="5">
        <v>0</v>
      </c>
      <c r="K2282" s="5">
        <v>0</v>
      </c>
    </row>
    <row r="2283" spans="1:11" x14ac:dyDescent="0.25">
      <c r="A2283" s="5">
        <f>2276</f>
      </c>
      <c r="B2283" s="5" t="s">
        <v>2291</v>
      </c>
      <c r="C2283" s="5">
        <v>101.1</v>
      </c>
      <c r="D2283" s="5">
        <v>0.1</v>
      </c>
      <c r="E2283" s="5">
        <v>101.2</v>
      </c>
      <c r="F2283" s="5">
        <v>201.2</v>
      </c>
      <c r="G2283" s="5">
        <v>100.3</v>
      </c>
      <c r="H2283" s="5">
        <v>100.2</v>
      </c>
      <c r="I2283" s="5">
        <v>0</v>
      </c>
      <c r="J2283" s="5">
        <v>0</v>
      </c>
      <c r="K2283" s="5">
        <v>0</v>
      </c>
    </row>
    <row r="2284" spans="1:11" x14ac:dyDescent="0.25">
      <c r="A2284" s="5">
        <f>2277</f>
      </c>
      <c r="B2284" s="5" t="s">
        <v>2292</v>
      </c>
      <c r="C2284" s="5">
        <v>101.1</v>
      </c>
      <c r="D2284" s="5">
        <v>0.1</v>
      </c>
      <c r="E2284" s="5">
        <v>101.2</v>
      </c>
      <c r="F2284" s="5">
        <v>200.7</v>
      </c>
      <c r="G2284" s="5">
        <v>100.1</v>
      </c>
      <c r="H2284" s="5">
        <v>100</v>
      </c>
      <c r="I2284" s="5">
        <v>0</v>
      </c>
      <c r="J2284" s="5">
        <v>0</v>
      </c>
      <c r="K2284" s="5">
        <v>0</v>
      </c>
    </row>
    <row r="2285" spans="1:11" x14ac:dyDescent="0.25">
      <c r="A2285" s="5">
        <f>2278</f>
      </c>
      <c r="B2285" s="5" t="s">
        <v>2293</v>
      </c>
      <c r="C2285" s="5">
        <v>101.1</v>
      </c>
      <c r="D2285" s="5">
        <v>0.1</v>
      </c>
      <c r="E2285" s="5">
        <v>101.2</v>
      </c>
      <c r="F2285" s="5">
        <v>200.7</v>
      </c>
      <c r="G2285" s="5">
        <v>100.1</v>
      </c>
      <c r="H2285" s="5">
        <v>100</v>
      </c>
      <c r="I2285" s="5">
        <v>0</v>
      </c>
      <c r="J2285" s="5">
        <v>0</v>
      </c>
      <c r="K2285" s="5">
        <v>0</v>
      </c>
    </row>
    <row r="2286" spans="1:11" x14ac:dyDescent="0.25">
      <c r="A2286" s="5">
        <f>2279</f>
      </c>
      <c r="B2286" s="5" t="s">
        <v>2294</v>
      </c>
      <c r="C2286" s="5">
        <v>101</v>
      </c>
      <c r="D2286" s="5">
        <v>0.1</v>
      </c>
      <c r="E2286" s="5">
        <v>101.1</v>
      </c>
      <c r="F2286" s="5">
        <v>202.4</v>
      </c>
      <c r="G2286" s="5">
        <v>100.9</v>
      </c>
      <c r="H2286" s="5">
        <v>100.8</v>
      </c>
      <c r="I2286" s="5">
        <v>0</v>
      </c>
      <c r="J2286" s="5">
        <v>0</v>
      </c>
      <c r="K2286" s="5">
        <v>0</v>
      </c>
    </row>
    <row r="2287" spans="1:11" x14ac:dyDescent="0.25">
      <c r="A2287" s="5">
        <f>2280</f>
      </c>
      <c r="B2287" s="5" t="s">
        <v>2295</v>
      </c>
      <c r="C2287" s="5">
        <v>101</v>
      </c>
      <c r="D2287" s="5">
        <v>0.1</v>
      </c>
      <c r="E2287" s="5">
        <v>101.1</v>
      </c>
      <c r="F2287" s="5">
        <v>202.4</v>
      </c>
      <c r="G2287" s="5">
        <v>100.9</v>
      </c>
      <c r="H2287" s="5">
        <v>100.8</v>
      </c>
      <c r="I2287" s="5">
        <v>0</v>
      </c>
      <c r="J2287" s="5">
        <v>0</v>
      </c>
      <c r="K2287" s="5">
        <v>0</v>
      </c>
    </row>
    <row r="2288" spans="1:11" x14ac:dyDescent="0.25">
      <c r="A2288" s="5">
        <f>2281</f>
      </c>
      <c r="B2288" s="5" t="s">
        <v>2296</v>
      </c>
      <c r="C2288" s="5">
        <v>100.5</v>
      </c>
      <c r="D2288" s="5">
        <v>0.1</v>
      </c>
      <c r="E2288" s="5">
        <v>100.6</v>
      </c>
      <c r="F2288" s="5">
        <v>201.3</v>
      </c>
      <c r="G2288" s="5">
        <v>100.4</v>
      </c>
      <c r="H2288" s="5">
        <v>100.2</v>
      </c>
      <c r="I2288" s="5">
        <v>0</v>
      </c>
      <c r="J2288" s="5">
        <v>0</v>
      </c>
      <c r="K2288" s="5">
        <v>0</v>
      </c>
    </row>
    <row r="2289" spans="1:11" x14ac:dyDescent="0.25">
      <c r="A2289" s="5">
        <f>2282</f>
      </c>
      <c r="B2289" s="5" t="s">
        <v>2297</v>
      </c>
      <c r="C2289" s="5">
        <v>100.5</v>
      </c>
      <c r="D2289" s="5">
        <v>0.1</v>
      </c>
      <c r="E2289" s="5">
        <v>100.6</v>
      </c>
      <c r="F2289" s="5">
        <v>201.3</v>
      </c>
      <c r="G2289" s="5">
        <v>100.4</v>
      </c>
      <c r="H2289" s="5">
        <v>100.2</v>
      </c>
      <c r="I2289" s="5">
        <v>0</v>
      </c>
      <c r="J2289" s="5">
        <v>0</v>
      </c>
      <c r="K2289" s="5">
        <v>0</v>
      </c>
    </row>
    <row r="2290" spans="1:11" x14ac:dyDescent="0.25">
      <c r="A2290" s="5">
        <f>2283</f>
      </c>
      <c r="B2290" s="5" t="s">
        <v>2298</v>
      </c>
      <c r="C2290" s="5">
        <v>100.5</v>
      </c>
      <c r="D2290" s="5">
        <v>0.1</v>
      </c>
      <c r="E2290" s="5">
        <v>100.6</v>
      </c>
      <c r="F2290" s="5">
        <v>201.3</v>
      </c>
      <c r="G2290" s="5">
        <v>100.4</v>
      </c>
      <c r="H2290" s="5">
        <v>100.2</v>
      </c>
      <c r="I2290" s="5">
        <v>0</v>
      </c>
      <c r="J2290" s="5">
        <v>0</v>
      </c>
      <c r="K2290" s="5">
        <v>0</v>
      </c>
    </row>
    <row r="2291" spans="1:11" x14ac:dyDescent="0.25">
      <c r="A2291" s="5">
        <f>2284</f>
      </c>
      <c r="B2291" s="5" t="s">
        <v>2299</v>
      </c>
      <c r="C2291" s="5">
        <v>100.8</v>
      </c>
      <c r="D2291" s="5">
        <v>0.1</v>
      </c>
      <c r="E2291" s="5">
        <v>100.9</v>
      </c>
      <c r="F2291" s="5">
        <v>200.8</v>
      </c>
      <c r="G2291" s="5">
        <v>100.2</v>
      </c>
      <c r="H2291" s="5">
        <v>100</v>
      </c>
      <c r="I2291" s="5">
        <v>0</v>
      </c>
      <c r="J2291" s="5">
        <v>0</v>
      </c>
      <c r="K2291" s="5">
        <v>0</v>
      </c>
    </row>
    <row r="2292" spans="1:11" x14ac:dyDescent="0.25">
      <c r="A2292" s="5">
        <f>2285</f>
      </c>
      <c r="B2292" s="5" t="s">
        <v>2300</v>
      </c>
      <c r="C2292" s="5">
        <v>100.8</v>
      </c>
      <c r="D2292" s="5">
        <v>0.1</v>
      </c>
      <c r="E2292" s="5">
        <v>100.9</v>
      </c>
      <c r="F2292" s="5">
        <v>200.8</v>
      </c>
      <c r="G2292" s="5">
        <v>100.2</v>
      </c>
      <c r="H2292" s="5">
        <v>100</v>
      </c>
      <c r="I2292" s="5">
        <v>0</v>
      </c>
      <c r="J2292" s="5">
        <v>0</v>
      </c>
      <c r="K2292" s="5">
        <v>0</v>
      </c>
    </row>
    <row r="2293" spans="1:11" x14ac:dyDescent="0.25">
      <c r="A2293" s="5">
        <f>2286</f>
      </c>
      <c r="B2293" s="5" t="s">
        <v>2301</v>
      </c>
      <c r="C2293" s="5">
        <v>100.5</v>
      </c>
      <c r="D2293" s="5">
        <v>0.1</v>
      </c>
      <c r="E2293" s="5">
        <v>100.6</v>
      </c>
      <c r="F2293" s="5">
        <v>200.6</v>
      </c>
      <c r="G2293" s="5">
        <v>100.1</v>
      </c>
      <c r="H2293" s="5">
        <v>99.9</v>
      </c>
      <c r="I2293" s="5">
        <v>0</v>
      </c>
      <c r="J2293" s="5">
        <v>0</v>
      </c>
      <c r="K2293" s="5">
        <v>0</v>
      </c>
    </row>
    <row r="2294" spans="1:11" x14ac:dyDescent="0.25">
      <c r="A2294" s="5">
        <f>2287</f>
      </c>
      <c r="B2294" s="5" t="s">
        <v>2302</v>
      </c>
      <c r="C2294" s="5">
        <v>100.5</v>
      </c>
      <c r="D2294" s="5">
        <v>0.1</v>
      </c>
      <c r="E2294" s="5">
        <v>100.6</v>
      </c>
      <c r="F2294" s="5">
        <v>200.6</v>
      </c>
      <c r="G2294" s="5">
        <v>100.1</v>
      </c>
      <c r="H2294" s="5">
        <v>99.9</v>
      </c>
      <c r="I2294" s="5">
        <v>0</v>
      </c>
      <c r="J2294" s="5">
        <v>0</v>
      </c>
      <c r="K2294" s="5">
        <v>0</v>
      </c>
    </row>
    <row r="2295" spans="1:11" x14ac:dyDescent="0.25">
      <c r="A2295" s="5">
        <f>2288</f>
      </c>
      <c r="B2295" s="5" t="s">
        <v>2303</v>
      </c>
      <c r="C2295" s="5">
        <v>100.2</v>
      </c>
      <c r="D2295" s="5">
        <v>0.1</v>
      </c>
      <c r="E2295" s="5">
        <v>100.3</v>
      </c>
      <c r="F2295" s="5">
        <v>199.3</v>
      </c>
      <c r="G2295" s="5">
        <v>99.4</v>
      </c>
      <c r="H2295" s="5">
        <v>99.3</v>
      </c>
      <c r="I2295" s="5">
        <v>0</v>
      </c>
      <c r="J2295" s="5">
        <v>0</v>
      </c>
      <c r="K2295" s="5">
        <v>0</v>
      </c>
    </row>
    <row r="2296" spans="1:11" x14ac:dyDescent="0.25">
      <c r="A2296" s="5">
        <f>2289</f>
      </c>
      <c r="B2296" s="5" t="s">
        <v>2304</v>
      </c>
      <c r="C2296" s="5">
        <v>100.2</v>
      </c>
      <c r="D2296" s="5">
        <v>0.1</v>
      </c>
      <c r="E2296" s="5">
        <v>100.3</v>
      </c>
      <c r="F2296" s="5">
        <v>199.3</v>
      </c>
      <c r="G2296" s="5">
        <v>99.4</v>
      </c>
      <c r="H2296" s="5">
        <v>99.3</v>
      </c>
      <c r="I2296" s="5">
        <v>0</v>
      </c>
      <c r="J2296" s="5">
        <v>0</v>
      </c>
      <c r="K2296" s="5">
        <v>0</v>
      </c>
    </row>
    <row r="2297" spans="1:11" x14ac:dyDescent="0.25">
      <c r="A2297" s="5">
        <f>2290</f>
      </c>
      <c r="B2297" s="5" t="s">
        <v>2305</v>
      </c>
      <c r="C2297" s="5">
        <v>100.2</v>
      </c>
      <c r="D2297" s="5">
        <v>0.1</v>
      </c>
      <c r="E2297" s="5">
        <v>100.3</v>
      </c>
      <c r="F2297" s="5">
        <v>199.9</v>
      </c>
      <c r="G2297" s="5">
        <v>99.7</v>
      </c>
      <c r="H2297" s="5">
        <v>99.5</v>
      </c>
      <c r="I2297" s="5">
        <v>0</v>
      </c>
      <c r="J2297" s="5">
        <v>0</v>
      </c>
      <c r="K2297" s="5">
        <v>0</v>
      </c>
    </row>
    <row r="2298" spans="1:11" x14ac:dyDescent="0.25">
      <c r="A2298" s="5">
        <f>2291</f>
      </c>
      <c r="B2298" s="5" t="s">
        <v>2306</v>
      </c>
      <c r="C2298" s="5">
        <v>100.2</v>
      </c>
      <c r="D2298" s="5">
        <v>0.1</v>
      </c>
      <c r="E2298" s="5">
        <v>100.3</v>
      </c>
      <c r="F2298" s="5">
        <v>199.9</v>
      </c>
      <c r="G2298" s="5">
        <v>99.7</v>
      </c>
      <c r="H2298" s="5">
        <v>99.5</v>
      </c>
      <c r="I2298" s="5">
        <v>0</v>
      </c>
      <c r="J2298" s="5">
        <v>0</v>
      </c>
      <c r="K2298" s="5">
        <v>0</v>
      </c>
    </row>
    <row r="2299" spans="1:11" x14ac:dyDescent="0.25">
      <c r="A2299" s="5">
        <f>2292</f>
      </c>
      <c r="B2299" s="5" t="s">
        <v>2307</v>
      </c>
      <c r="C2299" s="5">
        <v>100.2</v>
      </c>
      <c r="D2299" s="5">
        <v>0.1</v>
      </c>
      <c r="E2299" s="5">
        <v>100.3</v>
      </c>
      <c r="F2299" s="5">
        <v>199.9</v>
      </c>
      <c r="G2299" s="5">
        <v>99.7</v>
      </c>
      <c r="H2299" s="5">
        <v>99.5</v>
      </c>
      <c r="I2299" s="5">
        <v>0</v>
      </c>
      <c r="J2299" s="5">
        <v>0</v>
      </c>
      <c r="K2299" s="5">
        <v>0</v>
      </c>
    </row>
    <row r="2300" spans="1:11" x14ac:dyDescent="0.25">
      <c r="A2300" s="5">
        <f>2293</f>
      </c>
      <c r="B2300" s="5" t="s">
        <v>2308</v>
      </c>
      <c r="C2300" s="5">
        <v>100.2</v>
      </c>
      <c r="D2300" s="5">
        <v>0.1</v>
      </c>
      <c r="E2300" s="5">
        <v>100.3</v>
      </c>
      <c r="F2300" s="5">
        <v>199.9</v>
      </c>
      <c r="G2300" s="5">
        <v>99.7</v>
      </c>
      <c r="H2300" s="5">
        <v>99.5</v>
      </c>
      <c r="I2300" s="5">
        <v>0</v>
      </c>
      <c r="J2300" s="5">
        <v>0</v>
      </c>
      <c r="K2300" s="5">
        <v>0</v>
      </c>
    </row>
    <row r="2301" spans="1:11" x14ac:dyDescent="0.25">
      <c r="A2301" s="5">
        <f>2294</f>
      </c>
      <c r="B2301" s="5" t="s">
        <v>2309</v>
      </c>
      <c r="C2301" s="5">
        <v>100.8</v>
      </c>
      <c r="D2301" s="5">
        <v>0.1</v>
      </c>
      <c r="E2301" s="5">
        <v>101</v>
      </c>
      <c r="F2301" s="5">
        <v>201.5</v>
      </c>
      <c r="G2301" s="5">
        <v>100.5</v>
      </c>
      <c r="H2301" s="5">
        <v>100.3</v>
      </c>
      <c r="I2301" s="5">
        <v>0</v>
      </c>
      <c r="J2301" s="5">
        <v>0</v>
      </c>
      <c r="K2301" s="5">
        <v>0</v>
      </c>
    </row>
    <row r="2302" spans="1:11" x14ac:dyDescent="0.25">
      <c r="A2302" s="5">
        <f>2295</f>
      </c>
      <c r="B2302" s="5" t="s">
        <v>2310</v>
      </c>
      <c r="C2302" s="5">
        <v>100.8</v>
      </c>
      <c r="D2302" s="5">
        <v>0.1</v>
      </c>
      <c r="E2302" s="5">
        <v>101</v>
      </c>
      <c r="F2302" s="5">
        <v>201.5</v>
      </c>
      <c r="G2302" s="5">
        <v>100.5</v>
      </c>
      <c r="H2302" s="5">
        <v>100.3</v>
      </c>
      <c r="I2302" s="5">
        <v>0</v>
      </c>
      <c r="J2302" s="5">
        <v>0</v>
      </c>
      <c r="K2302" s="5">
        <v>0</v>
      </c>
    </row>
    <row r="2303" spans="1:11" x14ac:dyDescent="0.25">
      <c r="A2303" s="5">
        <f>2296</f>
      </c>
      <c r="B2303" s="5" t="s">
        <v>2311</v>
      </c>
      <c r="C2303" s="5">
        <v>100.9</v>
      </c>
      <c r="D2303" s="5">
        <v>0.1</v>
      </c>
      <c r="E2303" s="5">
        <v>101.1</v>
      </c>
      <c r="F2303" s="5">
        <v>201.2</v>
      </c>
      <c r="G2303" s="5">
        <v>100.4</v>
      </c>
      <c r="H2303" s="5">
        <v>100.2</v>
      </c>
      <c r="I2303" s="5">
        <v>0</v>
      </c>
      <c r="J2303" s="5">
        <v>0</v>
      </c>
      <c r="K2303" s="5">
        <v>0</v>
      </c>
    </row>
    <row r="2304" spans="1:11" x14ac:dyDescent="0.25">
      <c r="A2304" s="5">
        <f>2297</f>
      </c>
      <c r="B2304" s="5" t="s">
        <v>2312</v>
      </c>
      <c r="C2304" s="5">
        <v>100.9</v>
      </c>
      <c r="D2304" s="5">
        <v>0.1</v>
      </c>
      <c r="E2304" s="5">
        <v>101.1</v>
      </c>
      <c r="F2304" s="5">
        <v>201.2</v>
      </c>
      <c r="G2304" s="5">
        <v>100.4</v>
      </c>
      <c r="H2304" s="5">
        <v>100.2</v>
      </c>
      <c r="I2304" s="5">
        <v>0</v>
      </c>
      <c r="J2304" s="5">
        <v>0</v>
      </c>
      <c r="K2304" s="5">
        <v>0</v>
      </c>
    </row>
    <row r="2305" spans="1:11" x14ac:dyDescent="0.25">
      <c r="A2305" s="5">
        <f>2298</f>
      </c>
      <c r="B2305" s="5" t="s">
        <v>2313</v>
      </c>
      <c r="C2305" s="5">
        <v>101.5</v>
      </c>
      <c r="D2305" s="5">
        <v>0.1</v>
      </c>
      <c r="E2305" s="5">
        <v>101.7</v>
      </c>
      <c r="F2305" s="5">
        <v>201.5</v>
      </c>
      <c r="G2305" s="5">
        <v>100.5</v>
      </c>
      <c r="H2305" s="5">
        <v>100.4</v>
      </c>
      <c r="I2305" s="5">
        <v>0</v>
      </c>
      <c r="J2305" s="5">
        <v>0</v>
      </c>
      <c r="K2305" s="5">
        <v>0</v>
      </c>
    </row>
    <row r="2306" spans="1:11" x14ac:dyDescent="0.25">
      <c r="A2306" s="5">
        <f>2299</f>
      </c>
      <c r="B2306" s="5" t="s">
        <v>2314</v>
      </c>
      <c r="C2306" s="5">
        <v>101.5</v>
      </c>
      <c r="D2306" s="5">
        <v>0.1</v>
      </c>
      <c r="E2306" s="5">
        <v>101.7</v>
      </c>
      <c r="F2306" s="5">
        <v>201.5</v>
      </c>
      <c r="G2306" s="5">
        <v>100.5</v>
      </c>
      <c r="H2306" s="5">
        <v>100.4</v>
      </c>
      <c r="I2306" s="5">
        <v>0</v>
      </c>
      <c r="J2306" s="5">
        <v>0</v>
      </c>
      <c r="K2306" s="5">
        <v>0</v>
      </c>
    </row>
    <row r="2307" spans="1:11" x14ac:dyDescent="0.25">
      <c r="A2307" s="5">
        <f>2300</f>
      </c>
      <c r="B2307" s="5" t="s">
        <v>2315</v>
      </c>
      <c r="C2307" s="5">
        <v>101.7</v>
      </c>
      <c r="D2307" s="5">
        <v>0.1</v>
      </c>
      <c r="E2307" s="5">
        <v>101.8</v>
      </c>
      <c r="F2307" s="5">
        <v>203.1</v>
      </c>
      <c r="G2307" s="5">
        <v>101.3</v>
      </c>
      <c r="H2307" s="5">
        <v>101.1</v>
      </c>
      <c r="I2307" s="5">
        <v>0</v>
      </c>
      <c r="J2307" s="5">
        <v>0</v>
      </c>
      <c r="K2307" s="5">
        <v>0</v>
      </c>
    </row>
    <row r="2308" spans="1:11" x14ac:dyDescent="0.25">
      <c r="A2308" s="5">
        <f>2301</f>
      </c>
      <c r="B2308" s="5" t="s">
        <v>2316</v>
      </c>
      <c r="C2308" s="5">
        <v>101.7</v>
      </c>
      <c r="D2308" s="5">
        <v>0.1</v>
      </c>
      <c r="E2308" s="5">
        <v>101.8</v>
      </c>
      <c r="F2308" s="5">
        <v>203.1</v>
      </c>
      <c r="G2308" s="5">
        <v>101.3</v>
      </c>
      <c r="H2308" s="5">
        <v>101.1</v>
      </c>
      <c r="I2308" s="5">
        <v>0</v>
      </c>
      <c r="J2308" s="5">
        <v>0</v>
      </c>
      <c r="K2308" s="5">
        <v>0</v>
      </c>
    </row>
    <row r="2309" spans="1:11" x14ac:dyDescent="0.25">
      <c r="A2309" s="5">
        <f>2302</f>
      </c>
      <c r="B2309" s="5" t="s">
        <v>2317</v>
      </c>
      <c r="C2309" s="5">
        <v>101.7</v>
      </c>
      <c r="D2309" s="5">
        <v>0.1</v>
      </c>
      <c r="E2309" s="5">
        <v>101.8</v>
      </c>
      <c r="F2309" s="5">
        <v>203.1</v>
      </c>
      <c r="G2309" s="5">
        <v>101.3</v>
      </c>
      <c r="H2309" s="5">
        <v>101.1</v>
      </c>
      <c r="I2309" s="5">
        <v>0</v>
      </c>
      <c r="J2309" s="5">
        <v>0</v>
      </c>
      <c r="K2309" s="5">
        <v>0</v>
      </c>
    </row>
    <row r="2310" spans="1:11" x14ac:dyDescent="0.25">
      <c r="A2310" s="5">
        <f>2303</f>
      </c>
      <c r="B2310" s="5" t="s">
        <v>2318</v>
      </c>
      <c r="C2310" s="5">
        <v>101.7</v>
      </c>
      <c r="D2310" s="5">
        <v>0.1</v>
      </c>
      <c r="E2310" s="5">
        <v>101.8</v>
      </c>
      <c r="F2310" s="5">
        <v>203.1</v>
      </c>
      <c r="G2310" s="5">
        <v>101.3</v>
      </c>
      <c r="H2310" s="5">
        <v>101.1</v>
      </c>
      <c r="I2310" s="5">
        <v>0</v>
      </c>
      <c r="J2310" s="5">
        <v>0</v>
      </c>
      <c r="K2310" s="5">
        <v>0</v>
      </c>
    </row>
    <row r="2311" spans="1:11" x14ac:dyDescent="0.25">
      <c r="A2311" s="5">
        <f>2304</f>
      </c>
      <c r="B2311" s="5" t="s">
        <v>2319</v>
      </c>
      <c r="C2311" s="5">
        <v>101.9</v>
      </c>
      <c r="D2311" s="5">
        <v>0.1</v>
      </c>
      <c r="E2311" s="5">
        <v>102</v>
      </c>
      <c r="F2311" s="5">
        <v>203</v>
      </c>
      <c r="G2311" s="5">
        <v>101.3</v>
      </c>
      <c r="H2311" s="5">
        <v>101.2</v>
      </c>
      <c r="I2311" s="5">
        <v>0</v>
      </c>
      <c r="J2311" s="5">
        <v>0</v>
      </c>
      <c r="K2311" s="5">
        <v>0</v>
      </c>
    </row>
    <row r="2312" spans="1:11" x14ac:dyDescent="0.25">
      <c r="A2312" s="5">
        <f>2305</f>
      </c>
      <c r="B2312" s="5" t="s">
        <v>2320</v>
      </c>
      <c r="C2312" s="5">
        <v>101.9</v>
      </c>
      <c r="D2312" s="5">
        <v>0.1</v>
      </c>
      <c r="E2312" s="5">
        <v>102</v>
      </c>
      <c r="F2312" s="5">
        <v>203</v>
      </c>
      <c r="G2312" s="5">
        <v>101.3</v>
      </c>
      <c r="H2312" s="5">
        <v>101.2</v>
      </c>
      <c r="I2312" s="5">
        <v>0</v>
      </c>
      <c r="J2312" s="5">
        <v>0</v>
      </c>
      <c r="K2312" s="5">
        <v>0</v>
      </c>
    </row>
    <row r="2313" spans="1:11" x14ac:dyDescent="0.25">
      <c r="A2313" s="5">
        <f>2306</f>
      </c>
      <c r="B2313" s="5" t="s">
        <v>2321</v>
      </c>
      <c r="C2313" s="5">
        <v>101.7</v>
      </c>
      <c r="D2313" s="5">
        <v>0.1</v>
      </c>
      <c r="E2313" s="5">
        <v>101.8</v>
      </c>
      <c r="F2313" s="5">
        <v>202.4</v>
      </c>
      <c r="G2313" s="5">
        <v>101</v>
      </c>
      <c r="H2313" s="5">
        <v>100.9</v>
      </c>
      <c r="I2313" s="5">
        <v>0</v>
      </c>
      <c r="J2313" s="5">
        <v>0</v>
      </c>
      <c r="K2313" s="5">
        <v>0</v>
      </c>
    </row>
    <row r="2314" spans="1:11" x14ac:dyDescent="0.25">
      <c r="A2314" s="5">
        <f>2307</f>
      </c>
      <c r="B2314" s="5" t="s">
        <v>2322</v>
      </c>
      <c r="C2314" s="5">
        <v>101.7</v>
      </c>
      <c r="D2314" s="5">
        <v>0.1</v>
      </c>
      <c r="E2314" s="5">
        <v>101.8</v>
      </c>
      <c r="F2314" s="5">
        <v>202.4</v>
      </c>
      <c r="G2314" s="5">
        <v>101</v>
      </c>
      <c r="H2314" s="5">
        <v>100.9</v>
      </c>
      <c r="I2314" s="5">
        <v>0</v>
      </c>
      <c r="J2314" s="5">
        <v>0</v>
      </c>
      <c r="K2314" s="5">
        <v>0</v>
      </c>
    </row>
    <row r="2315" spans="1:11" x14ac:dyDescent="0.25">
      <c r="A2315" s="5">
        <f>2308</f>
      </c>
      <c r="B2315" s="5" t="s">
        <v>2323</v>
      </c>
      <c r="C2315" s="5">
        <v>101.6</v>
      </c>
      <c r="D2315" s="5">
        <v>0.1</v>
      </c>
      <c r="E2315" s="5">
        <v>101.8</v>
      </c>
      <c r="F2315" s="5">
        <v>202.9</v>
      </c>
      <c r="G2315" s="5">
        <v>101.2</v>
      </c>
      <c r="H2315" s="5">
        <v>101.1</v>
      </c>
      <c r="I2315" s="5">
        <v>0</v>
      </c>
      <c r="J2315" s="5">
        <v>0</v>
      </c>
      <c r="K2315" s="5">
        <v>0</v>
      </c>
    </row>
    <row r="2316" spans="1:11" x14ac:dyDescent="0.25">
      <c r="A2316" s="5">
        <f>2309</f>
      </c>
      <c r="B2316" s="5" t="s">
        <v>2324</v>
      </c>
      <c r="C2316" s="5">
        <v>101.6</v>
      </c>
      <c r="D2316" s="5">
        <v>0.1</v>
      </c>
      <c r="E2316" s="5">
        <v>101.8</v>
      </c>
      <c r="F2316" s="5">
        <v>202.9</v>
      </c>
      <c r="G2316" s="5">
        <v>101.2</v>
      </c>
      <c r="H2316" s="5">
        <v>101.1</v>
      </c>
      <c r="I2316" s="5">
        <v>0</v>
      </c>
      <c r="J2316" s="5">
        <v>0</v>
      </c>
      <c r="K2316" s="5">
        <v>0</v>
      </c>
    </row>
    <row r="2317" spans="1:11" x14ac:dyDescent="0.25">
      <c r="A2317" s="5">
        <f>2310</f>
      </c>
      <c r="B2317" s="5" t="s">
        <v>2325</v>
      </c>
      <c r="C2317" s="5">
        <v>101.1</v>
      </c>
      <c r="D2317" s="5">
        <v>0.1</v>
      </c>
      <c r="E2317" s="5">
        <v>101.3</v>
      </c>
      <c r="F2317" s="5">
        <v>202</v>
      </c>
      <c r="G2317" s="5">
        <v>101.2</v>
      </c>
      <c r="H2317" s="5">
        <v>101.1</v>
      </c>
      <c r="I2317" s="5">
        <v>0</v>
      </c>
      <c r="J2317" s="5">
        <v>0</v>
      </c>
      <c r="K2317" s="5">
        <v>0</v>
      </c>
    </row>
    <row r="2318" spans="1:11" x14ac:dyDescent="0.25">
      <c r="A2318" s="5">
        <f>2311</f>
      </c>
      <c r="B2318" s="5" t="s">
        <v>2326</v>
      </c>
      <c r="C2318" s="5">
        <v>101.1</v>
      </c>
      <c r="D2318" s="5">
        <v>0.1</v>
      </c>
      <c r="E2318" s="5">
        <v>101.3</v>
      </c>
      <c r="F2318" s="5">
        <v>202</v>
      </c>
      <c r="G2318" s="5">
        <v>100.8</v>
      </c>
      <c r="H2318" s="5">
        <v>100.6</v>
      </c>
      <c r="I2318" s="5">
        <v>0</v>
      </c>
      <c r="J2318" s="5">
        <v>0</v>
      </c>
      <c r="K2318" s="5">
        <v>0</v>
      </c>
    </row>
    <row r="2319" spans="1:11" x14ac:dyDescent="0.25">
      <c r="A2319" s="5">
        <f>2312</f>
      </c>
      <c r="B2319" s="5" t="s">
        <v>2327</v>
      </c>
      <c r="C2319" s="5">
        <v>101.1</v>
      </c>
      <c r="D2319" s="5">
        <v>0.1</v>
      </c>
      <c r="E2319" s="5">
        <v>101.3</v>
      </c>
      <c r="F2319" s="5">
        <v>202</v>
      </c>
      <c r="G2319" s="5">
        <v>100.8</v>
      </c>
      <c r="H2319" s="5">
        <v>100.6</v>
      </c>
      <c r="I2319" s="5">
        <v>0</v>
      </c>
      <c r="J2319" s="5">
        <v>0</v>
      </c>
      <c r="K2319" s="5">
        <v>0</v>
      </c>
    </row>
    <row r="2320" spans="1:11" x14ac:dyDescent="0.25">
      <c r="A2320" s="5">
        <f>2313</f>
      </c>
      <c r="B2320" s="5" t="s">
        <v>2328</v>
      </c>
      <c r="C2320" s="5">
        <v>101.1</v>
      </c>
      <c r="D2320" s="5">
        <v>0.1</v>
      </c>
      <c r="E2320" s="5">
        <v>101.3</v>
      </c>
      <c r="F2320" s="5">
        <v>202</v>
      </c>
      <c r="G2320" s="5">
        <v>100.8</v>
      </c>
      <c r="H2320" s="5">
        <v>100.6</v>
      </c>
      <c r="I2320" s="5">
        <v>0</v>
      </c>
      <c r="J2320" s="5">
        <v>0</v>
      </c>
      <c r="K2320" s="5">
        <v>0</v>
      </c>
    </row>
    <row r="2321" spans="1:11" x14ac:dyDescent="0.25">
      <c r="A2321" s="5">
        <f>2314</f>
      </c>
      <c r="B2321" s="5" t="s">
        <v>2329</v>
      </c>
      <c r="C2321" s="5">
        <v>101</v>
      </c>
      <c r="D2321" s="5">
        <v>0.1</v>
      </c>
      <c r="E2321" s="5">
        <v>101.1</v>
      </c>
      <c r="F2321" s="5">
        <v>201.1</v>
      </c>
      <c r="G2321" s="5">
        <v>100.3</v>
      </c>
      <c r="H2321" s="5">
        <v>100.1</v>
      </c>
      <c r="I2321" s="5">
        <v>0</v>
      </c>
      <c r="J2321" s="5">
        <v>0</v>
      </c>
      <c r="K2321" s="5">
        <v>0</v>
      </c>
    </row>
    <row r="2322" spans="1:11" x14ac:dyDescent="0.25">
      <c r="A2322" s="5">
        <f>2315</f>
      </c>
      <c r="B2322" s="5" t="s">
        <v>2330</v>
      </c>
      <c r="C2322" s="5">
        <v>101</v>
      </c>
      <c r="D2322" s="5">
        <v>0.1</v>
      </c>
      <c r="E2322" s="5">
        <v>101.1</v>
      </c>
      <c r="F2322" s="5">
        <v>201.1</v>
      </c>
      <c r="G2322" s="5">
        <v>100.3</v>
      </c>
      <c r="H2322" s="5">
        <v>100.1</v>
      </c>
      <c r="I2322" s="5">
        <v>0</v>
      </c>
      <c r="J2322" s="5">
        <v>0</v>
      </c>
      <c r="K2322" s="5">
        <v>0</v>
      </c>
    </row>
    <row r="2323" spans="1:11" x14ac:dyDescent="0.25">
      <c r="A2323" s="5">
        <f>2316</f>
      </c>
      <c r="B2323" s="5" t="s">
        <v>2331</v>
      </c>
      <c r="C2323" s="5">
        <v>100.4</v>
      </c>
      <c r="D2323" s="5">
        <v>0.1</v>
      </c>
      <c r="E2323" s="5">
        <v>100.5</v>
      </c>
      <c r="F2323" s="5">
        <v>200.5</v>
      </c>
      <c r="G2323" s="5">
        <v>99.8</v>
      </c>
      <c r="H2323" s="5">
        <v>99.7</v>
      </c>
      <c r="I2323" s="5">
        <v>0</v>
      </c>
      <c r="J2323" s="5">
        <v>0</v>
      </c>
      <c r="K2323" s="5">
        <v>0</v>
      </c>
    </row>
    <row r="2324" spans="1:11" x14ac:dyDescent="0.25">
      <c r="A2324" s="5">
        <f>2317</f>
      </c>
      <c r="B2324" s="5" t="s">
        <v>2332</v>
      </c>
      <c r="C2324" s="5">
        <v>100.4</v>
      </c>
      <c r="D2324" s="5">
        <v>0.1</v>
      </c>
      <c r="E2324" s="5">
        <v>100.5</v>
      </c>
      <c r="F2324" s="5">
        <v>200.5</v>
      </c>
      <c r="G2324" s="5">
        <v>99.8</v>
      </c>
      <c r="H2324" s="5">
        <v>99.7</v>
      </c>
      <c r="I2324" s="5">
        <v>0</v>
      </c>
      <c r="J2324" s="5">
        <v>0</v>
      </c>
      <c r="K2324" s="5">
        <v>0</v>
      </c>
    </row>
    <row r="2325" spans="1:11" x14ac:dyDescent="0.25">
      <c r="A2325" s="5">
        <f>2318</f>
      </c>
      <c r="B2325" s="5" t="s">
        <v>2333</v>
      </c>
      <c r="C2325" s="5">
        <v>101</v>
      </c>
      <c r="D2325" s="5">
        <v>0.1</v>
      </c>
      <c r="E2325" s="5">
        <v>101.1</v>
      </c>
      <c r="F2325" s="5">
        <v>202.3</v>
      </c>
      <c r="G2325" s="5">
        <v>100.6</v>
      </c>
      <c r="H2325" s="5">
        <v>100.4</v>
      </c>
      <c r="I2325" s="5">
        <v>0</v>
      </c>
      <c r="J2325" s="5">
        <v>0</v>
      </c>
      <c r="K2325" s="5">
        <v>0</v>
      </c>
    </row>
    <row r="2326" spans="1:11" x14ac:dyDescent="0.25">
      <c r="A2326" s="5">
        <f>2319</f>
      </c>
      <c r="B2326" s="5" t="s">
        <v>2334</v>
      </c>
      <c r="C2326" s="5">
        <v>101</v>
      </c>
      <c r="D2326" s="5">
        <v>0.1</v>
      </c>
      <c r="E2326" s="5">
        <v>101.1</v>
      </c>
      <c r="F2326" s="5">
        <v>202.3</v>
      </c>
      <c r="G2326" s="5">
        <v>100.6</v>
      </c>
      <c r="H2326" s="5">
        <v>100.4</v>
      </c>
      <c r="I2326" s="5">
        <v>0</v>
      </c>
      <c r="J2326" s="5">
        <v>0</v>
      </c>
      <c r="K2326" s="5">
        <v>0</v>
      </c>
    </row>
    <row r="2327" spans="1:11" x14ac:dyDescent="0.25">
      <c r="A2327" s="5">
        <f>2320</f>
      </c>
      <c r="B2327" s="5" t="s">
        <v>2335</v>
      </c>
      <c r="C2327" s="5">
        <v>101.2</v>
      </c>
      <c r="D2327" s="5">
        <v>0.1</v>
      </c>
      <c r="E2327" s="5">
        <v>101.4</v>
      </c>
      <c r="F2327" s="5">
        <v>202.7</v>
      </c>
      <c r="G2327" s="5">
        <v>101.1</v>
      </c>
      <c r="H2327" s="5">
        <v>100.9</v>
      </c>
      <c r="I2327" s="5">
        <v>0</v>
      </c>
      <c r="J2327" s="5">
        <v>0</v>
      </c>
      <c r="K2327" s="5">
        <v>0</v>
      </c>
    </row>
    <row r="2328" spans="1:11" x14ac:dyDescent="0.25">
      <c r="A2328" s="5">
        <f>2321</f>
      </c>
      <c r="B2328" s="5" t="s">
        <v>2336</v>
      </c>
      <c r="C2328" s="5">
        <v>101.2</v>
      </c>
      <c r="D2328" s="5">
        <v>0.1</v>
      </c>
      <c r="E2328" s="5">
        <v>101.4</v>
      </c>
      <c r="F2328" s="5">
        <v>202.7</v>
      </c>
      <c r="G2328" s="5">
        <v>101.1</v>
      </c>
      <c r="H2328" s="5">
        <v>100.9</v>
      </c>
      <c r="I2328" s="5">
        <v>0</v>
      </c>
      <c r="J2328" s="5">
        <v>0</v>
      </c>
      <c r="K2328" s="5">
        <v>0</v>
      </c>
    </row>
    <row r="2329" spans="1:11" x14ac:dyDescent="0.25">
      <c r="A2329" s="5">
        <f>2322</f>
      </c>
      <c r="B2329" s="5" t="s">
        <v>2337</v>
      </c>
      <c r="C2329" s="5">
        <v>101.2</v>
      </c>
      <c r="D2329" s="5">
        <v>0.1</v>
      </c>
      <c r="E2329" s="5">
        <v>101.4</v>
      </c>
      <c r="F2329" s="5">
        <v>202.7</v>
      </c>
      <c r="G2329" s="5">
        <v>101.1</v>
      </c>
      <c r="H2329" s="5">
        <v>100.9</v>
      </c>
      <c r="I2329" s="5">
        <v>0</v>
      </c>
      <c r="J2329" s="5">
        <v>0</v>
      </c>
      <c r="K2329" s="5">
        <v>0</v>
      </c>
    </row>
    <row r="2330" spans="1:11" x14ac:dyDescent="0.25">
      <c r="A2330" s="5">
        <f>2323</f>
      </c>
      <c r="B2330" s="5" t="s">
        <v>2338</v>
      </c>
      <c r="C2330" s="5">
        <v>101.2</v>
      </c>
      <c r="D2330" s="5">
        <v>0.1</v>
      </c>
      <c r="E2330" s="5">
        <v>101.4</v>
      </c>
      <c r="F2330" s="5">
        <v>202.7</v>
      </c>
      <c r="G2330" s="5">
        <v>101.1</v>
      </c>
      <c r="H2330" s="5">
        <v>100.9</v>
      </c>
      <c r="I2330" s="5">
        <v>0</v>
      </c>
      <c r="J2330" s="5">
        <v>0</v>
      </c>
      <c r="K2330" s="5">
        <v>0</v>
      </c>
    </row>
    <row r="2331" spans="1:11" x14ac:dyDescent="0.25">
      <c r="A2331" s="5">
        <f>2324</f>
      </c>
      <c r="B2331" s="5" t="s">
        <v>2339</v>
      </c>
      <c r="C2331" s="5">
        <v>101.3</v>
      </c>
      <c r="D2331" s="5">
        <v>0.1</v>
      </c>
      <c r="E2331" s="5">
        <v>101.5</v>
      </c>
      <c r="F2331" s="5">
        <v>202.5</v>
      </c>
      <c r="G2331" s="5">
        <v>101</v>
      </c>
      <c r="H2331" s="5">
        <v>100.9</v>
      </c>
      <c r="I2331" s="5">
        <v>0</v>
      </c>
      <c r="J2331" s="5">
        <v>0</v>
      </c>
      <c r="K2331" s="5">
        <v>0</v>
      </c>
    </row>
    <row r="2332" spans="1:11" x14ac:dyDescent="0.25">
      <c r="A2332" s="5">
        <f>2325</f>
      </c>
      <c r="B2332" s="5" t="s">
        <v>2340</v>
      </c>
      <c r="C2332" s="5">
        <v>101.3</v>
      </c>
      <c r="D2332" s="5">
        <v>0.1</v>
      </c>
      <c r="E2332" s="5">
        <v>101.5</v>
      </c>
      <c r="F2332" s="5">
        <v>202.5</v>
      </c>
      <c r="G2332" s="5">
        <v>101</v>
      </c>
      <c r="H2332" s="5">
        <v>100.9</v>
      </c>
      <c r="I2332" s="5">
        <v>0</v>
      </c>
      <c r="J2332" s="5">
        <v>0</v>
      </c>
      <c r="K2332" s="5">
        <v>0</v>
      </c>
    </row>
    <row r="2333" spans="1:11" x14ac:dyDescent="0.25">
      <c r="A2333" s="5">
        <f>2326</f>
      </c>
      <c r="B2333" s="5" t="s">
        <v>2341</v>
      </c>
      <c r="C2333" s="5">
        <v>101.6</v>
      </c>
      <c r="D2333" s="5">
        <v>0.1</v>
      </c>
      <c r="E2333" s="5">
        <v>101.8</v>
      </c>
      <c r="F2333" s="5">
        <v>203.2</v>
      </c>
      <c r="G2333" s="5">
        <v>101.4</v>
      </c>
      <c r="H2333" s="5">
        <v>101.2</v>
      </c>
      <c r="I2333" s="5">
        <v>0</v>
      </c>
      <c r="J2333" s="5">
        <v>0</v>
      </c>
      <c r="K2333" s="5">
        <v>0</v>
      </c>
    </row>
    <row r="2334" spans="1:11" x14ac:dyDescent="0.25">
      <c r="A2334" s="5">
        <f>2327</f>
      </c>
      <c r="B2334" s="5" t="s">
        <v>2342</v>
      </c>
      <c r="C2334" s="5">
        <v>101.6</v>
      </c>
      <c r="D2334" s="5">
        <v>0.1</v>
      </c>
      <c r="E2334" s="5">
        <v>101.8</v>
      </c>
      <c r="F2334" s="5">
        <v>203.2</v>
      </c>
      <c r="G2334" s="5">
        <v>101.4</v>
      </c>
      <c r="H2334" s="5">
        <v>101.2</v>
      </c>
      <c r="I2334" s="5">
        <v>0</v>
      </c>
      <c r="J2334" s="5">
        <v>0</v>
      </c>
      <c r="K2334" s="5">
        <v>0</v>
      </c>
    </row>
    <row r="2335" spans="1:11" x14ac:dyDescent="0.25">
      <c r="A2335" s="5">
        <f>2328</f>
      </c>
      <c r="B2335" s="5" t="s">
        <v>2343</v>
      </c>
      <c r="C2335" s="5">
        <v>101.6</v>
      </c>
      <c r="D2335" s="5">
        <v>0.1</v>
      </c>
      <c r="E2335" s="5">
        <v>101.8</v>
      </c>
      <c r="F2335" s="5">
        <v>203.2</v>
      </c>
      <c r="G2335" s="5">
        <v>101.4</v>
      </c>
      <c r="H2335" s="5">
        <v>101.2</v>
      </c>
      <c r="I2335" s="5">
        <v>0</v>
      </c>
      <c r="J2335" s="5">
        <v>0</v>
      </c>
      <c r="K2335" s="5">
        <v>0</v>
      </c>
    </row>
    <row r="2336" spans="1:11" x14ac:dyDescent="0.25">
      <c r="A2336" s="5">
        <f>2329</f>
      </c>
      <c r="B2336" s="5" t="s">
        <v>2344</v>
      </c>
      <c r="C2336" s="5">
        <v>101.6</v>
      </c>
      <c r="D2336" s="5">
        <v>0.1</v>
      </c>
      <c r="E2336" s="5">
        <v>101.8</v>
      </c>
      <c r="F2336" s="5">
        <v>203.2</v>
      </c>
      <c r="G2336" s="5">
        <v>101.4</v>
      </c>
      <c r="H2336" s="5">
        <v>101.2</v>
      </c>
      <c r="I2336" s="5">
        <v>0</v>
      </c>
      <c r="J2336" s="5">
        <v>0</v>
      </c>
      <c r="K2336" s="5">
        <v>0</v>
      </c>
    </row>
    <row r="2337" spans="1:11" x14ac:dyDescent="0.25">
      <c r="A2337" s="5">
        <f>2330</f>
      </c>
      <c r="B2337" s="5" t="s">
        <v>2345</v>
      </c>
      <c r="C2337" s="5">
        <v>100.2</v>
      </c>
      <c r="D2337" s="5">
        <v>0.1</v>
      </c>
      <c r="E2337" s="5">
        <v>100.3</v>
      </c>
      <c r="F2337" s="5">
        <v>200</v>
      </c>
      <c r="G2337" s="5">
        <v>99.8</v>
      </c>
      <c r="H2337" s="5">
        <v>99.6</v>
      </c>
      <c r="I2337" s="5">
        <v>0</v>
      </c>
      <c r="J2337" s="5">
        <v>0</v>
      </c>
      <c r="K2337" s="5">
        <v>0</v>
      </c>
    </row>
    <row r="2338" spans="1:11" x14ac:dyDescent="0.25">
      <c r="A2338" s="5">
        <f>2331</f>
      </c>
      <c r="B2338" s="5" t="s">
        <v>2346</v>
      </c>
      <c r="C2338" s="5">
        <v>100.2</v>
      </c>
      <c r="D2338" s="5">
        <v>0.1</v>
      </c>
      <c r="E2338" s="5">
        <v>100.3</v>
      </c>
      <c r="F2338" s="5">
        <v>200</v>
      </c>
      <c r="G2338" s="5">
        <v>99.8</v>
      </c>
      <c r="H2338" s="5">
        <v>99.6</v>
      </c>
      <c r="I2338" s="5">
        <v>0</v>
      </c>
      <c r="J2338" s="5">
        <v>0</v>
      </c>
      <c r="K2338" s="5">
        <v>0</v>
      </c>
    </row>
    <row r="2339" spans="1:11" x14ac:dyDescent="0.25">
      <c r="A2339" s="5">
        <f>2332</f>
      </c>
      <c r="B2339" s="5" t="s">
        <v>2347</v>
      </c>
      <c r="C2339" s="5">
        <v>100.2</v>
      </c>
      <c r="D2339" s="5">
        <v>0.1</v>
      </c>
      <c r="E2339" s="5">
        <v>100.3</v>
      </c>
      <c r="F2339" s="5">
        <v>200</v>
      </c>
      <c r="G2339" s="5">
        <v>99.8</v>
      </c>
      <c r="H2339" s="5">
        <v>99.6</v>
      </c>
      <c r="I2339" s="5">
        <v>0</v>
      </c>
      <c r="J2339" s="5">
        <v>0</v>
      </c>
      <c r="K2339" s="5">
        <v>0</v>
      </c>
    </row>
    <row r="2340" spans="1:11" x14ac:dyDescent="0.25">
      <c r="A2340" s="5">
        <f>2333</f>
      </c>
      <c r="B2340" s="5" t="s">
        <v>2348</v>
      </c>
      <c r="C2340" s="5">
        <v>100.2</v>
      </c>
      <c r="D2340" s="5">
        <v>0.1</v>
      </c>
      <c r="E2340" s="5">
        <v>100.3</v>
      </c>
      <c r="F2340" s="5">
        <v>200</v>
      </c>
      <c r="G2340" s="5">
        <v>99.8</v>
      </c>
      <c r="H2340" s="5">
        <v>99.6</v>
      </c>
      <c r="I2340" s="5">
        <v>0</v>
      </c>
      <c r="J2340" s="5">
        <v>0</v>
      </c>
      <c r="K2340" s="5">
        <v>0</v>
      </c>
    </row>
    <row r="2341" spans="1:11" x14ac:dyDescent="0.25">
      <c r="A2341" s="5">
        <f>2334</f>
      </c>
      <c r="B2341" s="5" t="s">
        <v>2349</v>
      </c>
      <c r="C2341" s="5">
        <v>98.6</v>
      </c>
      <c r="D2341" s="5">
        <v>0.1</v>
      </c>
      <c r="E2341" s="5">
        <v>98.8</v>
      </c>
      <c r="F2341" s="5">
        <v>197.4</v>
      </c>
      <c r="G2341" s="5">
        <v>98.3</v>
      </c>
      <c r="H2341" s="5">
        <v>98.1</v>
      </c>
      <c r="I2341" s="5">
        <v>0</v>
      </c>
      <c r="J2341" s="5">
        <v>0</v>
      </c>
      <c r="K2341" s="5">
        <v>0</v>
      </c>
    </row>
    <row r="2342" spans="1:11" x14ac:dyDescent="0.25">
      <c r="A2342" s="5">
        <f>2335</f>
      </c>
      <c r="B2342" s="5" t="s">
        <v>2350</v>
      </c>
      <c r="C2342" s="5">
        <v>98.6</v>
      </c>
      <c r="D2342" s="5">
        <v>0.1</v>
      </c>
      <c r="E2342" s="5">
        <v>98.8</v>
      </c>
      <c r="F2342" s="5">
        <v>197.4</v>
      </c>
      <c r="G2342" s="5">
        <v>98.3</v>
      </c>
      <c r="H2342" s="5">
        <v>98.1</v>
      </c>
      <c r="I2342" s="5">
        <v>0</v>
      </c>
      <c r="J2342" s="5">
        <v>0</v>
      </c>
      <c r="K2342" s="5">
        <v>0</v>
      </c>
    </row>
    <row r="2343" spans="1:11" x14ac:dyDescent="0.25">
      <c r="A2343" s="5">
        <f>2336</f>
      </c>
      <c r="B2343" s="5" t="s">
        <v>2351</v>
      </c>
      <c r="C2343" s="5">
        <v>100.5</v>
      </c>
      <c r="D2343" s="5">
        <v>0.1</v>
      </c>
      <c r="E2343" s="5">
        <v>100.6</v>
      </c>
      <c r="F2343" s="5">
        <v>200.8</v>
      </c>
      <c r="G2343" s="5">
        <v>100.2</v>
      </c>
      <c r="H2343" s="5">
        <v>100.1</v>
      </c>
      <c r="I2343" s="5">
        <v>0</v>
      </c>
      <c r="J2343" s="5">
        <v>0</v>
      </c>
      <c r="K2343" s="5">
        <v>0</v>
      </c>
    </row>
    <row r="2344" spans="1:11" x14ac:dyDescent="0.25">
      <c r="A2344" s="5">
        <f>2337</f>
      </c>
      <c r="B2344" s="5" t="s">
        <v>2352</v>
      </c>
      <c r="C2344" s="5">
        <v>100.5</v>
      </c>
      <c r="D2344" s="5">
        <v>0.1</v>
      </c>
      <c r="E2344" s="5">
        <v>100.6</v>
      </c>
      <c r="F2344" s="5">
        <v>200.8</v>
      </c>
      <c r="G2344" s="5">
        <v>100.2</v>
      </c>
      <c r="H2344" s="5">
        <v>100.1</v>
      </c>
      <c r="I2344" s="5">
        <v>0</v>
      </c>
      <c r="J2344" s="5">
        <v>0</v>
      </c>
      <c r="K2344" s="5">
        <v>0</v>
      </c>
    </row>
    <row r="2345" spans="1:11" x14ac:dyDescent="0.25">
      <c r="A2345" s="5">
        <f>2338</f>
      </c>
      <c r="B2345" s="5" t="s">
        <v>2353</v>
      </c>
      <c r="C2345" s="5">
        <v>99.5</v>
      </c>
      <c r="D2345" s="5">
        <v>0.1</v>
      </c>
      <c r="E2345" s="5">
        <v>99.6</v>
      </c>
      <c r="F2345" s="5">
        <v>198.2</v>
      </c>
      <c r="G2345" s="5">
        <v>98.9</v>
      </c>
      <c r="H2345" s="5">
        <v>98.7</v>
      </c>
      <c r="I2345" s="5">
        <v>0</v>
      </c>
      <c r="J2345" s="5">
        <v>0</v>
      </c>
      <c r="K2345" s="5">
        <v>0</v>
      </c>
    </row>
    <row r="2346" spans="1:11" x14ac:dyDescent="0.25">
      <c r="A2346" s="5">
        <f>2339</f>
      </c>
      <c r="B2346" s="5" t="s">
        <v>2354</v>
      </c>
      <c r="C2346" s="5">
        <v>99.5</v>
      </c>
      <c r="D2346" s="5">
        <v>0.1</v>
      </c>
      <c r="E2346" s="5">
        <v>99.6</v>
      </c>
      <c r="F2346" s="5">
        <v>198.2</v>
      </c>
      <c r="G2346" s="5">
        <v>98.9</v>
      </c>
      <c r="H2346" s="5">
        <v>98.7</v>
      </c>
      <c r="I2346" s="5">
        <v>0</v>
      </c>
      <c r="J2346" s="5">
        <v>0</v>
      </c>
      <c r="K2346" s="5">
        <v>0</v>
      </c>
    </row>
    <row r="2347" spans="1:11" x14ac:dyDescent="0.25">
      <c r="A2347" s="5">
        <f>2340</f>
      </c>
      <c r="B2347" s="5" t="s">
        <v>2355</v>
      </c>
      <c r="C2347" s="5">
        <v>99.2</v>
      </c>
      <c r="D2347" s="5">
        <v>0.1</v>
      </c>
      <c r="E2347" s="5">
        <v>99.4</v>
      </c>
      <c r="F2347" s="5">
        <v>198.9</v>
      </c>
      <c r="G2347" s="5">
        <v>99.3</v>
      </c>
      <c r="H2347" s="5">
        <v>99.2</v>
      </c>
      <c r="I2347" s="5">
        <v>0</v>
      </c>
      <c r="J2347" s="5">
        <v>0</v>
      </c>
      <c r="K2347" s="5">
        <v>0</v>
      </c>
    </row>
    <row r="2348" spans="1:11" x14ac:dyDescent="0.25">
      <c r="A2348" s="5">
        <f>2341</f>
      </c>
      <c r="B2348" s="5" t="s">
        <v>2356</v>
      </c>
      <c r="C2348" s="5">
        <v>99.2</v>
      </c>
      <c r="D2348" s="5">
        <v>0.1</v>
      </c>
      <c r="E2348" s="5">
        <v>99.4</v>
      </c>
      <c r="F2348" s="5">
        <v>198.9</v>
      </c>
      <c r="G2348" s="5">
        <v>99.3</v>
      </c>
      <c r="H2348" s="5">
        <v>99.2</v>
      </c>
      <c r="I2348" s="5">
        <v>0</v>
      </c>
      <c r="J2348" s="5">
        <v>0</v>
      </c>
      <c r="K2348" s="5">
        <v>0</v>
      </c>
    </row>
    <row r="2349" spans="1:11" x14ac:dyDescent="0.25">
      <c r="A2349" s="5">
        <f>2342</f>
      </c>
      <c r="B2349" s="5" t="s">
        <v>2357</v>
      </c>
      <c r="C2349" s="5">
        <v>99.2</v>
      </c>
      <c r="D2349" s="5">
        <v>0.1</v>
      </c>
      <c r="E2349" s="5">
        <v>99.4</v>
      </c>
      <c r="F2349" s="5">
        <v>198.9</v>
      </c>
      <c r="G2349" s="5">
        <v>99.3</v>
      </c>
      <c r="H2349" s="5">
        <v>99.2</v>
      </c>
      <c r="I2349" s="5">
        <v>0</v>
      </c>
      <c r="J2349" s="5">
        <v>0</v>
      </c>
      <c r="K2349" s="5">
        <v>0</v>
      </c>
    </row>
    <row r="2350" spans="1:11" x14ac:dyDescent="0.25">
      <c r="A2350" s="5">
        <f>2343</f>
      </c>
      <c r="B2350" s="5" t="s">
        <v>2358</v>
      </c>
      <c r="C2350" s="5">
        <v>99.2</v>
      </c>
      <c r="D2350" s="5">
        <v>0.1</v>
      </c>
      <c r="E2350" s="5">
        <v>99.4</v>
      </c>
      <c r="F2350" s="5">
        <v>198.9</v>
      </c>
      <c r="G2350" s="5">
        <v>99.3</v>
      </c>
      <c r="H2350" s="5">
        <v>99.2</v>
      </c>
      <c r="I2350" s="5">
        <v>0</v>
      </c>
      <c r="J2350" s="5">
        <v>0</v>
      </c>
      <c r="K2350" s="5">
        <v>0</v>
      </c>
    </row>
    <row r="2351" spans="1:11" x14ac:dyDescent="0.25">
      <c r="A2351" s="5">
        <f>2344</f>
      </c>
      <c r="B2351" s="5" t="s">
        <v>2359</v>
      </c>
      <c r="C2351" s="5">
        <v>99.2</v>
      </c>
      <c r="D2351" s="5">
        <v>0.1</v>
      </c>
      <c r="E2351" s="5">
        <v>99.4</v>
      </c>
      <c r="F2351" s="5">
        <v>197.6</v>
      </c>
      <c r="G2351" s="5">
        <v>98.6</v>
      </c>
      <c r="H2351" s="5">
        <v>98.5</v>
      </c>
      <c r="I2351" s="5">
        <v>0</v>
      </c>
      <c r="J2351" s="5">
        <v>0</v>
      </c>
      <c r="K2351" s="5">
        <v>0</v>
      </c>
    </row>
    <row r="2352" spans="1:11" x14ac:dyDescent="0.25">
      <c r="A2352" s="5">
        <f>2345</f>
      </c>
      <c r="B2352" s="5" t="s">
        <v>2360</v>
      </c>
      <c r="C2352" s="5">
        <v>99.2</v>
      </c>
      <c r="D2352" s="5">
        <v>0.1</v>
      </c>
      <c r="E2352" s="5">
        <v>99.4</v>
      </c>
      <c r="F2352" s="5">
        <v>197.6</v>
      </c>
      <c r="G2352" s="5">
        <v>98.6</v>
      </c>
      <c r="H2352" s="5">
        <v>98.5</v>
      </c>
      <c r="I2352" s="5">
        <v>0</v>
      </c>
      <c r="J2352" s="5">
        <v>0</v>
      </c>
      <c r="K2352" s="5">
        <v>0</v>
      </c>
    </row>
    <row r="2353" spans="1:11" x14ac:dyDescent="0.25">
      <c r="A2353" s="5">
        <f>2346</f>
      </c>
      <c r="B2353" s="5" t="s">
        <v>2361</v>
      </c>
      <c r="C2353" s="5">
        <v>102.8</v>
      </c>
      <c r="D2353" s="5">
        <v>0.1</v>
      </c>
      <c r="E2353" s="5">
        <v>103</v>
      </c>
      <c r="F2353" s="5">
        <v>205.2</v>
      </c>
      <c r="G2353" s="5">
        <v>102.4</v>
      </c>
      <c r="H2353" s="5">
        <v>102.3</v>
      </c>
      <c r="I2353" s="5">
        <v>0</v>
      </c>
      <c r="J2353" s="5">
        <v>0</v>
      </c>
      <c r="K2353" s="5">
        <v>0</v>
      </c>
    </row>
    <row r="2354" spans="1:11" x14ac:dyDescent="0.25">
      <c r="A2354" s="5">
        <f>2347</f>
      </c>
      <c r="B2354" s="5" t="s">
        <v>2362</v>
      </c>
      <c r="C2354" s="5">
        <v>102.8</v>
      </c>
      <c r="D2354" s="5">
        <v>0.1</v>
      </c>
      <c r="E2354" s="5">
        <v>103</v>
      </c>
      <c r="F2354" s="5">
        <v>205.2</v>
      </c>
      <c r="G2354" s="5">
        <v>102.4</v>
      </c>
      <c r="H2354" s="5">
        <v>102.3</v>
      </c>
      <c r="I2354" s="5">
        <v>0</v>
      </c>
      <c r="J2354" s="5">
        <v>0</v>
      </c>
      <c r="K2354" s="5">
        <v>0</v>
      </c>
    </row>
    <row r="2355" spans="1:11" x14ac:dyDescent="0.25">
      <c r="A2355" s="5">
        <f>2348</f>
      </c>
      <c r="B2355" s="5" t="s">
        <v>2363</v>
      </c>
      <c r="C2355" s="5">
        <v>103.5</v>
      </c>
      <c r="D2355" s="5">
        <v>0.1</v>
      </c>
      <c r="E2355" s="5">
        <v>103.7</v>
      </c>
      <c r="F2355" s="5">
        <v>206.9</v>
      </c>
      <c r="G2355" s="5">
        <v>103.2</v>
      </c>
      <c r="H2355" s="5">
        <v>103</v>
      </c>
      <c r="I2355" s="5">
        <v>0</v>
      </c>
      <c r="J2355" s="5">
        <v>0</v>
      </c>
      <c r="K2355" s="5">
        <v>0</v>
      </c>
    </row>
    <row r="2356" spans="1:11" x14ac:dyDescent="0.25">
      <c r="A2356" s="5">
        <f>2349</f>
      </c>
      <c r="B2356" s="5" t="s">
        <v>2364</v>
      </c>
      <c r="C2356" s="5">
        <v>103.5</v>
      </c>
      <c r="D2356" s="5">
        <v>0.1</v>
      </c>
      <c r="E2356" s="5">
        <v>103.7</v>
      </c>
      <c r="F2356" s="5">
        <v>206.9</v>
      </c>
      <c r="G2356" s="5">
        <v>103.2</v>
      </c>
      <c r="H2356" s="5">
        <v>103</v>
      </c>
      <c r="I2356" s="5">
        <v>0</v>
      </c>
      <c r="J2356" s="5">
        <v>0</v>
      </c>
      <c r="K2356" s="5">
        <v>0</v>
      </c>
    </row>
    <row r="2357" spans="1:11" x14ac:dyDescent="0.25">
      <c r="A2357" s="5">
        <f>2350</f>
      </c>
      <c r="B2357" s="5" t="s">
        <v>2365</v>
      </c>
      <c r="C2357" s="5">
        <v>103.3</v>
      </c>
      <c r="D2357" s="5">
        <v>0.1</v>
      </c>
      <c r="E2357" s="5">
        <v>103.4</v>
      </c>
      <c r="F2357" s="5">
        <v>206.2</v>
      </c>
      <c r="G2357" s="5">
        <v>102.9</v>
      </c>
      <c r="H2357" s="5">
        <v>102.7</v>
      </c>
      <c r="I2357" s="5">
        <v>0</v>
      </c>
      <c r="J2357" s="5">
        <v>0</v>
      </c>
      <c r="K2357" s="5">
        <v>0</v>
      </c>
    </row>
    <row r="2358" spans="1:11" x14ac:dyDescent="0.25">
      <c r="A2358" s="5">
        <f>2351</f>
      </c>
      <c r="B2358" s="5" t="s">
        <v>2366</v>
      </c>
      <c r="C2358" s="5">
        <v>103.3</v>
      </c>
      <c r="D2358" s="5">
        <v>0.1</v>
      </c>
      <c r="E2358" s="5">
        <v>103.4</v>
      </c>
      <c r="F2358" s="5">
        <v>206.2</v>
      </c>
      <c r="G2358" s="5">
        <v>102.9</v>
      </c>
      <c r="H2358" s="5">
        <v>102.7</v>
      </c>
      <c r="I2358" s="5">
        <v>0</v>
      </c>
      <c r="J2358" s="5">
        <v>0</v>
      </c>
      <c r="K2358" s="5">
        <v>0</v>
      </c>
    </row>
    <row r="2359" spans="1:11" x14ac:dyDescent="0.25">
      <c r="A2359" s="5">
        <f>2352</f>
      </c>
      <c r="B2359" s="5" t="s">
        <v>2367</v>
      </c>
      <c r="C2359" s="5">
        <v>103.3</v>
      </c>
      <c r="D2359" s="5">
        <v>0.1</v>
      </c>
      <c r="E2359" s="5">
        <v>103.4</v>
      </c>
      <c r="F2359" s="5">
        <v>206.2</v>
      </c>
      <c r="G2359" s="5">
        <v>102.9</v>
      </c>
      <c r="H2359" s="5">
        <v>102.7</v>
      </c>
      <c r="I2359" s="5">
        <v>0</v>
      </c>
      <c r="J2359" s="5">
        <v>0</v>
      </c>
      <c r="K2359" s="5">
        <v>0</v>
      </c>
    </row>
    <row r="2360" spans="1:11" x14ac:dyDescent="0.25">
      <c r="A2360" s="5">
        <f>2353</f>
      </c>
      <c r="B2360" s="5" t="s">
        <v>2368</v>
      </c>
      <c r="C2360" s="5">
        <v>103.3</v>
      </c>
      <c r="D2360" s="5">
        <v>0.1</v>
      </c>
      <c r="E2360" s="5">
        <v>103.4</v>
      </c>
      <c r="F2360" s="5">
        <v>206.2</v>
      </c>
      <c r="G2360" s="5">
        <v>102.9</v>
      </c>
      <c r="H2360" s="5">
        <v>102.7</v>
      </c>
      <c r="I2360" s="5">
        <v>0</v>
      </c>
      <c r="J2360" s="5">
        <v>0</v>
      </c>
      <c r="K2360" s="5">
        <v>0</v>
      </c>
    </row>
    <row r="2361" spans="1:11" x14ac:dyDescent="0.25">
      <c r="A2361" s="5">
        <f>2354</f>
      </c>
      <c r="B2361" s="5" t="s">
        <v>2369</v>
      </c>
      <c r="C2361" s="5">
        <v>103.1</v>
      </c>
      <c r="D2361" s="5">
        <v>0.1</v>
      </c>
      <c r="E2361" s="5">
        <v>103.2</v>
      </c>
      <c r="F2361" s="5">
        <v>206</v>
      </c>
      <c r="G2361" s="5">
        <v>102.7</v>
      </c>
      <c r="H2361" s="5">
        <v>102.6</v>
      </c>
      <c r="I2361" s="5">
        <v>0</v>
      </c>
      <c r="J2361" s="5">
        <v>0</v>
      </c>
      <c r="K2361" s="5">
        <v>0</v>
      </c>
    </row>
    <row r="2362" spans="1:11" x14ac:dyDescent="0.25">
      <c r="A2362" s="5">
        <f>2355</f>
      </c>
      <c r="B2362" s="5" t="s">
        <v>2370</v>
      </c>
      <c r="C2362" s="5">
        <v>103.1</v>
      </c>
      <c r="D2362" s="5">
        <v>0.1</v>
      </c>
      <c r="E2362" s="5">
        <v>103.2</v>
      </c>
      <c r="F2362" s="5">
        <v>206</v>
      </c>
      <c r="G2362" s="5">
        <v>102.7</v>
      </c>
      <c r="H2362" s="5">
        <v>102.6</v>
      </c>
      <c r="I2362" s="5">
        <v>0</v>
      </c>
      <c r="J2362" s="5">
        <v>0</v>
      </c>
      <c r="K2362" s="5">
        <v>0</v>
      </c>
    </row>
    <row r="2363" spans="1:11" x14ac:dyDescent="0.25">
      <c r="A2363" s="5">
        <f>2356</f>
      </c>
      <c r="B2363" s="5" t="s">
        <v>2371</v>
      </c>
      <c r="C2363" s="5">
        <v>103.4</v>
      </c>
      <c r="D2363" s="5">
        <v>0.1</v>
      </c>
      <c r="E2363" s="5">
        <v>103.6</v>
      </c>
      <c r="F2363" s="5">
        <v>206.4</v>
      </c>
      <c r="G2363" s="5">
        <v>103</v>
      </c>
      <c r="H2363" s="5">
        <v>102.8</v>
      </c>
      <c r="I2363" s="5">
        <v>0</v>
      </c>
      <c r="J2363" s="5">
        <v>0</v>
      </c>
      <c r="K2363" s="5">
        <v>0</v>
      </c>
    </row>
    <row r="2364" spans="1:11" x14ac:dyDescent="0.25">
      <c r="A2364" s="5">
        <f>2357</f>
      </c>
      <c r="B2364" s="5" t="s">
        <v>2372</v>
      </c>
      <c r="C2364" s="5">
        <v>103.4</v>
      </c>
      <c r="D2364" s="5">
        <v>0.1</v>
      </c>
      <c r="E2364" s="5">
        <v>103.6</v>
      </c>
      <c r="F2364" s="5">
        <v>206.4</v>
      </c>
      <c r="G2364" s="5">
        <v>103</v>
      </c>
      <c r="H2364" s="5">
        <v>102.8</v>
      </c>
      <c r="I2364" s="5">
        <v>0</v>
      </c>
      <c r="J2364" s="5">
        <v>0</v>
      </c>
      <c r="K2364" s="5">
        <v>0</v>
      </c>
    </row>
    <row r="2365" spans="1:11" x14ac:dyDescent="0.25">
      <c r="A2365" s="5">
        <f>2358</f>
      </c>
      <c r="B2365" s="5" t="s">
        <v>2373</v>
      </c>
      <c r="C2365" s="5">
        <v>102</v>
      </c>
      <c r="D2365" s="5">
        <v>0.1</v>
      </c>
      <c r="E2365" s="5">
        <v>102.1</v>
      </c>
      <c r="F2365" s="5">
        <v>203.8</v>
      </c>
      <c r="G2365" s="5">
        <v>101.7</v>
      </c>
      <c r="H2365" s="5">
        <v>101.6</v>
      </c>
      <c r="I2365" s="5">
        <v>0</v>
      </c>
      <c r="J2365" s="5">
        <v>0</v>
      </c>
      <c r="K2365" s="5">
        <v>0</v>
      </c>
    </row>
    <row r="2366" spans="1:11" x14ac:dyDescent="0.25">
      <c r="A2366" s="5">
        <f>2359</f>
      </c>
      <c r="B2366" s="5" t="s">
        <v>2374</v>
      </c>
      <c r="C2366" s="5">
        <v>102</v>
      </c>
      <c r="D2366" s="5">
        <v>0.1</v>
      </c>
      <c r="E2366" s="5">
        <v>102.1</v>
      </c>
      <c r="F2366" s="5">
        <v>203.8</v>
      </c>
      <c r="G2366" s="5">
        <v>101.7</v>
      </c>
      <c r="H2366" s="5">
        <v>101.6</v>
      </c>
      <c r="I2366" s="5">
        <v>0</v>
      </c>
      <c r="J2366" s="5">
        <v>0</v>
      </c>
      <c r="K2366" s="5">
        <v>0</v>
      </c>
    </row>
    <row r="2367" spans="1:11" x14ac:dyDescent="0.25">
      <c r="A2367" s="5">
        <f>2360</f>
      </c>
      <c r="B2367" s="5" t="s">
        <v>2375</v>
      </c>
      <c r="C2367" s="5">
        <v>102.7</v>
      </c>
      <c r="D2367" s="5">
        <v>0.1</v>
      </c>
      <c r="E2367" s="5">
        <v>102.8</v>
      </c>
      <c r="F2367" s="5">
        <v>204.7</v>
      </c>
      <c r="G2367" s="5">
        <v>102.1</v>
      </c>
      <c r="H2367" s="5">
        <v>102</v>
      </c>
      <c r="I2367" s="5">
        <v>0</v>
      </c>
      <c r="J2367" s="5">
        <v>0</v>
      </c>
      <c r="K2367" s="5">
        <v>0</v>
      </c>
    </row>
    <row r="2368" spans="1:11" x14ac:dyDescent="0.25">
      <c r="A2368" s="5">
        <f>2361</f>
      </c>
      <c r="B2368" s="5" t="s">
        <v>2376</v>
      </c>
      <c r="C2368" s="5">
        <v>102.7</v>
      </c>
      <c r="D2368" s="5">
        <v>0.1</v>
      </c>
      <c r="E2368" s="5">
        <v>102.8</v>
      </c>
      <c r="F2368" s="5">
        <v>204.7</v>
      </c>
      <c r="G2368" s="5">
        <v>102.1</v>
      </c>
      <c r="H2368" s="5">
        <v>102</v>
      </c>
      <c r="I2368" s="5">
        <v>0</v>
      </c>
      <c r="J2368" s="5">
        <v>0</v>
      </c>
      <c r="K2368" s="5">
        <v>0</v>
      </c>
    </row>
    <row r="2369" spans="1:11" x14ac:dyDescent="0.25">
      <c r="A2369" s="5">
        <f>2362</f>
      </c>
      <c r="B2369" s="5" t="s">
        <v>2377</v>
      </c>
      <c r="C2369" s="5">
        <v>102.7</v>
      </c>
      <c r="D2369" s="5">
        <v>0.1</v>
      </c>
      <c r="E2369" s="5">
        <v>102.8</v>
      </c>
      <c r="F2369" s="5">
        <v>204.7</v>
      </c>
      <c r="G2369" s="5">
        <v>102.1</v>
      </c>
      <c r="H2369" s="5">
        <v>102</v>
      </c>
      <c r="I2369" s="5">
        <v>0</v>
      </c>
      <c r="J2369" s="5">
        <v>0</v>
      </c>
      <c r="K2369" s="5">
        <v>0</v>
      </c>
    </row>
    <row r="2370" spans="1:11" x14ac:dyDescent="0.25">
      <c r="A2370" s="5">
        <f>2363</f>
      </c>
      <c r="B2370" s="5" t="s">
        <v>2378</v>
      </c>
      <c r="C2370" s="5">
        <v>102.7</v>
      </c>
      <c r="D2370" s="5">
        <v>0.1</v>
      </c>
      <c r="E2370" s="5">
        <v>102.8</v>
      </c>
      <c r="F2370" s="5">
        <v>204.7</v>
      </c>
      <c r="G2370" s="5">
        <v>102.1</v>
      </c>
      <c r="H2370" s="5">
        <v>102</v>
      </c>
      <c r="I2370" s="5">
        <v>0</v>
      </c>
      <c r="J2370" s="5">
        <v>0</v>
      </c>
      <c r="K2370" s="5">
        <v>0</v>
      </c>
    </row>
    <row r="2371" spans="1:11" x14ac:dyDescent="0.25">
      <c r="A2371" s="5">
        <f>2364</f>
      </c>
      <c r="B2371" s="5" t="s">
        <v>2379</v>
      </c>
      <c r="C2371" s="5">
        <v>102.7</v>
      </c>
      <c r="D2371" s="5">
        <v>0.1</v>
      </c>
      <c r="E2371" s="5">
        <v>102.8</v>
      </c>
      <c r="F2371" s="5">
        <v>205.7</v>
      </c>
      <c r="G2371" s="5">
        <v>102.6</v>
      </c>
      <c r="H2371" s="5">
        <v>102.5</v>
      </c>
      <c r="I2371" s="5">
        <v>0</v>
      </c>
      <c r="J2371" s="5">
        <v>0</v>
      </c>
      <c r="K2371" s="5">
        <v>0</v>
      </c>
    </row>
    <row r="2372" spans="1:11" x14ac:dyDescent="0.25">
      <c r="A2372" s="5">
        <f>2365</f>
      </c>
      <c r="B2372" s="5" t="s">
        <v>2380</v>
      </c>
      <c r="C2372" s="5">
        <v>102.7</v>
      </c>
      <c r="D2372" s="5">
        <v>0.1</v>
      </c>
      <c r="E2372" s="5">
        <v>102.8</v>
      </c>
      <c r="F2372" s="5">
        <v>205.7</v>
      </c>
      <c r="G2372" s="5">
        <v>102.6</v>
      </c>
      <c r="H2372" s="5">
        <v>102.5</v>
      </c>
      <c r="I2372" s="5">
        <v>0</v>
      </c>
      <c r="J2372" s="5">
        <v>0</v>
      </c>
      <c r="K2372" s="5">
        <v>0</v>
      </c>
    </row>
    <row r="2373" spans="1:11" x14ac:dyDescent="0.25">
      <c r="A2373" s="5">
        <f>2366</f>
      </c>
      <c r="B2373" s="5" t="s">
        <v>2381</v>
      </c>
      <c r="C2373" s="5">
        <v>103.3</v>
      </c>
      <c r="D2373" s="5">
        <v>0.1</v>
      </c>
      <c r="E2373" s="5">
        <v>103.4</v>
      </c>
      <c r="F2373" s="5">
        <v>206.8</v>
      </c>
      <c r="G2373" s="5">
        <v>103.1</v>
      </c>
      <c r="H2373" s="5">
        <v>103</v>
      </c>
      <c r="I2373" s="5">
        <v>0</v>
      </c>
      <c r="J2373" s="5">
        <v>0</v>
      </c>
      <c r="K2373" s="5">
        <v>0</v>
      </c>
    </row>
    <row r="2374" spans="1:11" x14ac:dyDescent="0.25">
      <c r="A2374" s="5">
        <f>2367</f>
      </c>
      <c r="B2374" s="5" t="s">
        <v>2382</v>
      </c>
      <c r="C2374" s="5">
        <v>103.3</v>
      </c>
      <c r="D2374" s="5">
        <v>0.1</v>
      </c>
      <c r="E2374" s="5">
        <v>103.4</v>
      </c>
      <c r="F2374" s="5">
        <v>206.8</v>
      </c>
      <c r="G2374" s="5">
        <v>103.1</v>
      </c>
      <c r="H2374" s="5">
        <v>103</v>
      </c>
      <c r="I2374" s="5">
        <v>0</v>
      </c>
      <c r="J2374" s="5">
        <v>0</v>
      </c>
      <c r="K2374" s="5">
        <v>0</v>
      </c>
    </row>
    <row r="2375" spans="1:11" x14ac:dyDescent="0.25">
      <c r="A2375" s="5">
        <f>2368</f>
      </c>
      <c r="B2375" s="5" t="s">
        <v>2383</v>
      </c>
      <c r="C2375" s="5">
        <v>103.7</v>
      </c>
      <c r="D2375" s="5">
        <v>0.1</v>
      </c>
      <c r="E2375" s="5">
        <v>103.8</v>
      </c>
      <c r="F2375" s="5">
        <v>206.1</v>
      </c>
      <c r="G2375" s="5">
        <v>102.8</v>
      </c>
      <c r="H2375" s="5">
        <v>102.7</v>
      </c>
      <c r="I2375" s="5">
        <v>0</v>
      </c>
      <c r="J2375" s="5">
        <v>0</v>
      </c>
      <c r="K2375" s="5">
        <v>0</v>
      </c>
    </row>
    <row r="2376" spans="1:11" x14ac:dyDescent="0.25">
      <c r="A2376" s="5">
        <f>2369</f>
      </c>
      <c r="B2376" s="5" t="s">
        <v>2384</v>
      </c>
      <c r="C2376" s="5">
        <v>103.7</v>
      </c>
      <c r="D2376" s="5">
        <v>0.1</v>
      </c>
      <c r="E2376" s="5">
        <v>103.8</v>
      </c>
      <c r="F2376" s="5">
        <v>206.1</v>
      </c>
      <c r="G2376" s="5">
        <v>102.8</v>
      </c>
      <c r="H2376" s="5">
        <v>102.7</v>
      </c>
      <c r="I2376" s="5">
        <v>0</v>
      </c>
      <c r="J2376" s="5">
        <v>0</v>
      </c>
      <c r="K2376" s="5">
        <v>0</v>
      </c>
    </row>
    <row r="2377" spans="1:11" x14ac:dyDescent="0.25">
      <c r="A2377" s="5">
        <f>2370</f>
      </c>
      <c r="B2377" s="5" t="s">
        <v>2385</v>
      </c>
      <c r="C2377" s="5">
        <v>102.9</v>
      </c>
      <c r="D2377" s="5">
        <v>0.1</v>
      </c>
      <c r="E2377" s="5">
        <v>103.1</v>
      </c>
      <c r="F2377" s="5">
        <v>206.9</v>
      </c>
      <c r="G2377" s="5">
        <v>103.2</v>
      </c>
      <c r="H2377" s="5">
        <v>103</v>
      </c>
      <c r="I2377" s="5">
        <v>0</v>
      </c>
      <c r="J2377" s="5">
        <v>0</v>
      </c>
      <c r="K2377" s="5">
        <v>0</v>
      </c>
    </row>
    <row r="2378" spans="1:11" x14ac:dyDescent="0.25">
      <c r="A2378" s="5">
        <f>2371</f>
      </c>
      <c r="B2378" s="5" t="s">
        <v>2386</v>
      </c>
      <c r="C2378" s="5">
        <v>102.9</v>
      </c>
      <c r="D2378" s="5">
        <v>0.1</v>
      </c>
      <c r="E2378" s="5">
        <v>103.1</v>
      </c>
      <c r="F2378" s="5">
        <v>206.9</v>
      </c>
      <c r="G2378" s="5">
        <v>103.2</v>
      </c>
      <c r="H2378" s="5">
        <v>103</v>
      </c>
      <c r="I2378" s="5">
        <v>0</v>
      </c>
      <c r="J2378" s="5">
        <v>0</v>
      </c>
      <c r="K2378" s="5">
        <v>0</v>
      </c>
    </row>
    <row r="2379" spans="1:11" x14ac:dyDescent="0.25">
      <c r="A2379" s="5">
        <f>2372</f>
      </c>
      <c r="B2379" s="5" t="s">
        <v>2387</v>
      </c>
      <c r="C2379" s="5">
        <v>102.9</v>
      </c>
      <c r="D2379" s="5">
        <v>0.1</v>
      </c>
      <c r="E2379" s="5">
        <v>103.1</v>
      </c>
      <c r="F2379" s="5">
        <v>206.9</v>
      </c>
      <c r="G2379" s="5">
        <v>103.2</v>
      </c>
      <c r="H2379" s="5">
        <v>103</v>
      </c>
      <c r="I2379" s="5">
        <v>0</v>
      </c>
      <c r="J2379" s="5">
        <v>0</v>
      </c>
      <c r="K2379" s="5">
        <v>0</v>
      </c>
    </row>
    <row r="2380" spans="1:11" x14ac:dyDescent="0.25">
      <c r="A2380" s="5">
        <f>2373</f>
      </c>
      <c r="B2380" s="5" t="s">
        <v>2388</v>
      </c>
      <c r="C2380" s="5">
        <v>102.9</v>
      </c>
      <c r="D2380" s="5">
        <v>0.1</v>
      </c>
      <c r="E2380" s="5">
        <v>103.1</v>
      </c>
      <c r="F2380" s="5">
        <v>206.9</v>
      </c>
      <c r="G2380" s="5">
        <v>103.2</v>
      </c>
      <c r="H2380" s="5">
        <v>103</v>
      </c>
      <c r="I2380" s="5">
        <v>0</v>
      </c>
      <c r="J2380" s="5">
        <v>0</v>
      </c>
      <c r="K2380" s="5">
        <v>0</v>
      </c>
    </row>
    <row r="2381" spans="1:11" x14ac:dyDescent="0.25">
      <c r="A2381" s="5">
        <f>2374</f>
      </c>
      <c r="B2381" s="5" t="s">
        <v>2389</v>
      </c>
      <c r="C2381" s="5">
        <v>102.4</v>
      </c>
      <c r="D2381" s="5">
        <v>0.1</v>
      </c>
      <c r="E2381" s="5">
        <v>102.5</v>
      </c>
      <c r="F2381" s="5">
        <v>204.6</v>
      </c>
      <c r="G2381" s="5">
        <v>102.1</v>
      </c>
      <c r="H2381" s="5">
        <v>101.9</v>
      </c>
      <c r="I2381" s="5">
        <v>0</v>
      </c>
      <c r="J2381" s="5">
        <v>0</v>
      </c>
      <c r="K2381" s="5">
        <v>0</v>
      </c>
    </row>
    <row r="2382" spans="1:11" x14ac:dyDescent="0.25">
      <c r="A2382" s="5">
        <f>2375</f>
      </c>
      <c r="B2382" s="5" t="s">
        <v>2390</v>
      </c>
      <c r="C2382" s="5">
        <v>102.4</v>
      </c>
      <c r="D2382" s="5">
        <v>0.1</v>
      </c>
      <c r="E2382" s="5">
        <v>102.5</v>
      </c>
      <c r="F2382" s="5">
        <v>204.6</v>
      </c>
      <c r="G2382" s="5">
        <v>102.1</v>
      </c>
      <c r="H2382" s="5">
        <v>101.9</v>
      </c>
      <c r="I2382" s="5">
        <v>0</v>
      </c>
      <c r="J2382" s="5">
        <v>0</v>
      </c>
      <c r="K2382" s="5">
        <v>0</v>
      </c>
    </row>
    <row r="2383" spans="1:11" x14ac:dyDescent="0.25">
      <c r="A2383" s="5">
        <f>2376</f>
      </c>
      <c r="B2383" s="5" t="s">
        <v>2391</v>
      </c>
      <c r="C2383" s="5">
        <v>103.1</v>
      </c>
      <c r="D2383" s="5">
        <v>0.1</v>
      </c>
      <c r="E2383" s="5">
        <v>103.2</v>
      </c>
      <c r="F2383" s="5">
        <v>206.1</v>
      </c>
      <c r="G2383" s="5">
        <v>102.8</v>
      </c>
      <c r="H2383" s="5">
        <v>102.7</v>
      </c>
      <c r="I2383" s="5">
        <v>0</v>
      </c>
      <c r="J2383" s="5">
        <v>0</v>
      </c>
      <c r="K2383" s="5">
        <v>0</v>
      </c>
    </row>
    <row r="2384" spans="1:11" x14ac:dyDescent="0.25">
      <c r="A2384" s="5">
        <f>2377</f>
      </c>
      <c r="B2384" s="5" t="s">
        <v>2392</v>
      </c>
      <c r="C2384" s="5">
        <v>103.1</v>
      </c>
      <c r="D2384" s="5">
        <v>0.1</v>
      </c>
      <c r="E2384" s="5">
        <v>103.2</v>
      </c>
      <c r="F2384" s="5">
        <v>206.1</v>
      </c>
      <c r="G2384" s="5">
        <v>102.8</v>
      </c>
      <c r="H2384" s="5">
        <v>102.7</v>
      </c>
      <c r="I2384" s="5">
        <v>0</v>
      </c>
      <c r="J2384" s="5">
        <v>0</v>
      </c>
      <c r="K2384" s="5">
        <v>0</v>
      </c>
    </row>
    <row r="2385" spans="1:11" x14ac:dyDescent="0.25">
      <c r="A2385" s="5">
        <f>2378</f>
      </c>
      <c r="B2385" s="5" t="s">
        <v>2393</v>
      </c>
      <c r="C2385" s="5">
        <v>103.4</v>
      </c>
      <c r="D2385" s="5">
        <v>0.1</v>
      </c>
      <c r="E2385" s="5">
        <v>103.6</v>
      </c>
      <c r="F2385" s="5">
        <v>206.9</v>
      </c>
      <c r="G2385" s="5">
        <v>103.2</v>
      </c>
      <c r="H2385" s="5">
        <v>103.1</v>
      </c>
      <c r="I2385" s="5">
        <v>0</v>
      </c>
      <c r="J2385" s="5">
        <v>0</v>
      </c>
      <c r="K2385" s="5">
        <v>0</v>
      </c>
    </row>
    <row r="2386" spans="1:11" x14ac:dyDescent="0.25">
      <c r="A2386" s="5">
        <f>2379</f>
      </c>
      <c r="B2386" s="5" t="s">
        <v>2394</v>
      </c>
      <c r="C2386" s="5">
        <v>103.4</v>
      </c>
      <c r="D2386" s="5">
        <v>0.1</v>
      </c>
      <c r="E2386" s="5">
        <v>103.6</v>
      </c>
      <c r="F2386" s="5">
        <v>206.9</v>
      </c>
      <c r="G2386" s="5">
        <v>103.2</v>
      </c>
      <c r="H2386" s="5">
        <v>103.1</v>
      </c>
      <c r="I2386" s="5">
        <v>0</v>
      </c>
      <c r="J2386" s="5">
        <v>0</v>
      </c>
      <c r="K2386" s="5">
        <v>0</v>
      </c>
    </row>
    <row r="2387" spans="1:11" x14ac:dyDescent="0.25">
      <c r="A2387" s="5">
        <f>2380</f>
      </c>
      <c r="B2387" s="5" t="s">
        <v>2395</v>
      </c>
      <c r="C2387" s="5">
        <v>103.3</v>
      </c>
      <c r="D2387" s="5">
        <v>0.1</v>
      </c>
      <c r="E2387" s="5">
        <v>103.4</v>
      </c>
      <c r="F2387" s="5">
        <v>206.6</v>
      </c>
      <c r="G2387" s="5">
        <v>103</v>
      </c>
      <c r="H2387" s="5">
        <v>102.9</v>
      </c>
      <c r="I2387" s="5">
        <v>0</v>
      </c>
      <c r="J2387" s="5">
        <v>0</v>
      </c>
      <c r="K2387" s="5">
        <v>0</v>
      </c>
    </row>
    <row r="2388" spans="1:11" x14ac:dyDescent="0.25">
      <c r="A2388" s="5">
        <f>2381</f>
      </c>
      <c r="B2388" s="5" t="s">
        <v>2396</v>
      </c>
      <c r="C2388" s="5">
        <v>103.3</v>
      </c>
      <c r="D2388" s="5">
        <v>0.1</v>
      </c>
      <c r="E2388" s="5">
        <v>103.4</v>
      </c>
      <c r="F2388" s="5">
        <v>206.6</v>
      </c>
      <c r="G2388" s="5">
        <v>103</v>
      </c>
      <c r="H2388" s="5">
        <v>102.9</v>
      </c>
      <c r="I2388" s="5">
        <v>0</v>
      </c>
      <c r="J2388" s="5">
        <v>0</v>
      </c>
      <c r="K2388" s="5">
        <v>0</v>
      </c>
    </row>
    <row r="2389" spans="1:11" x14ac:dyDescent="0.25">
      <c r="A2389" s="5">
        <f>2382</f>
      </c>
      <c r="B2389" s="5" t="s">
        <v>2397</v>
      </c>
      <c r="C2389" s="5">
        <v>103.3</v>
      </c>
      <c r="D2389" s="5">
        <v>0.1</v>
      </c>
      <c r="E2389" s="5">
        <v>103.4</v>
      </c>
      <c r="F2389" s="5">
        <v>206.6</v>
      </c>
      <c r="G2389" s="5">
        <v>103</v>
      </c>
      <c r="H2389" s="5">
        <v>102.9</v>
      </c>
      <c r="I2389" s="5">
        <v>0</v>
      </c>
      <c r="J2389" s="5">
        <v>0</v>
      </c>
      <c r="K2389" s="5">
        <v>0</v>
      </c>
    </row>
    <row r="2390" spans="1:11" x14ac:dyDescent="0.25">
      <c r="A2390" s="5">
        <f>2383</f>
      </c>
      <c r="B2390" s="5" t="s">
        <v>2398</v>
      </c>
      <c r="C2390" s="5">
        <v>103.3</v>
      </c>
      <c r="D2390" s="5">
        <v>0.1</v>
      </c>
      <c r="E2390" s="5">
        <v>103.4</v>
      </c>
      <c r="F2390" s="5">
        <v>206.6</v>
      </c>
      <c r="G2390" s="5">
        <v>103</v>
      </c>
      <c r="H2390" s="5">
        <v>102.9</v>
      </c>
      <c r="I2390" s="5">
        <v>0</v>
      </c>
      <c r="J2390" s="5">
        <v>0</v>
      </c>
      <c r="K2390" s="5">
        <v>0</v>
      </c>
    </row>
    <row r="2391" spans="1:11" x14ac:dyDescent="0.25">
      <c r="A2391" s="5">
        <f>2384</f>
      </c>
      <c r="B2391" s="5" t="s">
        <v>2399</v>
      </c>
      <c r="C2391" s="5">
        <v>103.7</v>
      </c>
      <c r="D2391" s="5">
        <v>0.1</v>
      </c>
      <c r="E2391" s="5">
        <v>103.8</v>
      </c>
      <c r="F2391" s="5">
        <v>207.2</v>
      </c>
      <c r="G2391" s="5">
        <v>103.4</v>
      </c>
      <c r="H2391" s="5">
        <v>103.3</v>
      </c>
      <c r="I2391" s="5">
        <v>0</v>
      </c>
      <c r="J2391" s="5">
        <v>0</v>
      </c>
      <c r="K2391" s="5">
        <v>0</v>
      </c>
    </row>
    <row r="2392" spans="1:11" x14ac:dyDescent="0.25">
      <c r="A2392" s="5">
        <f>2385</f>
      </c>
      <c r="B2392" s="5" t="s">
        <v>2400</v>
      </c>
      <c r="C2392" s="5">
        <v>103.7</v>
      </c>
      <c r="D2392" s="5">
        <v>0.1</v>
      </c>
      <c r="E2392" s="5">
        <v>103.8</v>
      </c>
      <c r="F2392" s="5">
        <v>207.2</v>
      </c>
      <c r="G2392" s="5">
        <v>103.4</v>
      </c>
      <c r="H2392" s="5">
        <v>103.3</v>
      </c>
      <c r="I2392" s="5">
        <v>0</v>
      </c>
      <c r="J2392" s="5">
        <v>0</v>
      </c>
      <c r="K2392" s="5">
        <v>0</v>
      </c>
    </row>
    <row r="2393" spans="1:11" x14ac:dyDescent="0.25">
      <c r="A2393" s="5">
        <f>2386</f>
      </c>
      <c r="B2393" s="5" t="s">
        <v>2401</v>
      </c>
      <c r="C2393" s="5">
        <v>102.9</v>
      </c>
      <c r="D2393" s="5">
        <v>0.1</v>
      </c>
      <c r="E2393" s="5">
        <v>103.1</v>
      </c>
      <c r="F2393" s="5">
        <v>206.3</v>
      </c>
      <c r="G2393" s="5">
        <v>102.9</v>
      </c>
      <c r="H2393" s="5">
        <v>102.8</v>
      </c>
      <c r="I2393" s="5">
        <v>0</v>
      </c>
      <c r="J2393" s="5">
        <v>0</v>
      </c>
      <c r="K2393" s="5">
        <v>0</v>
      </c>
    </row>
    <row r="2394" spans="1:11" x14ac:dyDescent="0.25">
      <c r="A2394" s="5">
        <f>2387</f>
      </c>
      <c r="B2394" s="5" t="s">
        <v>2402</v>
      </c>
      <c r="C2394" s="5">
        <v>102.9</v>
      </c>
      <c r="D2394" s="5">
        <v>0.1</v>
      </c>
      <c r="E2394" s="5">
        <v>103.1</v>
      </c>
      <c r="F2394" s="5">
        <v>206.3</v>
      </c>
      <c r="G2394" s="5">
        <v>102.9</v>
      </c>
      <c r="H2394" s="5">
        <v>102.8</v>
      </c>
      <c r="I2394" s="5">
        <v>0</v>
      </c>
      <c r="J2394" s="5">
        <v>0</v>
      </c>
      <c r="K2394" s="5">
        <v>0</v>
      </c>
    </row>
    <row r="2395" spans="1:11" x14ac:dyDescent="0.25">
      <c r="A2395" s="5">
        <f>2388</f>
      </c>
      <c r="B2395" s="5" t="s">
        <v>2403</v>
      </c>
      <c r="C2395" s="5">
        <v>103.4</v>
      </c>
      <c r="D2395" s="5">
        <v>0.1</v>
      </c>
      <c r="E2395" s="5">
        <v>103.6</v>
      </c>
      <c r="F2395" s="5">
        <v>206.7</v>
      </c>
      <c r="G2395" s="5">
        <v>103.1</v>
      </c>
      <c r="H2395" s="5">
        <v>103</v>
      </c>
      <c r="I2395" s="5">
        <v>0</v>
      </c>
      <c r="J2395" s="5">
        <v>0</v>
      </c>
      <c r="K2395" s="5">
        <v>0</v>
      </c>
    </row>
    <row r="2396" spans="1:11" x14ac:dyDescent="0.25">
      <c r="A2396" s="5">
        <f>2389</f>
      </c>
      <c r="B2396" s="5" t="s">
        <v>2404</v>
      </c>
      <c r="C2396" s="5">
        <v>103.4</v>
      </c>
      <c r="D2396" s="5">
        <v>0.1</v>
      </c>
      <c r="E2396" s="5">
        <v>103.6</v>
      </c>
      <c r="F2396" s="5">
        <v>206.7</v>
      </c>
      <c r="G2396" s="5">
        <v>103.1</v>
      </c>
      <c r="H2396" s="5">
        <v>103</v>
      </c>
      <c r="I2396" s="5">
        <v>0</v>
      </c>
      <c r="J2396" s="5">
        <v>0</v>
      </c>
      <c r="K2396" s="5">
        <v>0</v>
      </c>
    </row>
    <row r="2397" spans="1:11" x14ac:dyDescent="0.25">
      <c r="A2397" s="5">
        <f>2390</f>
      </c>
      <c r="B2397" s="5" t="s">
        <v>2405</v>
      </c>
      <c r="C2397" s="5">
        <v>103</v>
      </c>
      <c r="D2397" s="5">
        <v>0.1</v>
      </c>
      <c r="E2397" s="5">
        <v>103.1</v>
      </c>
      <c r="F2397" s="5">
        <v>207.1</v>
      </c>
      <c r="G2397" s="5">
        <v>103.3</v>
      </c>
      <c r="H2397" s="5">
        <v>103.2</v>
      </c>
      <c r="I2397" s="5">
        <v>0</v>
      </c>
      <c r="J2397" s="5">
        <v>0</v>
      </c>
      <c r="K2397" s="5">
        <v>0</v>
      </c>
    </row>
    <row r="2398" spans="1:11" x14ac:dyDescent="0.25">
      <c r="A2398" s="5">
        <f>2391</f>
      </c>
      <c r="B2398" s="5" t="s">
        <v>2406</v>
      </c>
      <c r="C2398" s="5">
        <v>103</v>
      </c>
      <c r="D2398" s="5">
        <v>0.1</v>
      </c>
      <c r="E2398" s="5">
        <v>103.1</v>
      </c>
      <c r="F2398" s="5">
        <v>207.1</v>
      </c>
      <c r="G2398" s="5">
        <v>103.3</v>
      </c>
      <c r="H2398" s="5">
        <v>103.2</v>
      </c>
      <c r="I2398" s="5">
        <v>0</v>
      </c>
      <c r="J2398" s="5">
        <v>0</v>
      </c>
      <c r="K2398" s="5">
        <v>0</v>
      </c>
    </row>
    <row r="2399" spans="1:11" x14ac:dyDescent="0.25">
      <c r="A2399" s="5">
        <f>2392</f>
      </c>
      <c r="B2399" s="5" t="s">
        <v>2407</v>
      </c>
      <c r="C2399" s="5">
        <v>103</v>
      </c>
      <c r="D2399" s="5">
        <v>0.1</v>
      </c>
      <c r="E2399" s="5">
        <v>103.1</v>
      </c>
      <c r="F2399" s="5">
        <v>207.1</v>
      </c>
      <c r="G2399" s="5">
        <v>103.3</v>
      </c>
      <c r="H2399" s="5">
        <v>103.2</v>
      </c>
      <c r="I2399" s="5">
        <v>0</v>
      </c>
      <c r="J2399" s="5">
        <v>0</v>
      </c>
      <c r="K2399" s="5">
        <v>0</v>
      </c>
    </row>
    <row r="2400" spans="1:11" x14ac:dyDescent="0.25">
      <c r="A2400" s="5">
        <f>2393</f>
      </c>
      <c r="B2400" s="5" t="s">
        <v>2408</v>
      </c>
      <c r="C2400" s="5">
        <v>103.8</v>
      </c>
      <c r="D2400" s="5">
        <v>0.1</v>
      </c>
      <c r="E2400" s="5">
        <v>103.9</v>
      </c>
      <c r="F2400" s="5">
        <v>207</v>
      </c>
      <c r="G2400" s="5">
        <v>103.3</v>
      </c>
      <c r="H2400" s="5">
        <v>103.1</v>
      </c>
      <c r="I2400" s="5">
        <v>0</v>
      </c>
      <c r="J2400" s="5">
        <v>0</v>
      </c>
      <c r="K2400" s="5">
        <v>0</v>
      </c>
    </row>
    <row r="2401" spans="1:11" x14ac:dyDescent="0.25">
      <c r="A2401" s="5">
        <f>2394</f>
      </c>
      <c r="B2401" s="5" t="s">
        <v>2409</v>
      </c>
      <c r="C2401" s="5">
        <v>103.8</v>
      </c>
      <c r="D2401" s="5">
        <v>0.1</v>
      </c>
      <c r="E2401" s="5">
        <v>103.9</v>
      </c>
      <c r="F2401" s="5">
        <v>207</v>
      </c>
      <c r="G2401" s="5">
        <v>103.3</v>
      </c>
      <c r="H2401" s="5">
        <v>103.1</v>
      </c>
      <c r="I2401" s="5">
        <v>0</v>
      </c>
      <c r="J2401" s="5">
        <v>0</v>
      </c>
      <c r="K2401" s="5">
        <v>0</v>
      </c>
    </row>
    <row r="2402" spans="1:11" x14ac:dyDescent="0.25">
      <c r="A2402" s="5">
        <f>2395</f>
      </c>
      <c r="B2402" s="5" t="s">
        <v>2410</v>
      </c>
      <c r="C2402" s="5">
        <v>103.9</v>
      </c>
      <c r="D2402" s="5">
        <v>0.1</v>
      </c>
      <c r="E2402" s="5">
        <v>104</v>
      </c>
      <c r="F2402" s="5">
        <v>207.4</v>
      </c>
      <c r="G2402" s="5">
        <v>103.5</v>
      </c>
      <c r="H2402" s="5">
        <v>103.4</v>
      </c>
      <c r="I2402" s="5">
        <v>0</v>
      </c>
      <c r="J2402" s="5">
        <v>0</v>
      </c>
      <c r="K2402" s="5">
        <v>0</v>
      </c>
    </row>
    <row r="2403" spans="1:11" x14ac:dyDescent="0.25">
      <c r="A2403" s="5">
        <f>2396</f>
      </c>
      <c r="B2403" s="5" t="s">
        <v>2411</v>
      </c>
      <c r="C2403" s="5">
        <v>103.9</v>
      </c>
      <c r="D2403" s="5">
        <v>0.1</v>
      </c>
      <c r="E2403" s="5">
        <v>104</v>
      </c>
      <c r="F2403" s="5">
        <v>207.4</v>
      </c>
      <c r="G2403" s="5">
        <v>103.5</v>
      </c>
      <c r="H2403" s="5">
        <v>103.4</v>
      </c>
      <c r="I2403" s="5">
        <v>0</v>
      </c>
      <c r="J2403" s="5">
        <v>0</v>
      </c>
      <c r="K2403" s="5">
        <v>0</v>
      </c>
    </row>
    <row r="2404" spans="1:11" x14ac:dyDescent="0.25">
      <c r="A2404" s="5">
        <f>2397</f>
      </c>
      <c r="B2404" s="5" t="s">
        <v>2412</v>
      </c>
      <c r="C2404" s="5">
        <v>103.2</v>
      </c>
      <c r="D2404" s="5">
        <v>0.1</v>
      </c>
      <c r="E2404" s="5">
        <v>103.4</v>
      </c>
      <c r="F2404" s="5">
        <v>206.7</v>
      </c>
      <c r="G2404" s="5">
        <v>103.1</v>
      </c>
      <c r="H2404" s="5">
        <v>102.9</v>
      </c>
      <c r="I2404" s="5">
        <v>0</v>
      </c>
      <c r="J2404" s="5">
        <v>0</v>
      </c>
      <c r="K2404" s="5">
        <v>0</v>
      </c>
    </row>
    <row r="2405" spans="1:11" x14ac:dyDescent="0.25">
      <c r="A2405" s="5">
        <f>2398</f>
      </c>
      <c r="B2405" s="5" t="s">
        <v>2413</v>
      </c>
      <c r="C2405" s="5">
        <v>103.2</v>
      </c>
      <c r="D2405" s="5">
        <v>0.1</v>
      </c>
      <c r="E2405" s="5">
        <v>103.4</v>
      </c>
      <c r="F2405" s="5">
        <v>206.7</v>
      </c>
      <c r="G2405" s="5">
        <v>103.1</v>
      </c>
      <c r="H2405" s="5">
        <v>102.9</v>
      </c>
      <c r="I2405" s="5">
        <v>0</v>
      </c>
      <c r="J2405" s="5">
        <v>0</v>
      </c>
      <c r="K2405" s="5">
        <v>0</v>
      </c>
    </row>
    <row r="2406" spans="1:11" x14ac:dyDescent="0.25">
      <c r="A2406" s="5">
        <f>2399</f>
      </c>
      <c r="B2406" s="5" t="s">
        <v>2414</v>
      </c>
      <c r="C2406" s="5">
        <v>104.8</v>
      </c>
      <c r="D2406" s="5">
        <v>0.1</v>
      </c>
      <c r="E2406" s="5">
        <v>104.9</v>
      </c>
      <c r="F2406" s="5">
        <v>209.3</v>
      </c>
      <c r="G2406" s="5">
        <v>104.4</v>
      </c>
      <c r="H2406" s="5">
        <v>104.3</v>
      </c>
      <c r="I2406" s="5">
        <v>0</v>
      </c>
      <c r="J2406" s="5">
        <v>0</v>
      </c>
      <c r="K2406" s="5">
        <v>0</v>
      </c>
    </row>
    <row r="2407" spans="1:11" x14ac:dyDescent="0.25">
      <c r="A2407" s="5">
        <f>2400</f>
      </c>
      <c r="B2407" s="5" t="s">
        <v>2415</v>
      </c>
      <c r="C2407" s="5">
        <v>104.8</v>
      </c>
      <c r="D2407" s="5">
        <v>0.1</v>
      </c>
      <c r="E2407" s="5">
        <v>104.9</v>
      </c>
      <c r="F2407" s="5">
        <v>209.3</v>
      </c>
      <c r="G2407" s="5">
        <v>104.4</v>
      </c>
      <c r="H2407" s="5">
        <v>104.3</v>
      </c>
      <c r="I2407" s="5">
        <v>0</v>
      </c>
      <c r="J2407" s="5">
        <v>0</v>
      </c>
      <c r="K2407" s="5">
        <v>0</v>
      </c>
    </row>
    <row r="2408" spans="1:11" x14ac:dyDescent="0.25">
      <c r="A2408" s="5">
        <f>2401</f>
      </c>
      <c r="B2408" s="5" t="s">
        <v>2416</v>
      </c>
      <c r="C2408" s="5">
        <v>104.8</v>
      </c>
      <c r="D2408" s="5">
        <v>0.1</v>
      </c>
      <c r="E2408" s="5">
        <v>104.9</v>
      </c>
      <c r="F2408" s="5">
        <v>209.3</v>
      </c>
      <c r="G2408" s="5">
        <v>104.4</v>
      </c>
      <c r="H2408" s="5">
        <v>104.3</v>
      </c>
      <c r="I2408" s="5">
        <v>0</v>
      </c>
      <c r="J2408" s="5">
        <v>0</v>
      </c>
      <c r="K2408" s="5">
        <v>0</v>
      </c>
    </row>
    <row r="2409" spans="1:11" x14ac:dyDescent="0.25">
      <c r="A2409" s="5">
        <f>2402</f>
      </c>
      <c r="B2409" s="5" t="s">
        <v>2417</v>
      </c>
      <c r="C2409" s="5">
        <v>104.8</v>
      </c>
      <c r="D2409" s="5">
        <v>0.1</v>
      </c>
      <c r="E2409" s="5">
        <v>104.9</v>
      </c>
      <c r="F2409" s="5">
        <v>209.3</v>
      </c>
      <c r="G2409" s="5">
        <v>104.4</v>
      </c>
      <c r="H2409" s="5">
        <v>104.3</v>
      </c>
      <c r="I2409" s="5">
        <v>0</v>
      </c>
      <c r="J2409" s="5">
        <v>0</v>
      </c>
      <c r="K2409" s="5">
        <v>0</v>
      </c>
    </row>
    <row r="2410" spans="1:11" x14ac:dyDescent="0.25">
      <c r="A2410" s="5">
        <f>2403</f>
      </c>
      <c r="B2410" s="5" t="s">
        <v>2418</v>
      </c>
      <c r="C2410" s="5">
        <v>104.3</v>
      </c>
      <c r="D2410" s="5">
        <v>0.1</v>
      </c>
      <c r="E2410" s="5">
        <v>104.4</v>
      </c>
      <c r="F2410" s="5">
        <v>207.5</v>
      </c>
      <c r="G2410" s="5">
        <v>103.5</v>
      </c>
      <c r="H2410" s="5">
        <v>103.3</v>
      </c>
      <c r="I2410" s="5">
        <v>0</v>
      </c>
      <c r="J2410" s="5">
        <v>0</v>
      </c>
      <c r="K2410" s="5">
        <v>0</v>
      </c>
    </row>
    <row r="2411" spans="1:11" x14ac:dyDescent="0.25">
      <c r="A2411" s="5">
        <f>2404</f>
      </c>
      <c r="B2411" s="5" t="s">
        <v>2419</v>
      </c>
      <c r="C2411" s="5">
        <v>104.3</v>
      </c>
      <c r="D2411" s="5">
        <v>0.1</v>
      </c>
      <c r="E2411" s="5">
        <v>104.4</v>
      </c>
      <c r="F2411" s="5">
        <v>207.5</v>
      </c>
      <c r="G2411" s="5">
        <v>103.5</v>
      </c>
      <c r="H2411" s="5">
        <v>103.3</v>
      </c>
      <c r="I2411" s="5">
        <v>0</v>
      </c>
      <c r="J2411" s="5">
        <v>0</v>
      </c>
      <c r="K2411" s="5">
        <v>0</v>
      </c>
    </row>
    <row r="2412" spans="1:11" x14ac:dyDescent="0.25">
      <c r="A2412" s="5">
        <f>2405</f>
      </c>
      <c r="B2412" s="5" t="s">
        <v>2420</v>
      </c>
      <c r="C2412" s="5">
        <v>104.1</v>
      </c>
      <c r="D2412" s="5">
        <v>0.1</v>
      </c>
      <c r="E2412" s="5">
        <v>104.3</v>
      </c>
      <c r="F2412" s="5">
        <v>208.1</v>
      </c>
      <c r="G2412" s="5">
        <v>103.8</v>
      </c>
      <c r="H2412" s="5">
        <v>103.6</v>
      </c>
      <c r="I2412" s="5">
        <v>0</v>
      </c>
      <c r="J2412" s="5">
        <v>0</v>
      </c>
      <c r="K2412" s="5">
        <v>0</v>
      </c>
    </row>
    <row r="2413" spans="1:11" x14ac:dyDescent="0.25">
      <c r="A2413" s="5">
        <f>2406</f>
      </c>
      <c r="B2413" s="5" t="s">
        <v>2421</v>
      </c>
      <c r="C2413" s="5">
        <v>104.1</v>
      </c>
      <c r="D2413" s="5">
        <v>0.1</v>
      </c>
      <c r="E2413" s="5">
        <v>104.3</v>
      </c>
      <c r="F2413" s="5">
        <v>208.1</v>
      </c>
      <c r="G2413" s="5">
        <v>103.8</v>
      </c>
      <c r="H2413" s="5">
        <v>103.6</v>
      </c>
      <c r="I2413" s="5">
        <v>0</v>
      </c>
      <c r="J2413" s="5">
        <v>0</v>
      </c>
      <c r="K2413" s="5">
        <v>0</v>
      </c>
    </row>
    <row r="2414" spans="1:11" x14ac:dyDescent="0.25">
      <c r="A2414" s="5">
        <f>2407</f>
      </c>
      <c r="B2414" s="5" t="s">
        <v>2422</v>
      </c>
      <c r="C2414" s="5">
        <v>104.5</v>
      </c>
      <c r="D2414" s="5">
        <v>0.1</v>
      </c>
      <c r="E2414" s="5">
        <v>104.6</v>
      </c>
      <c r="F2414" s="5">
        <v>207.6</v>
      </c>
      <c r="G2414" s="5">
        <v>103.8</v>
      </c>
      <c r="H2414" s="5">
        <v>103.6</v>
      </c>
      <c r="I2414" s="5">
        <v>0</v>
      </c>
      <c r="J2414" s="5">
        <v>0</v>
      </c>
      <c r="K2414" s="5">
        <v>0</v>
      </c>
    </row>
    <row r="2415" spans="1:11" x14ac:dyDescent="0.25">
      <c r="A2415" s="5">
        <f>2408</f>
      </c>
      <c r="B2415" s="5" t="s">
        <v>2423</v>
      </c>
      <c r="C2415" s="5">
        <v>104.5</v>
      </c>
      <c r="D2415" s="5">
        <v>0.1</v>
      </c>
      <c r="E2415" s="5">
        <v>104.6</v>
      </c>
      <c r="F2415" s="5">
        <v>207.6</v>
      </c>
      <c r="G2415" s="5">
        <v>103.6</v>
      </c>
      <c r="H2415" s="5">
        <v>103.4</v>
      </c>
      <c r="I2415" s="5">
        <v>0</v>
      </c>
      <c r="J2415" s="5">
        <v>0</v>
      </c>
      <c r="K2415" s="5">
        <v>0</v>
      </c>
    </row>
    <row r="2416" spans="1:11" x14ac:dyDescent="0.25">
      <c r="A2416" s="5">
        <f>2409</f>
      </c>
      <c r="B2416" s="5" t="s">
        <v>2424</v>
      </c>
      <c r="C2416" s="5">
        <v>103.4</v>
      </c>
      <c r="D2416" s="5">
        <v>0.1</v>
      </c>
      <c r="E2416" s="5">
        <v>104.6</v>
      </c>
      <c r="F2416" s="5">
        <v>207.6</v>
      </c>
      <c r="G2416" s="5">
        <v>103.6</v>
      </c>
      <c r="H2416" s="5">
        <v>103.4</v>
      </c>
      <c r="I2416" s="5">
        <v>0</v>
      </c>
      <c r="J2416" s="5">
        <v>0</v>
      </c>
      <c r="K2416" s="5">
        <v>0</v>
      </c>
    </row>
    <row r="2417" spans="1:11" x14ac:dyDescent="0.25">
      <c r="A2417" s="5">
        <f>2410</f>
      </c>
      <c r="B2417" s="5" t="s">
        <v>2425</v>
      </c>
      <c r="C2417" s="5">
        <v>103.4</v>
      </c>
      <c r="D2417" s="5">
        <v>0.1</v>
      </c>
      <c r="E2417" s="5">
        <v>103.6</v>
      </c>
      <c r="F2417" s="5">
        <v>207.2</v>
      </c>
      <c r="G2417" s="5">
        <v>103.4</v>
      </c>
      <c r="H2417" s="5">
        <v>103.2</v>
      </c>
      <c r="I2417" s="5">
        <v>0</v>
      </c>
      <c r="J2417" s="5">
        <v>0</v>
      </c>
      <c r="K2417" s="5">
        <v>0</v>
      </c>
    </row>
    <row r="2418" spans="1:11" x14ac:dyDescent="0.25">
      <c r="A2418" s="5">
        <f>2411</f>
      </c>
      <c r="B2418" s="5" t="s">
        <v>2426</v>
      </c>
      <c r="C2418" s="5">
        <v>103.4</v>
      </c>
      <c r="D2418" s="5">
        <v>0.1</v>
      </c>
      <c r="E2418" s="5">
        <v>103.6</v>
      </c>
      <c r="F2418" s="5">
        <v>207.2</v>
      </c>
      <c r="G2418" s="5">
        <v>103.4</v>
      </c>
      <c r="H2418" s="5">
        <v>103.2</v>
      </c>
      <c r="I2418" s="5">
        <v>0</v>
      </c>
      <c r="J2418" s="5">
        <v>0</v>
      </c>
      <c r="K2418" s="5">
        <v>0</v>
      </c>
    </row>
    <row r="2419" spans="1:11" x14ac:dyDescent="0.25">
      <c r="A2419" s="5">
        <f>2412</f>
      </c>
      <c r="B2419" s="5" t="s">
        <v>2427</v>
      </c>
      <c r="C2419" s="5">
        <v>103.4</v>
      </c>
      <c r="D2419" s="5">
        <v>0.1</v>
      </c>
      <c r="E2419" s="5">
        <v>103.6</v>
      </c>
      <c r="F2419" s="5">
        <v>207.2</v>
      </c>
      <c r="G2419" s="5">
        <v>103.4</v>
      </c>
      <c r="H2419" s="5">
        <v>103.2</v>
      </c>
      <c r="I2419" s="5">
        <v>0</v>
      </c>
      <c r="J2419" s="5">
        <v>0</v>
      </c>
      <c r="K2419" s="5">
        <v>0</v>
      </c>
    </row>
    <row r="2420" spans="1:11" x14ac:dyDescent="0.25">
      <c r="A2420" s="5">
        <f>2413</f>
      </c>
      <c r="B2420" s="5" t="s">
        <v>2428</v>
      </c>
      <c r="C2420" s="5">
        <v>103.4</v>
      </c>
      <c r="D2420" s="5">
        <v>0.1</v>
      </c>
      <c r="E2420" s="5">
        <v>103.6</v>
      </c>
      <c r="F2420" s="5">
        <v>207.2</v>
      </c>
      <c r="G2420" s="5">
        <v>103.1</v>
      </c>
      <c r="H2420" s="5">
        <v>103</v>
      </c>
      <c r="I2420" s="5">
        <v>0</v>
      </c>
      <c r="J2420" s="5">
        <v>0</v>
      </c>
      <c r="K2420" s="5">
        <v>0</v>
      </c>
    </row>
    <row r="2421" spans="1:11" x14ac:dyDescent="0.25">
      <c r="A2421" s="5">
        <f>2414</f>
      </c>
      <c r="B2421" s="5" t="s">
        <v>2429</v>
      </c>
      <c r="C2421" s="5">
        <v>103.4</v>
      </c>
      <c r="D2421" s="5">
        <v>0.1</v>
      </c>
      <c r="E2421" s="5">
        <v>103.5</v>
      </c>
      <c r="F2421" s="5">
        <v>206.7</v>
      </c>
      <c r="G2421" s="5">
        <v>103.1</v>
      </c>
      <c r="H2421" s="5">
        <v>103</v>
      </c>
      <c r="I2421" s="5">
        <v>0</v>
      </c>
      <c r="J2421" s="5">
        <v>0</v>
      </c>
      <c r="K2421" s="5">
        <v>0</v>
      </c>
    </row>
    <row r="2422" spans="1:11" x14ac:dyDescent="0.25">
      <c r="A2422" s="5">
        <f>2415</f>
      </c>
      <c r="B2422" s="5" t="s">
        <v>2430</v>
      </c>
      <c r="C2422" s="5">
        <v>103.4</v>
      </c>
      <c r="D2422" s="5">
        <v>0.1</v>
      </c>
      <c r="E2422" s="5">
        <v>103.5</v>
      </c>
      <c r="F2422" s="5">
        <v>206.7</v>
      </c>
      <c r="G2422" s="5">
        <v>103.1</v>
      </c>
      <c r="H2422" s="5">
        <v>103</v>
      </c>
      <c r="I2422" s="5">
        <v>0</v>
      </c>
      <c r="J2422" s="5">
        <v>0</v>
      </c>
      <c r="K2422" s="5">
        <v>0</v>
      </c>
    </row>
    <row r="2423" spans="1:11" x14ac:dyDescent="0.25">
      <c r="A2423" s="5">
        <f>2416</f>
      </c>
      <c r="B2423" s="5" t="s">
        <v>2431</v>
      </c>
      <c r="C2423" s="5">
        <v>101.1</v>
      </c>
      <c r="D2423" s="5">
        <v>0.1</v>
      </c>
      <c r="E2423" s="5">
        <v>101.2</v>
      </c>
      <c r="F2423" s="5">
        <v>202.2</v>
      </c>
      <c r="G2423" s="5">
        <v>100.9</v>
      </c>
      <c r="H2423" s="5">
        <v>100.7</v>
      </c>
      <c r="I2423" s="5">
        <v>0</v>
      </c>
      <c r="J2423" s="5">
        <v>0</v>
      </c>
      <c r="K2423" s="5">
        <v>0</v>
      </c>
    </row>
    <row r="2424" spans="1:11" x14ac:dyDescent="0.25">
      <c r="A2424" s="5">
        <f>2417</f>
      </c>
      <c r="B2424" s="5" t="s">
        <v>2432</v>
      </c>
      <c r="C2424" s="5">
        <v>101.1</v>
      </c>
      <c r="D2424" s="5">
        <v>0.1</v>
      </c>
      <c r="E2424" s="5">
        <v>101.2</v>
      </c>
      <c r="F2424" s="5">
        <v>202.2</v>
      </c>
      <c r="G2424" s="5">
        <v>100.9</v>
      </c>
      <c r="H2424" s="5">
        <v>100.7</v>
      </c>
      <c r="I2424" s="5">
        <v>0</v>
      </c>
      <c r="J2424" s="5">
        <v>0</v>
      </c>
      <c r="K2424" s="5">
        <v>0</v>
      </c>
    </row>
    <row r="2425" spans="1:11" x14ac:dyDescent="0.25">
      <c r="A2425" s="5">
        <f>2418</f>
      </c>
      <c r="B2425" s="5" t="s">
        <v>2433</v>
      </c>
      <c r="C2425" s="5">
        <v>101.3</v>
      </c>
      <c r="D2425" s="5">
        <v>0.1</v>
      </c>
      <c r="E2425" s="5">
        <v>101.5</v>
      </c>
      <c r="F2425" s="5">
        <v>202.4</v>
      </c>
      <c r="G2425" s="5">
        <v>101</v>
      </c>
      <c r="H2425" s="5">
        <v>100.9</v>
      </c>
      <c r="I2425" s="5">
        <v>0</v>
      </c>
      <c r="J2425" s="5">
        <v>0</v>
      </c>
      <c r="K2425" s="5">
        <v>0</v>
      </c>
    </row>
    <row r="2426" spans="1:11" x14ac:dyDescent="0.25">
      <c r="A2426" s="5">
        <f>2419</f>
      </c>
      <c r="B2426" s="5" t="s">
        <v>2434</v>
      </c>
      <c r="C2426" s="5">
        <v>101.3</v>
      </c>
      <c r="D2426" s="5">
        <v>0.1</v>
      </c>
      <c r="E2426" s="5">
        <v>101.5</v>
      </c>
      <c r="F2426" s="5">
        <v>202.4</v>
      </c>
      <c r="G2426" s="5">
        <v>101</v>
      </c>
      <c r="H2426" s="5">
        <v>100.9</v>
      </c>
      <c r="I2426" s="5">
        <v>0</v>
      </c>
      <c r="J2426" s="5">
        <v>0</v>
      </c>
      <c r="K2426" s="5">
        <v>0</v>
      </c>
    </row>
    <row r="2427" spans="1:11" x14ac:dyDescent="0.25">
      <c r="A2427" s="5">
        <f>2420</f>
      </c>
      <c r="B2427" s="5" t="s">
        <v>2435</v>
      </c>
      <c r="C2427" s="5">
        <v>101.8</v>
      </c>
      <c r="D2427" s="5">
        <v>0.1</v>
      </c>
      <c r="E2427" s="5">
        <v>101.9</v>
      </c>
      <c r="F2427" s="5">
        <v>203.2</v>
      </c>
      <c r="G2427" s="5">
        <v>101.4</v>
      </c>
      <c r="H2427" s="5">
        <v>101.2</v>
      </c>
      <c r="I2427" s="5">
        <v>0</v>
      </c>
      <c r="J2427" s="5">
        <v>0</v>
      </c>
      <c r="K2427" s="5">
        <v>0</v>
      </c>
    </row>
    <row r="2428" spans="1:11" x14ac:dyDescent="0.25">
      <c r="A2428" s="5">
        <f>2421</f>
      </c>
      <c r="B2428" s="5" t="s">
        <v>2436</v>
      </c>
      <c r="C2428" s="5">
        <v>101.8</v>
      </c>
      <c r="D2428" s="5">
        <v>0.1</v>
      </c>
      <c r="E2428" s="5">
        <v>101.9</v>
      </c>
      <c r="F2428" s="5">
        <v>203.2</v>
      </c>
      <c r="G2428" s="5">
        <v>101.4</v>
      </c>
      <c r="H2428" s="5">
        <v>101.2</v>
      </c>
      <c r="I2428" s="5">
        <v>0</v>
      </c>
      <c r="J2428" s="5">
        <v>0</v>
      </c>
      <c r="K2428" s="5">
        <v>0</v>
      </c>
    </row>
    <row r="2429" spans="1:11" x14ac:dyDescent="0.25">
      <c r="A2429" s="5">
        <f>2422</f>
      </c>
      <c r="B2429" s="5" t="s">
        <v>2437</v>
      </c>
      <c r="C2429" s="5">
        <v>101.8</v>
      </c>
      <c r="D2429" s="5">
        <v>0.1</v>
      </c>
      <c r="E2429" s="5">
        <v>101.9</v>
      </c>
      <c r="F2429" s="5">
        <v>203.2</v>
      </c>
      <c r="G2429" s="5">
        <v>101.4</v>
      </c>
      <c r="H2429" s="5">
        <v>101.2</v>
      </c>
      <c r="I2429" s="5">
        <v>0</v>
      </c>
      <c r="J2429" s="5">
        <v>0</v>
      </c>
      <c r="K2429" s="5">
        <v>0</v>
      </c>
    </row>
    <row r="2430" spans="1:11" x14ac:dyDescent="0.25">
      <c r="A2430" s="5">
        <f>2423</f>
      </c>
      <c r="B2430" s="5" t="s">
        <v>2438</v>
      </c>
      <c r="C2430" s="5">
        <v>101.4</v>
      </c>
      <c r="D2430" s="5">
        <v>0.1</v>
      </c>
      <c r="E2430" s="5">
        <v>101.5</v>
      </c>
      <c r="F2430" s="5">
        <v>201.8</v>
      </c>
      <c r="G2430" s="5">
        <v>100.7</v>
      </c>
      <c r="H2430" s="5">
        <v>100.6</v>
      </c>
      <c r="I2430" s="5">
        <v>0</v>
      </c>
      <c r="J2430" s="5">
        <v>0</v>
      </c>
      <c r="K2430" s="5">
        <v>0</v>
      </c>
    </row>
    <row r="2431" spans="1:11" x14ac:dyDescent="0.25">
      <c r="A2431" s="5">
        <f>2424</f>
      </c>
      <c r="B2431" s="5" t="s">
        <v>2439</v>
      </c>
      <c r="C2431" s="5">
        <v>101.4</v>
      </c>
      <c r="D2431" s="5">
        <v>0.1</v>
      </c>
      <c r="E2431" s="5">
        <v>101.5</v>
      </c>
      <c r="F2431" s="5">
        <v>201.8</v>
      </c>
      <c r="G2431" s="5">
        <v>100.7</v>
      </c>
      <c r="H2431" s="5">
        <v>100.6</v>
      </c>
      <c r="I2431" s="5">
        <v>0</v>
      </c>
      <c r="J2431" s="5">
        <v>0</v>
      </c>
      <c r="K2431" s="5">
        <v>0</v>
      </c>
    </row>
    <row r="2432" spans="1:11" x14ac:dyDescent="0.25">
      <c r="A2432" s="5">
        <f>2425</f>
      </c>
      <c r="B2432" s="5" t="s">
        <v>2440</v>
      </c>
      <c r="C2432" s="5">
        <v>100.2</v>
      </c>
      <c r="D2432" s="5">
        <v>0.1</v>
      </c>
      <c r="E2432" s="5">
        <v>100.4</v>
      </c>
      <c r="F2432" s="5">
        <v>202.9</v>
      </c>
      <c r="G2432" s="5">
        <v>101.2</v>
      </c>
      <c r="H2432" s="5">
        <v>101.1</v>
      </c>
      <c r="I2432" s="5">
        <v>0</v>
      </c>
      <c r="J2432" s="5">
        <v>0</v>
      </c>
      <c r="K2432" s="5">
        <v>0</v>
      </c>
    </row>
    <row r="2433" spans="1:11" x14ac:dyDescent="0.25">
      <c r="A2433" s="5">
        <f>2426</f>
      </c>
      <c r="B2433" s="5" t="s">
        <v>2441</v>
      </c>
      <c r="C2433" s="5">
        <v>100.2</v>
      </c>
      <c r="D2433" s="5">
        <v>0.1</v>
      </c>
      <c r="E2433" s="5">
        <v>100.4</v>
      </c>
      <c r="F2433" s="5">
        <v>202.9</v>
      </c>
      <c r="G2433" s="5">
        <v>101.2</v>
      </c>
      <c r="H2433" s="5">
        <v>101.1</v>
      </c>
      <c r="I2433" s="5">
        <v>0</v>
      </c>
      <c r="J2433" s="5">
        <v>0</v>
      </c>
      <c r="K2433" s="5">
        <v>0</v>
      </c>
    </row>
    <row r="2434" spans="1:11" x14ac:dyDescent="0.25">
      <c r="A2434" s="5">
        <f>2427</f>
      </c>
      <c r="B2434" s="5" t="s">
        <v>2442</v>
      </c>
      <c r="C2434" s="5">
        <v>101</v>
      </c>
      <c r="D2434" s="5">
        <v>0.1</v>
      </c>
      <c r="E2434" s="5">
        <v>101.1</v>
      </c>
      <c r="F2434" s="5">
        <v>202.3</v>
      </c>
      <c r="G2434" s="5">
        <v>100.9</v>
      </c>
      <c r="H2434" s="5">
        <v>100.8</v>
      </c>
      <c r="I2434" s="5">
        <v>0</v>
      </c>
      <c r="J2434" s="5">
        <v>0</v>
      </c>
      <c r="K2434" s="5">
        <v>0</v>
      </c>
    </row>
    <row r="2435" spans="1:11" x14ac:dyDescent="0.25">
      <c r="A2435" s="5">
        <f>2428</f>
      </c>
      <c r="B2435" s="5" t="s">
        <v>2443</v>
      </c>
      <c r="C2435" s="5">
        <v>101</v>
      </c>
      <c r="D2435" s="5">
        <v>0.1</v>
      </c>
      <c r="E2435" s="5">
        <v>101.1</v>
      </c>
      <c r="F2435" s="5">
        <v>202.3</v>
      </c>
      <c r="G2435" s="5">
        <v>100.9</v>
      </c>
      <c r="H2435" s="5">
        <v>100.8</v>
      </c>
      <c r="I2435" s="5">
        <v>0</v>
      </c>
      <c r="J2435" s="5">
        <v>0</v>
      </c>
      <c r="K2435" s="5">
        <v>0</v>
      </c>
    </row>
    <row r="2436" spans="1:11" x14ac:dyDescent="0.25">
      <c r="A2436" s="5">
        <f>2429</f>
      </c>
      <c r="B2436" s="5" t="s">
        <v>2444</v>
      </c>
      <c r="C2436" s="5">
        <v>101.1</v>
      </c>
      <c r="D2436" s="5">
        <v>0.1</v>
      </c>
      <c r="E2436" s="5">
        <v>101.2</v>
      </c>
      <c r="F2436" s="5">
        <v>201.9</v>
      </c>
      <c r="G2436" s="5">
        <v>100.6</v>
      </c>
      <c r="H2436" s="5">
        <v>100.5</v>
      </c>
      <c r="I2436" s="5">
        <v>0</v>
      </c>
      <c r="J2436" s="5">
        <v>0</v>
      </c>
      <c r="K2436" s="5">
        <v>0</v>
      </c>
    </row>
    <row r="2437" spans="1:11" x14ac:dyDescent="0.25">
      <c r="A2437" s="5">
        <f>2430</f>
      </c>
      <c r="B2437" s="5" t="s">
        <v>2445</v>
      </c>
      <c r="C2437" s="5">
        <v>101.1</v>
      </c>
      <c r="D2437" s="5">
        <v>0.1</v>
      </c>
      <c r="E2437" s="5">
        <v>101.2</v>
      </c>
      <c r="F2437" s="5">
        <v>201.9</v>
      </c>
      <c r="G2437" s="5">
        <v>100.6</v>
      </c>
      <c r="H2437" s="5">
        <v>100.5</v>
      </c>
      <c r="I2437" s="5">
        <v>0</v>
      </c>
      <c r="J2437" s="5">
        <v>0</v>
      </c>
      <c r="K2437" s="5">
        <v>0</v>
      </c>
    </row>
    <row r="2438" spans="1:11" x14ac:dyDescent="0.25">
      <c r="A2438" s="5">
        <f>2431</f>
      </c>
      <c r="B2438" s="5" t="s">
        <v>2446</v>
      </c>
      <c r="C2438" s="5">
        <v>101.1</v>
      </c>
      <c r="D2438" s="5">
        <v>0.1</v>
      </c>
      <c r="E2438" s="5">
        <v>101.2</v>
      </c>
      <c r="F2438" s="5">
        <v>201.9</v>
      </c>
      <c r="G2438" s="5">
        <v>100.6</v>
      </c>
      <c r="H2438" s="5">
        <v>100.5</v>
      </c>
      <c r="I2438" s="5">
        <v>0</v>
      </c>
      <c r="J2438" s="5">
        <v>0</v>
      </c>
      <c r="K2438" s="5">
        <v>0</v>
      </c>
    </row>
    <row r="2439" spans="1:11" x14ac:dyDescent="0.25">
      <c r="A2439" s="5">
        <f>2432</f>
      </c>
      <c r="B2439" s="5" t="s">
        <v>2447</v>
      </c>
      <c r="C2439" s="5">
        <v>101.1</v>
      </c>
      <c r="D2439" s="5">
        <v>0.1</v>
      </c>
      <c r="E2439" s="5">
        <v>101.2</v>
      </c>
      <c r="F2439" s="5">
        <v>201.9</v>
      </c>
      <c r="G2439" s="5">
        <v>100.6</v>
      </c>
      <c r="H2439" s="5">
        <v>100.5</v>
      </c>
      <c r="I2439" s="5">
        <v>0</v>
      </c>
      <c r="J2439" s="5">
        <v>0</v>
      </c>
      <c r="K2439" s="5">
        <v>0</v>
      </c>
    </row>
    <row r="2440" spans="1:11" x14ac:dyDescent="0.25">
      <c r="A2440" s="5">
        <f>2433</f>
      </c>
      <c r="B2440" s="5" t="s">
        <v>2448</v>
      </c>
      <c r="C2440" s="5">
        <v>101.8</v>
      </c>
      <c r="D2440" s="5">
        <v>0.1</v>
      </c>
      <c r="E2440" s="5">
        <v>102</v>
      </c>
      <c r="F2440" s="5">
        <v>203.4</v>
      </c>
      <c r="G2440" s="5">
        <v>101.5</v>
      </c>
      <c r="H2440" s="5">
        <v>101.3</v>
      </c>
      <c r="I2440" s="5">
        <v>0</v>
      </c>
      <c r="J2440" s="5">
        <v>0</v>
      </c>
      <c r="K2440" s="5">
        <v>0</v>
      </c>
    </row>
    <row r="2441" spans="1:11" x14ac:dyDescent="0.25">
      <c r="A2441" s="5">
        <f>2434</f>
      </c>
      <c r="B2441" s="5" t="s">
        <v>2449</v>
      </c>
      <c r="C2441" s="5">
        <v>101.8</v>
      </c>
      <c r="D2441" s="5">
        <v>0.1</v>
      </c>
      <c r="E2441" s="5">
        <v>102</v>
      </c>
      <c r="F2441" s="5">
        <v>203.4</v>
      </c>
      <c r="G2441" s="5">
        <v>101.5</v>
      </c>
      <c r="H2441" s="5">
        <v>101.3</v>
      </c>
      <c r="I2441" s="5">
        <v>0</v>
      </c>
      <c r="J2441" s="5">
        <v>0</v>
      </c>
      <c r="K2441" s="5">
        <v>0</v>
      </c>
    </row>
    <row r="2442" spans="1:11" x14ac:dyDescent="0.25">
      <c r="A2442" s="5">
        <f>2435</f>
      </c>
      <c r="B2442" s="5" t="s">
        <v>2450</v>
      </c>
      <c r="C2442" s="5">
        <v>101.1</v>
      </c>
      <c r="D2442" s="5">
        <v>0.1</v>
      </c>
      <c r="E2442" s="5">
        <v>101.3</v>
      </c>
      <c r="F2442" s="5">
        <v>201.9</v>
      </c>
      <c r="G2442" s="5">
        <v>100.7</v>
      </c>
      <c r="H2442" s="5">
        <v>100.6</v>
      </c>
      <c r="I2442" s="5">
        <v>0</v>
      </c>
      <c r="J2442" s="5">
        <v>0</v>
      </c>
      <c r="K2442" s="5">
        <v>0</v>
      </c>
    </row>
    <row r="2443" spans="1:11" x14ac:dyDescent="0.25">
      <c r="A2443" s="5">
        <f>2436</f>
      </c>
      <c r="B2443" s="5" t="s">
        <v>2451</v>
      </c>
      <c r="C2443" s="5">
        <v>101.1</v>
      </c>
      <c r="D2443" s="5">
        <v>0.1</v>
      </c>
      <c r="E2443" s="5">
        <v>101.3</v>
      </c>
      <c r="F2443" s="5">
        <v>201.9</v>
      </c>
      <c r="G2443" s="5">
        <v>100.7</v>
      </c>
      <c r="H2443" s="5">
        <v>100.6</v>
      </c>
      <c r="I2443" s="5">
        <v>0</v>
      </c>
      <c r="J2443" s="5">
        <v>0</v>
      </c>
      <c r="K2443" s="5">
        <v>0</v>
      </c>
    </row>
    <row r="2444" spans="1:11" x14ac:dyDescent="0.25">
      <c r="A2444" s="5">
        <f>2437</f>
      </c>
      <c r="B2444" s="5" t="s">
        <v>2452</v>
      </c>
      <c r="C2444" s="5">
        <v>101.8</v>
      </c>
      <c r="D2444" s="5">
        <v>0.1</v>
      </c>
      <c r="E2444" s="5">
        <v>102</v>
      </c>
      <c r="F2444" s="5">
        <v>203.4</v>
      </c>
      <c r="G2444" s="5">
        <v>101.4</v>
      </c>
      <c r="H2444" s="5">
        <v>101.1</v>
      </c>
      <c r="I2444" s="5">
        <v>0</v>
      </c>
      <c r="J2444" s="5">
        <v>0</v>
      </c>
      <c r="K2444" s="5">
        <v>0</v>
      </c>
    </row>
    <row r="2445" spans="1:11" x14ac:dyDescent="0.25">
      <c r="A2445" s="5">
        <f>2438</f>
      </c>
      <c r="B2445" s="5" t="s">
        <v>2453</v>
      </c>
      <c r="C2445" s="5">
        <v>101.8</v>
      </c>
      <c r="D2445" s="5">
        <v>0.1</v>
      </c>
      <c r="E2445" s="5">
        <v>102</v>
      </c>
      <c r="F2445" s="5">
        <v>203.4</v>
      </c>
      <c r="G2445" s="5">
        <v>101.4</v>
      </c>
      <c r="H2445" s="5">
        <v>101.1</v>
      </c>
      <c r="I2445" s="5">
        <v>0</v>
      </c>
      <c r="J2445" s="5">
        <v>0</v>
      </c>
      <c r="K2445" s="5">
        <v>0</v>
      </c>
    </row>
    <row r="2446" spans="1:11" x14ac:dyDescent="0.25">
      <c r="A2446" s="5">
        <f>2439</f>
      </c>
      <c r="B2446" s="5" t="s">
        <v>2454</v>
      </c>
      <c r="C2446" s="5">
        <v>102.2</v>
      </c>
      <c r="D2446" s="5">
        <v>0.1</v>
      </c>
      <c r="E2446" s="5">
        <v>102.4</v>
      </c>
      <c r="F2446" s="5">
        <v>202.9</v>
      </c>
      <c r="G2446" s="5">
        <v>101.2</v>
      </c>
      <c r="H2446" s="5">
        <v>101.1</v>
      </c>
      <c r="I2446" s="5">
        <v>0</v>
      </c>
      <c r="J2446" s="5">
        <v>0</v>
      </c>
      <c r="K2446" s="5">
        <v>0</v>
      </c>
    </row>
    <row r="2447" spans="1:11" x14ac:dyDescent="0.25">
      <c r="A2447" s="5">
        <f>2440</f>
      </c>
      <c r="B2447" s="5" t="s">
        <v>2455</v>
      </c>
      <c r="C2447" s="5">
        <v>102.2</v>
      </c>
      <c r="D2447" s="5">
        <v>0.1</v>
      </c>
      <c r="E2447" s="5">
        <v>102.4</v>
      </c>
      <c r="F2447" s="5">
        <v>202.9</v>
      </c>
      <c r="G2447" s="5">
        <v>101.2</v>
      </c>
      <c r="H2447" s="5">
        <v>101.1</v>
      </c>
      <c r="I2447" s="5">
        <v>0</v>
      </c>
      <c r="J2447" s="5">
        <v>0</v>
      </c>
      <c r="K2447" s="5">
        <v>0</v>
      </c>
    </row>
    <row r="2448" spans="1:11" x14ac:dyDescent="0.25">
      <c r="A2448" s="5">
        <f>2441</f>
      </c>
      <c r="B2448" s="5" t="s">
        <v>2456</v>
      </c>
      <c r="C2448" s="5">
        <v>102.2</v>
      </c>
      <c r="D2448" s="5">
        <v>0.1</v>
      </c>
      <c r="E2448" s="5">
        <v>102.4</v>
      </c>
      <c r="F2448" s="5">
        <v>202.9</v>
      </c>
      <c r="G2448" s="5">
        <v>101.2</v>
      </c>
      <c r="H2448" s="5">
        <v>101.1</v>
      </c>
      <c r="I2448" s="5">
        <v>0</v>
      </c>
      <c r="J2448" s="5">
        <v>0</v>
      </c>
      <c r="K2448" s="5">
        <v>0</v>
      </c>
    </row>
    <row r="2449" spans="1:11" x14ac:dyDescent="0.25">
      <c r="A2449" s="5">
        <f>2442</f>
      </c>
      <c r="B2449" s="5" t="s">
        <v>2457</v>
      </c>
      <c r="C2449" s="5">
        <v>102.2</v>
      </c>
      <c r="D2449" s="5">
        <v>0.1</v>
      </c>
      <c r="E2449" s="5">
        <v>102.4</v>
      </c>
      <c r="F2449" s="5">
        <v>202.9</v>
      </c>
      <c r="G2449" s="5">
        <v>101.2</v>
      </c>
      <c r="H2449" s="5">
        <v>101.1</v>
      </c>
      <c r="I2449" s="5">
        <v>0</v>
      </c>
      <c r="J2449" s="5">
        <v>0</v>
      </c>
      <c r="K2449" s="5">
        <v>0</v>
      </c>
    </row>
    <row r="2450" spans="1:11" x14ac:dyDescent="0.25">
      <c r="A2450" s="5">
        <f>2443</f>
      </c>
      <c r="B2450" s="5" t="s">
        <v>2458</v>
      </c>
      <c r="C2450" s="5">
        <v>102</v>
      </c>
      <c r="D2450" s="5">
        <v>0.1</v>
      </c>
      <c r="E2450" s="5">
        <v>102.1</v>
      </c>
      <c r="F2450" s="5">
        <v>204</v>
      </c>
      <c r="G2450" s="5">
        <v>101.7</v>
      </c>
      <c r="H2450" s="5">
        <v>101.6</v>
      </c>
      <c r="I2450" s="5">
        <v>0</v>
      </c>
      <c r="J2450" s="5">
        <v>0</v>
      </c>
      <c r="K2450" s="5">
        <v>0</v>
      </c>
    </row>
    <row r="2451" spans="1:11" x14ac:dyDescent="0.25">
      <c r="A2451" s="5">
        <f>2444</f>
      </c>
      <c r="B2451" s="5" t="s">
        <v>2459</v>
      </c>
      <c r="C2451" s="5">
        <v>102</v>
      </c>
      <c r="D2451" s="5">
        <v>0.1</v>
      </c>
      <c r="E2451" s="5">
        <v>102.1</v>
      </c>
      <c r="F2451" s="5">
        <v>204</v>
      </c>
      <c r="G2451" s="5">
        <v>101.7</v>
      </c>
      <c r="H2451" s="5">
        <v>101.6</v>
      </c>
      <c r="I2451" s="5">
        <v>0</v>
      </c>
      <c r="J2451" s="5">
        <v>0</v>
      </c>
      <c r="K2451" s="5">
        <v>0</v>
      </c>
    </row>
    <row r="2452" spans="1:11" x14ac:dyDescent="0.25">
      <c r="A2452" s="5">
        <f>2445</f>
      </c>
      <c r="B2452" s="5" t="s">
        <v>2460</v>
      </c>
      <c r="C2452" s="5">
        <v>106.2</v>
      </c>
      <c r="D2452" s="5">
        <v>0.1</v>
      </c>
      <c r="E2452" s="5">
        <v>106.3</v>
      </c>
      <c r="F2452" s="5">
        <v>212.3</v>
      </c>
      <c r="G2452" s="5">
        <v>105.9</v>
      </c>
      <c r="H2452" s="5">
        <v>105.8</v>
      </c>
      <c r="I2452" s="5">
        <v>0</v>
      </c>
      <c r="J2452" s="5">
        <v>0</v>
      </c>
      <c r="K2452" s="5">
        <v>0</v>
      </c>
    </row>
    <row r="2453" spans="1:11" x14ac:dyDescent="0.25">
      <c r="A2453" s="5">
        <f>2446</f>
      </c>
      <c r="B2453" s="5" t="s">
        <v>2461</v>
      </c>
      <c r="C2453" s="5">
        <v>106.2</v>
      </c>
      <c r="D2453" s="5">
        <v>0.1</v>
      </c>
      <c r="E2453" s="5">
        <v>106.3</v>
      </c>
      <c r="F2453" s="5">
        <v>212.3</v>
      </c>
      <c r="G2453" s="5">
        <v>105.9</v>
      </c>
      <c r="H2453" s="5">
        <v>105.8</v>
      </c>
      <c r="I2453" s="5">
        <v>0</v>
      </c>
      <c r="J2453" s="5">
        <v>0</v>
      </c>
      <c r="K2453" s="5">
        <v>0</v>
      </c>
    </row>
    <row r="2454" spans="1:11" x14ac:dyDescent="0.25">
      <c r="A2454" s="5">
        <f>2447</f>
      </c>
      <c r="B2454" s="5" t="s">
        <v>2462</v>
      </c>
      <c r="C2454" s="5">
        <v>105.4</v>
      </c>
      <c r="D2454" s="5">
        <v>0.1</v>
      </c>
      <c r="E2454" s="5">
        <v>105.6</v>
      </c>
      <c r="F2454" s="5">
        <v>210.6</v>
      </c>
      <c r="G2454" s="5">
        <v>105.1</v>
      </c>
      <c r="H2454" s="5">
        <v>104.9</v>
      </c>
      <c r="I2454" s="5">
        <v>0</v>
      </c>
      <c r="J2454" s="5">
        <v>0</v>
      </c>
      <c r="K2454" s="5">
        <v>0</v>
      </c>
    </row>
    <row r="2455" spans="1:11" x14ac:dyDescent="0.25">
      <c r="A2455" s="5">
        <f>2448</f>
      </c>
      <c r="B2455" s="5" t="s">
        <v>2463</v>
      </c>
      <c r="C2455" s="5">
        <v>105.4</v>
      </c>
      <c r="D2455" s="5">
        <v>0.1</v>
      </c>
      <c r="E2455" s="5">
        <v>105.6</v>
      </c>
      <c r="F2455" s="5">
        <v>210.6</v>
      </c>
      <c r="G2455" s="5">
        <v>105.1</v>
      </c>
      <c r="H2455" s="5">
        <v>104.9</v>
      </c>
      <c r="I2455" s="5">
        <v>0</v>
      </c>
      <c r="J2455" s="5">
        <v>0</v>
      </c>
      <c r="K2455" s="5">
        <v>0</v>
      </c>
    </row>
    <row r="2456" spans="1:11" x14ac:dyDescent="0.25">
      <c r="A2456" s="5">
        <f>2449</f>
      </c>
      <c r="B2456" s="5" t="s">
        <v>2464</v>
      </c>
      <c r="C2456" s="5">
        <v>106.2</v>
      </c>
      <c r="D2456" s="5">
        <v>0.1</v>
      </c>
      <c r="E2456" s="5">
        <v>106.4</v>
      </c>
      <c r="F2456" s="5">
        <v>211.3</v>
      </c>
      <c r="G2456" s="5">
        <v>105.4</v>
      </c>
      <c r="H2456" s="5">
        <v>105.3</v>
      </c>
      <c r="I2456" s="5">
        <v>0</v>
      </c>
      <c r="J2456" s="5">
        <v>0</v>
      </c>
      <c r="K2456" s="5">
        <v>0</v>
      </c>
    </row>
    <row r="2457" spans="1:11" x14ac:dyDescent="0.25">
      <c r="A2457" s="5">
        <f>2450</f>
      </c>
      <c r="B2457" s="5" t="s">
        <v>2465</v>
      </c>
      <c r="C2457" s="5">
        <v>106.2</v>
      </c>
      <c r="D2457" s="5">
        <v>0.1</v>
      </c>
      <c r="E2457" s="5">
        <v>106.4</v>
      </c>
      <c r="F2457" s="5">
        <v>211.3</v>
      </c>
      <c r="G2457" s="5">
        <v>105.4</v>
      </c>
      <c r="H2457" s="5">
        <v>105.3</v>
      </c>
      <c r="I2457" s="5">
        <v>0</v>
      </c>
      <c r="J2457" s="5">
        <v>0</v>
      </c>
      <c r="K2457" s="5">
        <v>0</v>
      </c>
    </row>
    <row r="2458" spans="1:11" x14ac:dyDescent="0.25">
      <c r="A2458" s="5">
        <f>2451</f>
      </c>
      <c r="B2458" s="5" t="s">
        <v>2466</v>
      </c>
      <c r="C2458" s="5">
        <v>106.2</v>
      </c>
      <c r="D2458" s="5">
        <v>0.1</v>
      </c>
      <c r="E2458" s="5">
        <v>106.4</v>
      </c>
      <c r="F2458" s="5">
        <v>211.3</v>
      </c>
      <c r="G2458" s="5">
        <v>105.4</v>
      </c>
      <c r="H2458" s="5">
        <v>105.3</v>
      </c>
      <c r="I2458" s="5">
        <v>0</v>
      </c>
      <c r="J2458" s="5">
        <v>0</v>
      </c>
      <c r="K2458" s="5">
        <v>0</v>
      </c>
    </row>
    <row r="2459" spans="1:11" x14ac:dyDescent="0.25">
      <c r="A2459" s="5">
        <f>2452</f>
      </c>
      <c r="B2459" s="5" t="s">
        <v>2467</v>
      </c>
      <c r="C2459" s="5">
        <v>106.2</v>
      </c>
      <c r="D2459" s="5">
        <v>0.1</v>
      </c>
      <c r="E2459" s="5">
        <v>106.4</v>
      </c>
      <c r="F2459" s="5">
        <v>211.3</v>
      </c>
      <c r="G2459" s="5">
        <v>105.4</v>
      </c>
      <c r="H2459" s="5">
        <v>105.3</v>
      </c>
      <c r="I2459" s="5">
        <v>0</v>
      </c>
      <c r="J2459" s="5">
        <v>0</v>
      </c>
      <c r="K2459" s="5">
        <v>0</v>
      </c>
    </row>
    <row r="2460" spans="1:11" x14ac:dyDescent="0.25">
      <c r="A2460" s="5">
        <f>2453</f>
      </c>
      <c r="B2460" s="5" t="s">
        <v>2468</v>
      </c>
      <c r="C2460" s="5">
        <v>106.2</v>
      </c>
      <c r="D2460" s="5">
        <v>0.1</v>
      </c>
      <c r="E2460" s="5">
        <v>106.4</v>
      </c>
      <c r="F2460" s="5">
        <v>212.3</v>
      </c>
      <c r="G2460" s="5">
        <v>105.9</v>
      </c>
      <c r="H2460" s="5">
        <v>105.8</v>
      </c>
      <c r="I2460" s="5">
        <v>0</v>
      </c>
      <c r="J2460" s="5">
        <v>0</v>
      </c>
      <c r="K2460" s="5">
        <v>0</v>
      </c>
    </row>
    <row r="2461" spans="1:11" x14ac:dyDescent="0.25">
      <c r="A2461" s="5">
        <f>2454</f>
      </c>
      <c r="B2461" s="5" t="s">
        <v>2469</v>
      </c>
      <c r="C2461" s="5">
        <v>106.2</v>
      </c>
      <c r="D2461" s="5">
        <v>0.1</v>
      </c>
      <c r="E2461" s="5">
        <v>106.4</v>
      </c>
      <c r="F2461" s="5">
        <v>212.3</v>
      </c>
      <c r="G2461" s="5">
        <v>105.9</v>
      </c>
      <c r="H2461" s="5">
        <v>105.8</v>
      </c>
      <c r="I2461" s="5">
        <v>0</v>
      </c>
      <c r="J2461" s="5">
        <v>0</v>
      </c>
      <c r="K2461" s="5">
        <v>0</v>
      </c>
    </row>
    <row r="2462" spans="1:11" x14ac:dyDescent="0.25">
      <c r="A2462" s="5">
        <f>2455</f>
      </c>
      <c r="B2462" s="5" t="s">
        <v>2470</v>
      </c>
      <c r="C2462" s="5">
        <v>106.2</v>
      </c>
      <c r="D2462" s="5">
        <v>0.1</v>
      </c>
      <c r="E2462" s="5">
        <v>106.4</v>
      </c>
      <c r="F2462" s="5">
        <v>212.5</v>
      </c>
      <c r="G2462" s="5">
        <v>106</v>
      </c>
      <c r="H2462" s="5">
        <v>105.9</v>
      </c>
      <c r="I2462" s="5">
        <v>0</v>
      </c>
      <c r="J2462" s="5">
        <v>0</v>
      </c>
      <c r="K2462" s="5">
        <v>0</v>
      </c>
    </row>
    <row r="2463" spans="1:11" x14ac:dyDescent="0.25">
      <c r="A2463" s="5">
        <f>2456</f>
      </c>
      <c r="B2463" s="5" t="s">
        <v>2471</v>
      </c>
      <c r="C2463" s="5">
        <v>106.2</v>
      </c>
      <c r="D2463" s="5">
        <v>0.1</v>
      </c>
      <c r="E2463" s="5">
        <v>106.4</v>
      </c>
      <c r="F2463" s="5">
        <v>212.5</v>
      </c>
      <c r="G2463" s="5">
        <v>106</v>
      </c>
      <c r="H2463" s="5">
        <v>105.9</v>
      </c>
      <c r="I2463" s="5">
        <v>0</v>
      </c>
      <c r="J2463" s="5">
        <v>0</v>
      </c>
      <c r="K2463" s="5">
        <v>0</v>
      </c>
    </row>
    <row r="2464" spans="1:11" x14ac:dyDescent="0.25">
      <c r="A2464" s="5">
        <f>2457</f>
      </c>
      <c r="B2464" s="5" t="s">
        <v>2472</v>
      </c>
      <c r="C2464" s="5">
        <v>105.8</v>
      </c>
      <c r="D2464" s="5">
        <v>0.1</v>
      </c>
      <c r="E2464" s="5">
        <v>105.9</v>
      </c>
      <c r="F2464" s="5">
        <v>212</v>
      </c>
      <c r="G2464" s="5">
        <v>105.7</v>
      </c>
      <c r="H2464" s="5">
        <v>105.5</v>
      </c>
      <c r="I2464" s="5">
        <v>0</v>
      </c>
      <c r="J2464" s="5">
        <v>0</v>
      </c>
      <c r="K2464" s="5">
        <v>0</v>
      </c>
    </row>
    <row r="2465" spans="1:11" x14ac:dyDescent="0.25">
      <c r="A2465" s="5">
        <f>2458</f>
      </c>
      <c r="B2465" s="5" t="s">
        <v>2473</v>
      </c>
      <c r="C2465" s="5">
        <v>105.8</v>
      </c>
      <c r="D2465" s="5">
        <v>0.1</v>
      </c>
      <c r="E2465" s="5">
        <v>105.9</v>
      </c>
      <c r="F2465" s="5">
        <v>212</v>
      </c>
      <c r="G2465" s="5">
        <v>105.7</v>
      </c>
      <c r="H2465" s="5">
        <v>105.5</v>
      </c>
      <c r="I2465" s="5">
        <v>0</v>
      </c>
      <c r="J2465" s="5">
        <v>0</v>
      </c>
      <c r="K2465" s="5">
        <v>0</v>
      </c>
    </row>
    <row r="2466" spans="1:11" x14ac:dyDescent="0.25">
      <c r="A2466" s="5">
        <f>2459</f>
      </c>
      <c r="B2466" s="5" t="s">
        <v>2474</v>
      </c>
      <c r="C2466" s="5">
        <v>105.6</v>
      </c>
      <c r="D2466" s="5">
        <v>0.1</v>
      </c>
      <c r="E2466" s="5">
        <v>105.8</v>
      </c>
      <c r="F2466" s="5">
        <v>211.2</v>
      </c>
      <c r="G2466" s="5">
        <v>105.3</v>
      </c>
      <c r="H2466" s="5">
        <v>105.2</v>
      </c>
      <c r="I2466" s="5">
        <v>0</v>
      </c>
      <c r="J2466" s="5">
        <v>0</v>
      </c>
      <c r="K2466" s="5">
        <v>0</v>
      </c>
    </row>
    <row r="2467" spans="1:11" x14ac:dyDescent="0.25">
      <c r="A2467" s="5">
        <f>2460</f>
      </c>
      <c r="B2467" s="5" t="s">
        <v>2475</v>
      </c>
      <c r="C2467" s="5">
        <v>105.6</v>
      </c>
      <c r="D2467" s="5">
        <v>0.1</v>
      </c>
      <c r="E2467" s="5">
        <v>105.8</v>
      </c>
      <c r="F2467" s="5">
        <v>211.2</v>
      </c>
      <c r="G2467" s="5">
        <v>105.3</v>
      </c>
      <c r="H2467" s="5">
        <v>105.2</v>
      </c>
      <c r="I2467" s="5">
        <v>0</v>
      </c>
      <c r="J2467" s="5">
        <v>0</v>
      </c>
      <c r="K2467" s="5">
        <v>0</v>
      </c>
    </row>
    <row r="2468" spans="1:11" x14ac:dyDescent="0.25">
      <c r="A2468" s="5">
        <f>2461</f>
      </c>
      <c r="B2468" s="5" t="s">
        <v>2476</v>
      </c>
      <c r="C2468" s="5">
        <v>105.6</v>
      </c>
      <c r="D2468" s="5">
        <v>0.1</v>
      </c>
      <c r="E2468" s="5">
        <v>105.8</v>
      </c>
      <c r="F2468" s="5">
        <v>211.2</v>
      </c>
      <c r="G2468" s="5">
        <v>105.3</v>
      </c>
      <c r="H2468" s="5">
        <v>105.2</v>
      </c>
      <c r="I2468" s="5">
        <v>0</v>
      </c>
      <c r="J2468" s="5">
        <v>0</v>
      </c>
      <c r="K2468" s="5">
        <v>0</v>
      </c>
    </row>
    <row r="2469" spans="1:11" x14ac:dyDescent="0.25">
      <c r="A2469" s="5">
        <f>2462</f>
      </c>
      <c r="B2469" s="5" t="s">
        <v>2477</v>
      </c>
      <c r="C2469" s="5">
        <v>105.6</v>
      </c>
      <c r="D2469" s="5">
        <v>0.1</v>
      </c>
      <c r="E2469" s="5">
        <v>105.8</v>
      </c>
      <c r="F2469" s="5">
        <v>211.2</v>
      </c>
      <c r="G2469" s="5">
        <v>105.3</v>
      </c>
      <c r="H2469" s="5">
        <v>105.2</v>
      </c>
      <c r="I2469" s="5">
        <v>0</v>
      </c>
      <c r="J2469" s="5">
        <v>0</v>
      </c>
      <c r="K2469" s="5">
        <v>0</v>
      </c>
    </row>
    <row r="2470" spans="1:11" x14ac:dyDescent="0.25">
      <c r="A2470" s="5">
        <f>2463</f>
      </c>
      <c r="B2470" s="5" t="s">
        <v>2478</v>
      </c>
      <c r="C2470" s="5">
        <v>105.8</v>
      </c>
      <c r="D2470" s="5">
        <v>0.1</v>
      </c>
      <c r="E2470" s="5">
        <v>105.9</v>
      </c>
      <c r="F2470" s="5">
        <v>212</v>
      </c>
      <c r="G2470" s="5">
        <v>105.6</v>
      </c>
      <c r="H2470" s="5">
        <v>105.2</v>
      </c>
      <c r="I2470" s="5">
        <v>0</v>
      </c>
      <c r="J2470" s="5">
        <v>0</v>
      </c>
      <c r="K2470" s="5">
        <v>0</v>
      </c>
    </row>
    <row r="2471" spans="1:11" x14ac:dyDescent="0.25">
      <c r="A2471" s="5">
        <f>2464</f>
      </c>
      <c r="B2471" s="5" t="s">
        <v>2479</v>
      </c>
      <c r="C2471" s="5">
        <v>105.8</v>
      </c>
      <c r="D2471" s="5">
        <v>0.1</v>
      </c>
      <c r="E2471" s="5">
        <v>105.9</v>
      </c>
      <c r="F2471" s="5">
        <v>212</v>
      </c>
      <c r="G2471" s="5">
        <v>105.6</v>
      </c>
      <c r="H2471" s="5">
        <v>105.2</v>
      </c>
      <c r="I2471" s="5">
        <v>0</v>
      </c>
      <c r="J2471" s="5">
        <v>0</v>
      </c>
      <c r="K2471" s="5">
        <v>0</v>
      </c>
    </row>
    <row r="2472" spans="1:11" x14ac:dyDescent="0.25">
      <c r="A2472" s="5">
        <f>2465</f>
      </c>
      <c r="B2472" s="5" t="s">
        <v>2480</v>
      </c>
      <c r="C2472" s="5">
        <v>106.3</v>
      </c>
      <c r="D2472" s="5">
        <v>0.1</v>
      </c>
      <c r="E2472" s="5">
        <v>106.5</v>
      </c>
      <c r="F2472" s="5">
        <v>212</v>
      </c>
      <c r="G2472" s="5">
        <v>105.8</v>
      </c>
      <c r="H2472" s="5">
        <v>105.7</v>
      </c>
      <c r="I2472" s="5">
        <v>0</v>
      </c>
      <c r="J2472" s="5">
        <v>0</v>
      </c>
      <c r="K2472" s="5">
        <v>0</v>
      </c>
    </row>
    <row r="2473" spans="1:11" x14ac:dyDescent="0.25">
      <c r="A2473" s="5">
        <f>2466</f>
      </c>
      <c r="B2473" s="5" t="s">
        <v>2481</v>
      </c>
      <c r="C2473" s="5">
        <v>106.3</v>
      </c>
      <c r="D2473" s="5">
        <v>0.1</v>
      </c>
      <c r="E2473" s="5">
        <v>106.5</v>
      </c>
      <c r="F2473" s="5">
        <v>212</v>
      </c>
      <c r="G2473" s="5">
        <v>105.8</v>
      </c>
      <c r="H2473" s="5">
        <v>105.7</v>
      </c>
      <c r="I2473" s="5">
        <v>0</v>
      </c>
      <c r="J2473" s="5">
        <v>0</v>
      </c>
      <c r="K2473" s="5">
        <v>0</v>
      </c>
    </row>
    <row r="2474" spans="1:11" x14ac:dyDescent="0.25">
      <c r="A2474" s="5">
        <f>2467</f>
      </c>
      <c r="B2474" s="5" t="s">
        <v>2482</v>
      </c>
      <c r="C2474" s="5">
        <v>105.3</v>
      </c>
      <c r="D2474" s="5">
        <v>0.1</v>
      </c>
      <c r="E2474" s="5">
        <v>105.3</v>
      </c>
      <c r="F2474" s="5">
        <v>210.2</v>
      </c>
      <c r="G2474" s="5">
        <v>105.6</v>
      </c>
      <c r="H2474" s="5">
        <v>105.5</v>
      </c>
      <c r="I2474" s="5">
        <v>0</v>
      </c>
      <c r="J2474" s="5">
        <v>0</v>
      </c>
      <c r="K2474" s="5">
        <v>0</v>
      </c>
    </row>
    <row r="2475" spans="1:11" x14ac:dyDescent="0.25">
      <c r="A2475" s="5">
        <f>2468</f>
      </c>
      <c r="B2475" s="5" t="s">
        <v>2483</v>
      </c>
      <c r="C2475" s="5">
        <v>105.3</v>
      </c>
      <c r="D2475" s="5">
        <v>0.1</v>
      </c>
      <c r="E2475" s="5">
        <v>105.3</v>
      </c>
      <c r="F2475" s="5">
        <v>210.2</v>
      </c>
      <c r="G2475" s="5">
        <v>105.6</v>
      </c>
      <c r="H2475" s="5">
        <v>105.5</v>
      </c>
      <c r="I2475" s="5">
        <v>0</v>
      </c>
      <c r="J2475" s="5">
        <v>0</v>
      </c>
      <c r="K2475" s="5">
        <v>0</v>
      </c>
    </row>
    <row r="2476" spans="1:11" x14ac:dyDescent="0.25">
      <c r="A2476" s="5">
        <f>2469</f>
      </c>
      <c r="B2476" s="5" t="s">
        <v>2484</v>
      </c>
      <c r="C2476" s="5">
        <v>106.1</v>
      </c>
      <c r="D2476" s="5">
        <v>0.1</v>
      </c>
      <c r="E2476" s="5">
        <v>106.2</v>
      </c>
      <c r="F2476" s="5">
        <v>212.8</v>
      </c>
      <c r="G2476" s="5">
        <v>106.1</v>
      </c>
      <c r="H2476" s="5">
        <v>105.8</v>
      </c>
      <c r="I2476" s="5">
        <v>0</v>
      </c>
      <c r="J2476" s="5">
        <v>0</v>
      </c>
      <c r="K2476" s="5">
        <v>0</v>
      </c>
    </row>
    <row r="2477" spans="1:11" x14ac:dyDescent="0.25">
      <c r="A2477" s="5">
        <f>2470</f>
      </c>
      <c r="B2477" s="5" t="s">
        <v>2485</v>
      </c>
      <c r="C2477" s="5">
        <v>106.1</v>
      </c>
      <c r="D2477" s="5">
        <v>0.1</v>
      </c>
      <c r="E2477" s="5">
        <v>106.2</v>
      </c>
      <c r="F2477" s="5">
        <v>212.8</v>
      </c>
      <c r="G2477" s="5">
        <v>106.1</v>
      </c>
      <c r="H2477" s="5">
        <v>105.8</v>
      </c>
      <c r="I2477" s="5">
        <v>0</v>
      </c>
      <c r="J2477" s="5">
        <v>0</v>
      </c>
      <c r="K2477" s="5">
        <v>0</v>
      </c>
    </row>
    <row r="2478" spans="1:11" x14ac:dyDescent="0.25">
      <c r="A2478" s="5">
        <f>2471</f>
      </c>
      <c r="B2478" s="5" t="s">
        <v>2486</v>
      </c>
      <c r="C2478" s="5">
        <v>106.1</v>
      </c>
      <c r="D2478" s="5">
        <v>0.1</v>
      </c>
      <c r="E2478" s="5">
        <v>106.2</v>
      </c>
      <c r="F2478" s="5">
        <v>212.8</v>
      </c>
      <c r="G2478" s="5">
        <v>106.1</v>
      </c>
      <c r="H2478" s="5">
        <v>105.8</v>
      </c>
      <c r="I2478" s="5">
        <v>0</v>
      </c>
      <c r="J2478" s="5">
        <v>0</v>
      </c>
      <c r="K2478" s="5">
        <v>0</v>
      </c>
    </row>
    <row r="2479" spans="1:11" x14ac:dyDescent="0.25">
      <c r="A2479" s="5">
        <f>2472</f>
      </c>
      <c r="B2479" s="5" t="s">
        <v>2487</v>
      </c>
      <c r="C2479" s="5">
        <v>106.1</v>
      </c>
      <c r="D2479" s="5">
        <v>0.1</v>
      </c>
      <c r="E2479" s="5">
        <v>106.2</v>
      </c>
      <c r="F2479" s="5">
        <v>212.8</v>
      </c>
      <c r="G2479" s="5">
        <v>106.1</v>
      </c>
      <c r="H2479" s="5">
        <v>105.8</v>
      </c>
      <c r="I2479" s="5">
        <v>0</v>
      </c>
      <c r="J2479" s="5">
        <v>0</v>
      </c>
      <c r="K2479" s="5">
        <v>0</v>
      </c>
    </row>
    <row r="2480" spans="1:11" x14ac:dyDescent="0.25">
      <c r="A2480" s="5">
        <f>2473</f>
      </c>
      <c r="B2480" s="5" t="s">
        <v>2488</v>
      </c>
      <c r="C2480" s="5">
        <v>107.2</v>
      </c>
      <c r="D2480" s="5">
        <v>0.1</v>
      </c>
      <c r="E2480" s="5">
        <v>107.3</v>
      </c>
      <c r="F2480" s="5">
        <v>213.3</v>
      </c>
      <c r="G2480" s="5">
        <v>106.5</v>
      </c>
      <c r="H2480" s="5">
        <v>106.3</v>
      </c>
      <c r="I2480" s="5">
        <v>0</v>
      </c>
      <c r="J2480" s="5">
        <v>0</v>
      </c>
      <c r="K2480" s="5">
        <v>0</v>
      </c>
    </row>
    <row r="2481" spans="1:11" x14ac:dyDescent="0.25">
      <c r="A2481" s="5">
        <f>2474</f>
      </c>
      <c r="B2481" s="5" t="s">
        <v>2489</v>
      </c>
      <c r="C2481" s="5">
        <v>107.2</v>
      </c>
      <c r="D2481" s="5">
        <v>0.1</v>
      </c>
      <c r="E2481" s="5">
        <v>107.3</v>
      </c>
      <c r="F2481" s="5">
        <v>213.3</v>
      </c>
      <c r="G2481" s="5">
        <v>106.5</v>
      </c>
      <c r="H2481" s="5">
        <v>106.3</v>
      </c>
      <c r="I2481" s="5">
        <v>0</v>
      </c>
      <c r="J2481" s="5">
        <v>0</v>
      </c>
      <c r="K2481" s="5">
        <v>0</v>
      </c>
    </row>
    <row r="2482" spans="1:11" x14ac:dyDescent="0.25">
      <c r="A2482" s="5">
        <f>2475</f>
      </c>
      <c r="B2482" s="5" t="s">
        <v>2490</v>
      </c>
      <c r="C2482" s="5">
        <v>107.1</v>
      </c>
      <c r="D2482" s="5">
        <v>0.1</v>
      </c>
      <c r="E2482" s="5">
        <v>107.2</v>
      </c>
      <c r="F2482" s="5">
        <v>213.4</v>
      </c>
      <c r="G2482" s="5">
        <v>106.4</v>
      </c>
      <c r="H2482" s="5">
        <v>106.3</v>
      </c>
      <c r="I2482" s="5">
        <v>0</v>
      </c>
      <c r="J2482" s="5">
        <v>0</v>
      </c>
      <c r="K2482" s="5">
        <v>0</v>
      </c>
    </row>
    <row r="2483" spans="1:11" x14ac:dyDescent="0.25">
      <c r="A2483" s="5">
        <f>2476</f>
      </c>
      <c r="B2483" s="5" t="s">
        <v>2491</v>
      </c>
      <c r="C2483" s="5">
        <v>107.1</v>
      </c>
      <c r="D2483" s="5">
        <v>0.1</v>
      </c>
      <c r="E2483" s="5">
        <v>107.2</v>
      </c>
      <c r="F2483" s="5">
        <v>213.4</v>
      </c>
      <c r="G2483" s="5">
        <v>106.4</v>
      </c>
      <c r="H2483" s="5">
        <v>106.3</v>
      </c>
      <c r="I2483" s="5">
        <v>0</v>
      </c>
      <c r="J2483" s="5">
        <v>0</v>
      </c>
      <c r="K2483" s="5">
        <v>0</v>
      </c>
    </row>
    <row r="2484" spans="1:11" x14ac:dyDescent="0.25">
      <c r="A2484" s="5">
        <f>2477</f>
      </c>
      <c r="B2484" s="5" t="s">
        <v>2492</v>
      </c>
      <c r="C2484" s="5">
        <v>106.6</v>
      </c>
      <c r="D2484" s="5">
        <v>0.1</v>
      </c>
      <c r="E2484" s="5">
        <v>106.7</v>
      </c>
      <c r="F2484" s="5">
        <v>212.7</v>
      </c>
      <c r="G2484" s="5">
        <v>106.1</v>
      </c>
      <c r="H2484" s="5">
        <v>106</v>
      </c>
      <c r="I2484" s="5">
        <v>0</v>
      </c>
      <c r="J2484" s="5">
        <v>0</v>
      </c>
      <c r="K2484" s="5">
        <v>0</v>
      </c>
    </row>
    <row r="2485" spans="1:11" x14ac:dyDescent="0.25">
      <c r="A2485" s="5">
        <f>2478</f>
      </c>
      <c r="B2485" s="5" t="s">
        <v>2493</v>
      </c>
      <c r="C2485" s="5">
        <v>106.6</v>
      </c>
      <c r="D2485" s="5">
        <v>0.1</v>
      </c>
      <c r="E2485" s="5">
        <v>106.7</v>
      </c>
      <c r="F2485" s="5">
        <v>212.7</v>
      </c>
      <c r="G2485" s="5">
        <v>106.1</v>
      </c>
      <c r="H2485" s="5">
        <v>106</v>
      </c>
      <c r="I2485" s="5">
        <v>0</v>
      </c>
      <c r="J2485" s="5">
        <v>0</v>
      </c>
      <c r="K2485" s="5">
        <v>0</v>
      </c>
    </row>
    <row r="2486" spans="1:11" x14ac:dyDescent="0.25">
      <c r="A2486" s="5">
        <f>2479</f>
      </c>
      <c r="B2486" s="5" t="s">
        <v>2494</v>
      </c>
      <c r="C2486" s="5">
        <v>106.9</v>
      </c>
      <c r="D2486" s="5">
        <v>0.1</v>
      </c>
      <c r="E2486" s="5">
        <v>107</v>
      </c>
      <c r="F2486" s="5">
        <v>213.3</v>
      </c>
      <c r="G2486" s="5">
        <v>106.4</v>
      </c>
      <c r="H2486" s="5">
        <v>106.3</v>
      </c>
      <c r="I2486" s="5">
        <v>0</v>
      </c>
      <c r="J2486" s="5">
        <v>0</v>
      </c>
      <c r="K2486" s="5">
        <v>0</v>
      </c>
    </row>
    <row r="2487" spans="1:11" x14ac:dyDescent="0.25">
      <c r="A2487" s="5">
        <f>2480</f>
      </c>
      <c r="B2487" s="5" t="s">
        <v>2495</v>
      </c>
      <c r="C2487" s="5">
        <v>106.9</v>
      </c>
      <c r="D2487" s="5">
        <v>0.1</v>
      </c>
      <c r="E2487" s="5">
        <v>107</v>
      </c>
      <c r="F2487" s="5">
        <v>213.3</v>
      </c>
      <c r="G2487" s="5">
        <v>106.4</v>
      </c>
      <c r="H2487" s="5">
        <v>106.3</v>
      </c>
      <c r="I2487" s="5">
        <v>0</v>
      </c>
      <c r="J2487" s="5">
        <v>0</v>
      </c>
      <c r="K2487" s="5">
        <v>0</v>
      </c>
    </row>
    <row r="2488" spans="1:11" x14ac:dyDescent="0.25">
      <c r="A2488" s="5">
        <f>2481</f>
      </c>
      <c r="B2488" s="5" t="s">
        <v>2496</v>
      </c>
      <c r="C2488" s="5">
        <v>106.9</v>
      </c>
      <c r="D2488" s="5">
        <v>0.1</v>
      </c>
      <c r="E2488" s="5">
        <v>107</v>
      </c>
      <c r="F2488" s="5">
        <v>213.3</v>
      </c>
      <c r="G2488" s="5">
        <v>106.4</v>
      </c>
      <c r="H2488" s="5">
        <v>106.3</v>
      </c>
      <c r="I2488" s="5">
        <v>0</v>
      </c>
      <c r="J2488" s="5">
        <v>0</v>
      </c>
      <c r="K2488" s="5">
        <v>0</v>
      </c>
    </row>
    <row r="2489" spans="1:11" x14ac:dyDescent="0.25">
      <c r="A2489" s="5">
        <f>2482</f>
      </c>
      <c r="B2489" s="5" t="s">
        <v>2497</v>
      </c>
      <c r="C2489" s="5">
        <v>106.9</v>
      </c>
      <c r="D2489" s="5">
        <v>0.1</v>
      </c>
      <c r="E2489" s="5">
        <v>107</v>
      </c>
      <c r="F2489" s="5">
        <v>213.3</v>
      </c>
      <c r="G2489" s="5">
        <v>106.4</v>
      </c>
      <c r="H2489" s="5">
        <v>106.3</v>
      </c>
      <c r="I2489" s="5">
        <v>0</v>
      </c>
      <c r="J2489" s="5">
        <v>0</v>
      </c>
      <c r="K2489" s="5">
        <v>0</v>
      </c>
    </row>
    <row r="2490" spans="1:11" x14ac:dyDescent="0.25">
      <c r="A2490" s="5">
        <f>2483</f>
      </c>
      <c r="B2490" s="5" t="s">
        <v>2498</v>
      </c>
      <c r="C2490" s="5">
        <v>107.5</v>
      </c>
      <c r="D2490" s="5">
        <v>0.1</v>
      </c>
      <c r="E2490" s="5">
        <v>107.6</v>
      </c>
      <c r="F2490" s="5">
        <v>214.6</v>
      </c>
      <c r="G2490" s="5">
        <v>107.1</v>
      </c>
      <c r="H2490" s="5">
        <v>106.9</v>
      </c>
      <c r="I2490" s="5">
        <v>0</v>
      </c>
      <c r="J2490" s="5">
        <v>0</v>
      </c>
      <c r="K2490" s="5">
        <v>0</v>
      </c>
    </row>
    <row r="2491" spans="1:11" x14ac:dyDescent="0.25">
      <c r="A2491" s="5">
        <f>2484</f>
      </c>
      <c r="B2491" s="5" t="s">
        <v>2499</v>
      </c>
      <c r="C2491" s="5">
        <v>107.5</v>
      </c>
      <c r="D2491" s="5">
        <v>0.1</v>
      </c>
      <c r="E2491" s="5">
        <v>107.6</v>
      </c>
      <c r="F2491" s="5">
        <v>214.6</v>
      </c>
      <c r="G2491" s="5">
        <v>107.1</v>
      </c>
      <c r="H2491" s="5">
        <v>106.9</v>
      </c>
      <c r="I2491" s="5">
        <v>0</v>
      </c>
      <c r="J2491" s="5">
        <v>0</v>
      </c>
      <c r="K2491" s="5">
        <v>0</v>
      </c>
    </row>
    <row r="2492" spans="1:11" x14ac:dyDescent="0.25">
      <c r="A2492" s="5">
        <f>2485</f>
      </c>
      <c r="B2492" s="5" t="s">
        <v>2500</v>
      </c>
      <c r="C2492" s="5">
        <v>107.4</v>
      </c>
      <c r="D2492" s="5">
        <v>0.1</v>
      </c>
      <c r="E2492" s="5">
        <v>107.5</v>
      </c>
      <c r="F2492" s="5">
        <v>213.7</v>
      </c>
      <c r="G2492" s="5">
        <v>106.6</v>
      </c>
      <c r="H2492" s="5">
        <v>106.1</v>
      </c>
      <c r="I2492" s="5">
        <v>0</v>
      </c>
      <c r="J2492" s="5">
        <v>0</v>
      </c>
      <c r="K2492" s="5">
        <v>0</v>
      </c>
    </row>
    <row r="2493" spans="1:11" x14ac:dyDescent="0.25">
      <c r="A2493" s="5">
        <f>2486</f>
      </c>
      <c r="B2493" s="5" t="s">
        <v>2501</v>
      </c>
      <c r="C2493" s="5">
        <v>107.4</v>
      </c>
      <c r="D2493" s="5">
        <v>0.1</v>
      </c>
      <c r="E2493" s="5">
        <v>107.5</v>
      </c>
      <c r="F2493" s="5">
        <v>213.7</v>
      </c>
      <c r="G2493" s="5">
        <v>106.6</v>
      </c>
      <c r="H2493" s="5">
        <v>106.1</v>
      </c>
      <c r="I2493" s="5">
        <v>0</v>
      </c>
      <c r="J2493" s="5">
        <v>0</v>
      </c>
      <c r="K2493" s="5">
        <v>0</v>
      </c>
    </row>
    <row r="2494" spans="1:11" x14ac:dyDescent="0.25">
      <c r="A2494" s="5">
        <f>2487</f>
      </c>
      <c r="B2494" s="5" t="s">
        <v>2502</v>
      </c>
      <c r="C2494" s="5">
        <v>107.2</v>
      </c>
      <c r="D2494" s="5">
        <v>0.1</v>
      </c>
      <c r="E2494" s="5">
        <v>107.2</v>
      </c>
      <c r="F2494" s="5">
        <v>214.1</v>
      </c>
      <c r="G2494" s="5">
        <v>106.8</v>
      </c>
      <c r="H2494" s="5">
        <v>106.6</v>
      </c>
      <c r="I2494" s="5">
        <v>0</v>
      </c>
      <c r="J2494" s="5">
        <v>0</v>
      </c>
      <c r="K2494" s="5">
        <v>0</v>
      </c>
    </row>
    <row r="2495" spans="1:11" x14ac:dyDescent="0.25">
      <c r="A2495" s="5">
        <f>2488</f>
      </c>
      <c r="B2495" s="5" t="s">
        <v>2503</v>
      </c>
      <c r="C2495" s="5">
        <v>107.2</v>
      </c>
      <c r="D2495" s="5">
        <v>0.1</v>
      </c>
      <c r="E2495" s="5">
        <v>107.2</v>
      </c>
      <c r="F2495" s="5">
        <v>214.1</v>
      </c>
      <c r="G2495" s="5">
        <v>106.8</v>
      </c>
      <c r="H2495" s="5">
        <v>106.6</v>
      </c>
      <c r="I2495" s="5">
        <v>0</v>
      </c>
      <c r="J2495" s="5">
        <v>0</v>
      </c>
      <c r="K2495" s="5">
        <v>0</v>
      </c>
    </row>
    <row r="2496" spans="1:11" x14ac:dyDescent="0.25">
      <c r="A2496" s="5">
        <f>2489</f>
      </c>
      <c r="B2496" s="5" t="s">
        <v>2504</v>
      </c>
      <c r="C2496" s="5">
        <v>106.1</v>
      </c>
      <c r="D2496" s="5">
        <v>0.1</v>
      </c>
      <c r="E2496" s="5">
        <v>106.2</v>
      </c>
      <c r="F2496" s="5">
        <v>211.7</v>
      </c>
      <c r="G2496" s="5">
        <v>105.6</v>
      </c>
      <c r="H2496" s="5">
        <v>105.5</v>
      </c>
      <c r="I2496" s="5">
        <v>0</v>
      </c>
      <c r="J2496" s="5">
        <v>0</v>
      </c>
      <c r="K2496" s="5">
        <v>0</v>
      </c>
    </row>
    <row r="2497" spans="1:11" x14ac:dyDescent="0.25">
      <c r="A2497" s="5">
        <f>2490</f>
      </c>
      <c r="B2497" s="5" t="s">
        <v>2505</v>
      </c>
      <c r="C2497" s="5">
        <v>106.1</v>
      </c>
      <c r="D2497" s="5">
        <v>0.1</v>
      </c>
      <c r="E2497" s="5">
        <v>106.2</v>
      </c>
      <c r="F2497" s="5">
        <v>211.7</v>
      </c>
      <c r="G2497" s="5">
        <v>105.6</v>
      </c>
      <c r="H2497" s="5">
        <v>105.5</v>
      </c>
      <c r="I2497" s="5">
        <v>0</v>
      </c>
      <c r="J2497" s="5">
        <v>0</v>
      </c>
      <c r="K2497" s="5">
        <v>0</v>
      </c>
    </row>
    <row r="2498" spans="1:11" x14ac:dyDescent="0.25">
      <c r="A2498" s="5">
        <f>2491</f>
      </c>
      <c r="B2498" s="5" t="s">
        <v>2506</v>
      </c>
      <c r="C2498" s="5">
        <v>106.1</v>
      </c>
      <c r="D2498" s="5">
        <v>0.1</v>
      </c>
      <c r="E2498" s="5">
        <v>106.2</v>
      </c>
      <c r="F2498" s="5">
        <v>211.7</v>
      </c>
      <c r="G2498" s="5">
        <v>105.6</v>
      </c>
      <c r="H2498" s="5">
        <v>105.5</v>
      </c>
      <c r="I2498" s="5">
        <v>0</v>
      </c>
      <c r="J2498" s="5">
        <v>0</v>
      </c>
      <c r="K2498" s="5">
        <v>0</v>
      </c>
    </row>
    <row r="2499" spans="1:11" x14ac:dyDescent="0.25">
      <c r="A2499" s="5">
        <f>2492</f>
      </c>
      <c r="B2499" s="5" t="s">
        <v>2507</v>
      </c>
      <c r="C2499" s="5">
        <v>106.1</v>
      </c>
      <c r="D2499" s="5">
        <v>0.1</v>
      </c>
      <c r="E2499" s="5">
        <v>106.2</v>
      </c>
      <c r="F2499" s="5">
        <v>211.7</v>
      </c>
      <c r="G2499" s="5">
        <v>105.6</v>
      </c>
      <c r="H2499" s="5">
        <v>105.5</v>
      </c>
      <c r="I2499" s="5">
        <v>0</v>
      </c>
      <c r="J2499" s="5">
        <v>0</v>
      </c>
      <c r="K2499" s="5">
        <v>0</v>
      </c>
    </row>
    <row r="2500" spans="1:11" x14ac:dyDescent="0.25">
      <c r="A2500" s="5">
        <f>2493</f>
      </c>
      <c r="B2500" s="5" t="s">
        <v>2508</v>
      </c>
      <c r="C2500" s="5">
        <v>106.1</v>
      </c>
      <c r="D2500" s="5">
        <v>0.1</v>
      </c>
      <c r="E2500" s="5">
        <v>106.2</v>
      </c>
      <c r="F2500" s="5">
        <v>212.1</v>
      </c>
      <c r="G2500" s="5">
        <v>105.8</v>
      </c>
      <c r="H2500" s="5">
        <v>105.6</v>
      </c>
      <c r="I2500" s="5">
        <v>0</v>
      </c>
      <c r="J2500" s="5">
        <v>0</v>
      </c>
      <c r="K2500" s="5">
        <v>0</v>
      </c>
    </row>
    <row r="2501" spans="1:11" x14ac:dyDescent="0.25">
      <c r="A2501" s="5">
        <f>2494</f>
      </c>
      <c r="B2501" s="5" t="s">
        <v>2509</v>
      </c>
      <c r="C2501" s="5">
        <v>106.1</v>
      </c>
      <c r="D2501" s="5">
        <v>0.1</v>
      </c>
      <c r="E2501" s="5">
        <v>106.2</v>
      </c>
      <c r="F2501" s="5">
        <v>212.1</v>
      </c>
      <c r="G2501" s="5">
        <v>105.8</v>
      </c>
      <c r="H2501" s="5">
        <v>105.6</v>
      </c>
      <c r="I2501" s="5">
        <v>0</v>
      </c>
      <c r="J2501" s="5">
        <v>0</v>
      </c>
      <c r="K2501" s="5">
        <v>0</v>
      </c>
    </row>
    <row r="2502" spans="1:11" x14ac:dyDescent="0.25">
      <c r="A2502" s="5">
        <f>2495</f>
      </c>
      <c r="B2502" s="5" t="s">
        <v>2510</v>
      </c>
      <c r="C2502" s="5">
        <v>105.9</v>
      </c>
      <c r="D2502" s="5">
        <v>0.1</v>
      </c>
      <c r="E2502" s="5">
        <v>106</v>
      </c>
      <c r="F2502" s="5">
        <v>212.1</v>
      </c>
      <c r="G2502" s="5">
        <v>105.8</v>
      </c>
      <c r="H2502" s="5">
        <v>105.6</v>
      </c>
      <c r="I2502" s="5">
        <v>0</v>
      </c>
      <c r="J2502" s="5">
        <v>0</v>
      </c>
      <c r="K2502" s="5">
        <v>0</v>
      </c>
    </row>
    <row r="2503" spans="1:11" x14ac:dyDescent="0.25">
      <c r="A2503" s="5">
        <f>2496</f>
      </c>
      <c r="B2503" s="5" t="s">
        <v>2511</v>
      </c>
      <c r="C2503" s="5">
        <v>105.9</v>
      </c>
      <c r="D2503" s="5">
        <v>0.1</v>
      </c>
      <c r="E2503" s="5">
        <v>106</v>
      </c>
      <c r="F2503" s="5">
        <v>212.1</v>
      </c>
      <c r="G2503" s="5">
        <v>105.8</v>
      </c>
      <c r="H2503" s="5">
        <v>105.6</v>
      </c>
      <c r="I2503" s="5">
        <v>0</v>
      </c>
      <c r="J2503" s="5">
        <v>0</v>
      </c>
      <c r="K2503" s="5">
        <v>0</v>
      </c>
    </row>
    <row r="2504" spans="1:11" x14ac:dyDescent="0.25">
      <c r="A2504" s="5">
        <f>2497</f>
      </c>
      <c r="B2504" s="5" t="s">
        <v>2512</v>
      </c>
      <c r="C2504" s="5">
        <v>106.4</v>
      </c>
      <c r="D2504" s="5">
        <v>0.1</v>
      </c>
      <c r="E2504" s="5">
        <v>106.6</v>
      </c>
      <c r="F2504" s="5">
        <v>211.6</v>
      </c>
      <c r="G2504" s="5">
        <v>105.6</v>
      </c>
      <c r="H2504" s="5">
        <v>105.4</v>
      </c>
      <c r="I2504" s="5">
        <v>0</v>
      </c>
      <c r="J2504" s="5">
        <v>0</v>
      </c>
      <c r="K2504" s="5">
        <v>0</v>
      </c>
    </row>
    <row r="2505" spans="1:11" x14ac:dyDescent="0.25">
      <c r="A2505" s="5">
        <f>2498</f>
      </c>
      <c r="B2505" s="5" t="s">
        <v>2513</v>
      </c>
      <c r="C2505" s="5">
        <v>106.4</v>
      </c>
      <c r="D2505" s="5">
        <v>0.1</v>
      </c>
      <c r="E2505" s="5">
        <v>106.6</v>
      </c>
      <c r="F2505" s="5">
        <v>211.6</v>
      </c>
      <c r="G2505" s="5">
        <v>105.6</v>
      </c>
      <c r="H2505" s="5">
        <v>105.4</v>
      </c>
      <c r="I2505" s="5">
        <v>0</v>
      </c>
      <c r="J2505" s="5">
        <v>0</v>
      </c>
      <c r="K2505" s="5">
        <v>0</v>
      </c>
    </row>
    <row r="2506" spans="1:11" x14ac:dyDescent="0.25">
      <c r="A2506" s="5">
        <f>2499</f>
      </c>
      <c r="B2506" s="5" t="s">
        <v>2514</v>
      </c>
      <c r="C2506" s="5">
        <v>106.4</v>
      </c>
      <c r="D2506" s="5">
        <v>0.1</v>
      </c>
      <c r="E2506" s="5">
        <v>106.6</v>
      </c>
      <c r="F2506" s="5">
        <v>212.8</v>
      </c>
      <c r="G2506" s="5">
        <v>106.2</v>
      </c>
      <c r="H2506" s="5">
        <v>106</v>
      </c>
      <c r="I2506" s="5">
        <v>0</v>
      </c>
      <c r="J2506" s="5">
        <v>0</v>
      </c>
      <c r="K2506" s="5">
        <v>0</v>
      </c>
    </row>
    <row r="2507" spans="1:11" x14ac:dyDescent="0.25">
      <c r="A2507" s="5">
        <f>2500</f>
      </c>
      <c r="B2507" s="5" t="s">
        <v>2515</v>
      </c>
      <c r="C2507" s="5">
        <v>106.4</v>
      </c>
      <c r="D2507" s="5">
        <v>0.1</v>
      </c>
      <c r="E2507" s="5">
        <v>106.6</v>
      </c>
      <c r="F2507" s="5">
        <v>212.8</v>
      </c>
      <c r="G2507" s="5">
        <v>106.2</v>
      </c>
      <c r="H2507" s="5">
        <v>106</v>
      </c>
      <c r="I2507" s="5">
        <v>0</v>
      </c>
      <c r="J2507" s="5">
        <v>0</v>
      </c>
      <c r="K2507" s="5">
        <v>0</v>
      </c>
    </row>
    <row r="2508" spans="1:11" x14ac:dyDescent="0.25">
      <c r="A2508" s="5">
        <f>2501</f>
      </c>
      <c r="B2508" s="5" t="s">
        <v>2516</v>
      </c>
      <c r="C2508" s="5">
        <v>106.4</v>
      </c>
      <c r="D2508" s="5">
        <v>0.1</v>
      </c>
      <c r="E2508" s="5">
        <v>106.6</v>
      </c>
      <c r="F2508" s="5">
        <v>212.8</v>
      </c>
      <c r="G2508" s="5">
        <v>106.2</v>
      </c>
      <c r="H2508" s="5">
        <v>106</v>
      </c>
      <c r="I2508" s="5">
        <v>0</v>
      </c>
      <c r="J2508" s="5">
        <v>0</v>
      </c>
      <c r="K2508" s="5">
        <v>0</v>
      </c>
    </row>
    <row r="2509" spans="1:11" x14ac:dyDescent="0.25">
      <c r="A2509" s="5">
        <f>2502</f>
      </c>
      <c r="B2509" s="5" t="s">
        <v>2517</v>
      </c>
      <c r="C2509" s="5">
        <v>105.6</v>
      </c>
      <c r="D2509" s="5">
        <v>0.1</v>
      </c>
      <c r="E2509" s="5">
        <v>105.8</v>
      </c>
      <c r="F2509" s="5">
        <v>211.4</v>
      </c>
      <c r="G2509" s="5">
        <v>105.5</v>
      </c>
      <c r="H2509" s="5">
        <v>105.3</v>
      </c>
      <c r="I2509" s="5">
        <v>0</v>
      </c>
      <c r="J2509" s="5">
        <v>0</v>
      </c>
      <c r="K2509" s="5">
        <v>0</v>
      </c>
    </row>
    <row r="2510" spans="1:11" x14ac:dyDescent="0.25">
      <c r="A2510" s="5">
        <f>2503</f>
      </c>
      <c r="B2510" s="5" t="s">
        <v>2518</v>
      </c>
      <c r="C2510" s="5">
        <v>105.6</v>
      </c>
      <c r="D2510" s="5">
        <v>0.1</v>
      </c>
      <c r="E2510" s="5">
        <v>105.8</v>
      </c>
      <c r="F2510" s="5">
        <v>211.4</v>
      </c>
      <c r="G2510" s="5">
        <v>105.5</v>
      </c>
      <c r="H2510" s="5">
        <v>105.3</v>
      </c>
      <c r="I2510" s="5">
        <v>0</v>
      </c>
      <c r="J2510" s="5">
        <v>0</v>
      </c>
      <c r="K2510" s="5">
        <v>0</v>
      </c>
    </row>
    <row r="2511" spans="1:11" x14ac:dyDescent="0.25">
      <c r="A2511" s="5">
        <f>2504</f>
      </c>
      <c r="B2511" s="5" t="s">
        <v>2519</v>
      </c>
      <c r="C2511" s="5">
        <v>106.6</v>
      </c>
      <c r="D2511" s="5">
        <v>0.1</v>
      </c>
      <c r="E2511" s="5">
        <v>106.7</v>
      </c>
      <c r="F2511" s="5">
        <v>212.6</v>
      </c>
      <c r="G2511" s="5">
        <v>106.1</v>
      </c>
      <c r="H2511" s="5">
        <v>105.3</v>
      </c>
      <c r="I2511" s="5">
        <v>0</v>
      </c>
      <c r="J2511" s="5">
        <v>0</v>
      </c>
      <c r="K2511" s="5">
        <v>0</v>
      </c>
    </row>
    <row r="2512" spans="1:11" x14ac:dyDescent="0.25">
      <c r="A2512" s="5">
        <f>2505</f>
      </c>
      <c r="B2512" s="5" t="s">
        <v>2520</v>
      </c>
      <c r="C2512" s="5">
        <v>106.6</v>
      </c>
      <c r="D2512" s="5">
        <v>0.1</v>
      </c>
      <c r="E2512" s="5">
        <v>106.7</v>
      </c>
      <c r="F2512" s="5">
        <v>212.6</v>
      </c>
      <c r="G2512" s="5">
        <v>106.1</v>
      </c>
      <c r="H2512" s="5">
        <v>105.9</v>
      </c>
      <c r="I2512" s="5">
        <v>0</v>
      </c>
      <c r="J2512" s="5">
        <v>0</v>
      </c>
      <c r="K2512" s="5">
        <v>0</v>
      </c>
    </row>
    <row r="2513" spans="1:11" x14ac:dyDescent="0.25">
      <c r="A2513" s="5">
        <f>2506</f>
      </c>
      <c r="B2513" s="5" t="s">
        <v>2521</v>
      </c>
      <c r="C2513" s="5">
        <v>105.6</v>
      </c>
      <c r="D2513" s="5">
        <v>0.1</v>
      </c>
      <c r="E2513" s="5">
        <v>105.7</v>
      </c>
      <c r="F2513" s="5">
        <v>212.6</v>
      </c>
      <c r="G2513" s="5">
        <v>106.1</v>
      </c>
      <c r="H2513" s="5">
        <v>105.9</v>
      </c>
      <c r="I2513" s="5">
        <v>0</v>
      </c>
      <c r="J2513" s="5">
        <v>0</v>
      </c>
      <c r="K2513" s="5">
        <v>0</v>
      </c>
    </row>
    <row r="2514" spans="1:11" x14ac:dyDescent="0.25">
      <c r="A2514" s="5">
        <f>2507</f>
      </c>
      <c r="B2514" s="5" t="s">
        <v>2522</v>
      </c>
      <c r="C2514" s="5">
        <v>105.6</v>
      </c>
      <c r="D2514" s="5">
        <v>0.1</v>
      </c>
      <c r="E2514" s="5">
        <v>105.7</v>
      </c>
      <c r="F2514" s="5">
        <v>211.6</v>
      </c>
      <c r="G2514" s="5">
        <v>105.6</v>
      </c>
      <c r="H2514" s="5">
        <v>105.4</v>
      </c>
      <c r="I2514" s="5">
        <v>0</v>
      </c>
      <c r="J2514" s="5">
        <v>0</v>
      </c>
      <c r="K2514" s="5">
        <v>0</v>
      </c>
    </row>
    <row r="2515" spans="1:11" x14ac:dyDescent="0.25">
      <c r="A2515" s="5">
        <f>2508</f>
      </c>
      <c r="B2515" s="5" t="s">
        <v>2523</v>
      </c>
      <c r="C2515" s="5">
        <v>106</v>
      </c>
      <c r="D2515" s="5">
        <v>0.1</v>
      </c>
      <c r="E2515" s="5">
        <v>105.7</v>
      </c>
      <c r="F2515" s="5">
        <v>211.6</v>
      </c>
      <c r="G2515" s="5">
        <v>105.6</v>
      </c>
      <c r="H2515" s="5">
        <v>105.4</v>
      </c>
      <c r="I2515" s="5">
        <v>0</v>
      </c>
      <c r="J2515" s="5">
        <v>0</v>
      </c>
      <c r="K2515" s="5">
        <v>0</v>
      </c>
    </row>
    <row r="2516" spans="1:11" x14ac:dyDescent="0.25">
      <c r="A2516" s="5">
        <f>2509</f>
      </c>
      <c r="B2516" s="5" t="s">
        <v>2524</v>
      </c>
      <c r="C2516" s="5">
        <v>106</v>
      </c>
      <c r="D2516" s="5">
        <v>0.1</v>
      </c>
      <c r="E2516" s="5">
        <v>106.2</v>
      </c>
      <c r="F2516" s="5">
        <v>211.5</v>
      </c>
      <c r="G2516" s="5">
        <v>105.5</v>
      </c>
      <c r="H2516" s="5">
        <v>105.4</v>
      </c>
      <c r="I2516" s="5">
        <v>0</v>
      </c>
      <c r="J2516" s="5">
        <v>0</v>
      </c>
      <c r="K2516" s="5">
        <v>0</v>
      </c>
    </row>
    <row r="2517" spans="1:11" x14ac:dyDescent="0.25">
      <c r="A2517" s="5">
        <f>2510</f>
      </c>
      <c r="B2517" s="5" t="s">
        <v>2525</v>
      </c>
      <c r="C2517" s="5">
        <v>106</v>
      </c>
      <c r="D2517" s="5">
        <v>0.1</v>
      </c>
      <c r="E2517" s="5">
        <v>106.2</v>
      </c>
      <c r="F2517" s="5">
        <v>211.5</v>
      </c>
      <c r="G2517" s="5">
        <v>105.5</v>
      </c>
      <c r="H2517" s="5">
        <v>105.4</v>
      </c>
      <c r="I2517" s="5">
        <v>0</v>
      </c>
      <c r="J2517" s="5">
        <v>0</v>
      </c>
      <c r="K2517" s="5">
        <v>0</v>
      </c>
    </row>
    <row r="2518" spans="1:11" x14ac:dyDescent="0.25">
      <c r="A2518" s="5">
        <f>2511</f>
      </c>
      <c r="B2518" s="5" t="s">
        <v>2526</v>
      </c>
      <c r="C2518" s="5">
        <v>106</v>
      </c>
      <c r="D2518" s="5">
        <v>0.1</v>
      </c>
      <c r="E2518" s="5">
        <v>106.2</v>
      </c>
      <c r="F2518" s="5">
        <v>211.5</v>
      </c>
      <c r="G2518" s="5">
        <v>105.5</v>
      </c>
      <c r="H2518" s="5">
        <v>105.4</v>
      </c>
      <c r="I2518" s="5">
        <v>0</v>
      </c>
      <c r="J2518" s="5">
        <v>0</v>
      </c>
      <c r="K2518" s="5">
        <v>0</v>
      </c>
    </row>
    <row r="2519" spans="1:11" x14ac:dyDescent="0.25">
      <c r="A2519" s="5">
        <f>2512</f>
      </c>
      <c r="B2519" s="5" t="s">
        <v>2527</v>
      </c>
      <c r="C2519" s="5">
        <v>106</v>
      </c>
      <c r="D2519" s="5">
        <v>0.1</v>
      </c>
      <c r="E2519" s="5">
        <v>106.2</v>
      </c>
      <c r="F2519" s="5">
        <v>211.5</v>
      </c>
      <c r="G2519" s="5">
        <v>105.5</v>
      </c>
      <c r="H2519" s="5">
        <v>105.4</v>
      </c>
      <c r="I2519" s="5">
        <v>0</v>
      </c>
      <c r="J2519" s="5">
        <v>0</v>
      </c>
      <c r="K2519" s="5">
        <v>0</v>
      </c>
    </row>
    <row r="2520" spans="1:11" x14ac:dyDescent="0.25">
      <c r="A2520" s="5">
        <f>2513</f>
      </c>
      <c r="B2520" s="5" t="s">
        <v>2528</v>
      </c>
      <c r="C2520" s="5">
        <v>106.7</v>
      </c>
      <c r="D2520" s="5">
        <v>0.1</v>
      </c>
      <c r="E2520" s="5">
        <v>106.9</v>
      </c>
      <c r="F2520" s="5">
        <v>211.5</v>
      </c>
      <c r="G2520" s="5">
        <v>105.6</v>
      </c>
      <c r="H2520" s="5">
        <v>105.5</v>
      </c>
      <c r="I2520" s="5">
        <v>0</v>
      </c>
      <c r="J2520" s="5">
        <v>0</v>
      </c>
      <c r="K2520" s="5">
        <v>0</v>
      </c>
    </row>
    <row r="2521" spans="1:11" x14ac:dyDescent="0.25">
      <c r="A2521" s="5">
        <f>2514</f>
      </c>
      <c r="B2521" s="5" t="s">
        <v>2529</v>
      </c>
      <c r="C2521" s="5">
        <v>106.7</v>
      </c>
      <c r="D2521" s="5">
        <v>0.1</v>
      </c>
      <c r="E2521" s="5">
        <v>106.9</v>
      </c>
      <c r="F2521" s="5">
        <v>211.5</v>
      </c>
      <c r="G2521" s="5">
        <v>105.6</v>
      </c>
      <c r="H2521" s="5">
        <v>105.5</v>
      </c>
      <c r="I2521" s="5">
        <v>0</v>
      </c>
      <c r="J2521" s="5">
        <v>0</v>
      </c>
      <c r="K2521" s="5">
        <v>0</v>
      </c>
    </row>
    <row r="2522" spans="1:11" x14ac:dyDescent="0.25">
      <c r="A2522" s="5">
        <f>2515</f>
      </c>
      <c r="B2522" s="5" t="s">
        <v>2530</v>
      </c>
      <c r="C2522" s="5">
        <v>105.6</v>
      </c>
      <c r="D2522" s="5">
        <v>0.1</v>
      </c>
      <c r="E2522" s="5">
        <v>105.7</v>
      </c>
      <c r="F2522" s="5">
        <v>211.7</v>
      </c>
      <c r="G2522" s="5">
        <v>105.6</v>
      </c>
      <c r="H2522" s="5">
        <v>105.5</v>
      </c>
      <c r="I2522" s="5">
        <v>0</v>
      </c>
      <c r="J2522" s="5">
        <v>0</v>
      </c>
      <c r="K2522" s="5">
        <v>0</v>
      </c>
    </row>
    <row r="2523" spans="1:11" x14ac:dyDescent="0.25">
      <c r="A2523" s="5">
        <f>2516</f>
      </c>
      <c r="B2523" s="5" t="s">
        <v>2531</v>
      </c>
      <c r="C2523" s="5">
        <v>105.6</v>
      </c>
      <c r="D2523" s="5">
        <v>0.1</v>
      </c>
      <c r="E2523" s="5">
        <v>105.7</v>
      </c>
      <c r="F2523" s="5">
        <v>211.7</v>
      </c>
      <c r="G2523" s="5">
        <v>105.6</v>
      </c>
      <c r="H2523" s="5">
        <v>105.5</v>
      </c>
      <c r="I2523" s="5">
        <v>0</v>
      </c>
      <c r="J2523" s="5">
        <v>0</v>
      </c>
      <c r="K2523" s="5">
        <v>0</v>
      </c>
    </row>
    <row r="2524" spans="1:11" x14ac:dyDescent="0.25">
      <c r="A2524" s="5">
        <f>2517</f>
      </c>
      <c r="B2524" s="5" t="s">
        <v>2532</v>
      </c>
      <c r="C2524" s="5">
        <v>106</v>
      </c>
      <c r="D2524" s="5">
        <v>0.1</v>
      </c>
      <c r="E2524" s="5">
        <v>106.2</v>
      </c>
      <c r="F2524" s="5">
        <v>211.2</v>
      </c>
      <c r="G2524" s="5">
        <v>105.4</v>
      </c>
      <c r="H2524" s="5">
        <v>105.4</v>
      </c>
      <c r="I2524" s="5">
        <v>0</v>
      </c>
      <c r="J2524" s="5">
        <v>0</v>
      </c>
      <c r="K2524" s="5">
        <v>0</v>
      </c>
    </row>
    <row r="2525" spans="1:11" x14ac:dyDescent="0.25">
      <c r="A2525" s="5">
        <f>2518</f>
      </c>
      <c r="B2525" s="5" t="s">
        <v>2533</v>
      </c>
      <c r="C2525" s="5">
        <v>106</v>
      </c>
      <c r="D2525" s="5">
        <v>0.1</v>
      </c>
      <c r="E2525" s="5">
        <v>106.2</v>
      </c>
      <c r="F2525" s="5">
        <v>211.2</v>
      </c>
      <c r="G2525" s="5">
        <v>105.4</v>
      </c>
      <c r="H2525" s="5">
        <v>105.4</v>
      </c>
      <c r="I2525" s="5">
        <v>0</v>
      </c>
      <c r="J2525" s="5">
        <v>0</v>
      </c>
      <c r="K2525" s="5">
        <v>0</v>
      </c>
    </row>
    <row r="2526" spans="1:11" x14ac:dyDescent="0.25">
      <c r="A2526" s="5">
        <f>2519</f>
      </c>
      <c r="B2526" s="5" t="s">
        <v>2534</v>
      </c>
      <c r="C2526" s="5">
        <v>106</v>
      </c>
      <c r="D2526" s="5">
        <v>0.1</v>
      </c>
      <c r="E2526" s="5">
        <v>106.2</v>
      </c>
      <c r="F2526" s="5">
        <v>211.2</v>
      </c>
      <c r="G2526" s="5">
        <v>105.4</v>
      </c>
      <c r="H2526" s="5">
        <v>105.4</v>
      </c>
      <c r="I2526" s="5">
        <v>0</v>
      </c>
      <c r="J2526" s="5">
        <v>0</v>
      </c>
      <c r="K2526" s="5">
        <v>0</v>
      </c>
    </row>
    <row r="2527" spans="1:11" x14ac:dyDescent="0.25">
      <c r="A2527" s="5">
        <f>2520</f>
      </c>
      <c r="B2527" s="5" t="s">
        <v>2535</v>
      </c>
      <c r="C2527" s="5">
        <v>106</v>
      </c>
      <c r="D2527" s="5">
        <v>0.1</v>
      </c>
      <c r="E2527" s="5">
        <v>106.2</v>
      </c>
      <c r="F2527" s="5">
        <v>211.2</v>
      </c>
      <c r="G2527" s="5">
        <v>105.4</v>
      </c>
      <c r="H2527" s="5">
        <v>105.4</v>
      </c>
      <c r="I2527" s="5">
        <v>0</v>
      </c>
      <c r="J2527" s="5">
        <v>0</v>
      </c>
      <c r="K2527" s="5">
        <v>0</v>
      </c>
    </row>
    <row r="2528" spans="1:11" x14ac:dyDescent="0.25">
      <c r="A2528" s="5">
        <f>2521</f>
      </c>
      <c r="B2528" s="5" t="s">
        <v>2536</v>
      </c>
      <c r="C2528" s="5">
        <v>106</v>
      </c>
      <c r="D2528" s="5">
        <v>0.1</v>
      </c>
      <c r="E2528" s="5">
        <v>106.2</v>
      </c>
      <c r="F2528" s="5">
        <v>211.2</v>
      </c>
      <c r="G2528" s="5">
        <v>105.4</v>
      </c>
      <c r="H2528" s="5">
        <v>105.4</v>
      </c>
      <c r="I2528" s="5">
        <v>0</v>
      </c>
      <c r="J2528" s="5">
        <v>0</v>
      </c>
      <c r="K2528" s="5">
        <v>0</v>
      </c>
    </row>
    <row r="2529" spans="1:11" x14ac:dyDescent="0.25">
      <c r="A2529" s="5">
        <f>2522</f>
      </c>
      <c r="B2529" s="5" t="s">
        <v>2537</v>
      </c>
      <c r="C2529" s="5">
        <v>106</v>
      </c>
      <c r="D2529" s="5">
        <v>0.1</v>
      </c>
      <c r="E2529" s="5">
        <v>106.2</v>
      </c>
      <c r="F2529" s="5">
        <v>211.2</v>
      </c>
      <c r="G2529" s="5">
        <v>105.4</v>
      </c>
      <c r="H2529" s="5">
        <v>105.4</v>
      </c>
      <c r="I2529" s="5">
        <v>0</v>
      </c>
      <c r="J2529" s="5">
        <v>0</v>
      </c>
      <c r="K2529" s="5">
        <v>0</v>
      </c>
    </row>
    <row r="2530" spans="1:11" x14ac:dyDescent="0.25">
      <c r="A2530" s="5">
        <f>2523</f>
      </c>
      <c r="B2530" s="5" t="s">
        <v>2538</v>
      </c>
      <c r="C2530" s="5">
        <v>105.1</v>
      </c>
      <c r="D2530" s="5">
        <v>0.1</v>
      </c>
      <c r="E2530" s="5">
        <v>105.3</v>
      </c>
      <c r="F2530" s="5">
        <v>209.8</v>
      </c>
      <c r="G2530" s="5">
        <v>104.6</v>
      </c>
      <c r="H2530" s="5">
        <v>104.5</v>
      </c>
      <c r="I2530" s="5">
        <v>0</v>
      </c>
      <c r="J2530" s="5">
        <v>0</v>
      </c>
      <c r="K2530" s="5">
        <v>0</v>
      </c>
    </row>
    <row r="2531" spans="1:11" x14ac:dyDescent="0.25">
      <c r="A2531" s="5">
        <f>2524</f>
      </c>
      <c r="B2531" s="5" t="s">
        <v>2539</v>
      </c>
      <c r="C2531" s="5">
        <v>105.1</v>
      </c>
      <c r="D2531" s="5">
        <v>0.1</v>
      </c>
      <c r="E2531" s="5">
        <v>105.3</v>
      </c>
      <c r="F2531" s="5">
        <v>209.8</v>
      </c>
      <c r="G2531" s="5">
        <v>104.6</v>
      </c>
      <c r="H2531" s="5">
        <v>104.5</v>
      </c>
      <c r="I2531" s="5">
        <v>0</v>
      </c>
      <c r="J2531" s="5">
        <v>0</v>
      </c>
      <c r="K2531" s="5">
        <v>0</v>
      </c>
    </row>
    <row r="2532" spans="1:11" x14ac:dyDescent="0.25">
      <c r="A2532" s="5">
        <f>2525</f>
      </c>
      <c r="B2532" s="5" t="s">
        <v>2540</v>
      </c>
      <c r="C2532" s="5">
        <v>105.3</v>
      </c>
      <c r="D2532" s="5">
        <v>0.1</v>
      </c>
      <c r="E2532" s="5">
        <v>105.4</v>
      </c>
      <c r="F2532" s="5">
        <v>210.6</v>
      </c>
      <c r="G2532" s="5">
        <v>105</v>
      </c>
      <c r="H2532" s="5">
        <v>104.9</v>
      </c>
      <c r="I2532" s="5">
        <v>0</v>
      </c>
      <c r="J2532" s="5">
        <v>0</v>
      </c>
      <c r="K2532" s="5">
        <v>0</v>
      </c>
    </row>
    <row r="2533" spans="1:11" x14ac:dyDescent="0.25">
      <c r="A2533" s="5">
        <f>2526</f>
      </c>
      <c r="B2533" s="5" t="s">
        <v>2541</v>
      </c>
      <c r="C2533" s="5">
        <v>105.3</v>
      </c>
      <c r="D2533" s="5">
        <v>0.1</v>
      </c>
      <c r="E2533" s="5">
        <v>105.4</v>
      </c>
      <c r="F2533" s="5">
        <v>210.6</v>
      </c>
      <c r="G2533" s="5">
        <v>105</v>
      </c>
      <c r="H2533" s="5">
        <v>104.9</v>
      </c>
      <c r="I2533" s="5">
        <v>0</v>
      </c>
      <c r="J2533" s="5">
        <v>0</v>
      </c>
      <c r="K2533" s="5">
        <v>0</v>
      </c>
    </row>
    <row r="2534" spans="1:11" x14ac:dyDescent="0.25">
      <c r="A2534" s="5">
        <f>2527</f>
      </c>
      <c r="B2534" s="5" t="s">
        <v>2542</v>
      </c>
      <c r="C2534" s="5">
        <v>104.2</v>
      </c>
      <c r="D2534" s="5">
        <v>0.1</v>
      </c>
      <c r="E2534" s="5">
        <v>104.3</v>
      </c>
      <c r="F2534" s="5">
        <v>208.7</v>
      </c>
      <c r="G2534" s="5">
        <v>104.1</v>
      </c>
      <c r="H2534" s="5">
        <v>103.9</v>
      </c>
      <c r="I2534" s="5">
        <v>0</v>
      </c>
      <c r="J2534" s="5">
        <v>0</v>
      </c>
      <c r="K2534" s="5">
        <v>0</v>
      </c>
    </row>
    <row r="2535" spans="1:11" x14ac:dyDescent="0.25">
      <c r="A2535" s="5">
        <f>2528</f>
      </c>
      <c r="B2535" s="5" t="s">
        <v>2543</v>
      </c>
      <c r="C2535" s="5">
        <v>104.2</v>
      </c>
      <c r="D2535" s="5">
        <v>0.1</v>
      </c>
      <c r="E2535" s="5">
        <v>104.3</v>
      </c>
      <c r="F2535" s="5">
        <v>208.7</v>
      </c>
      <c r="G2535" s="5">
        <v>104.1</v>
      </c>
      <c r="H2535" s="5">
        <v>103.9</v>
      </c>
      <c r="I2535" s="5">
        <v>0</v>
      </c>
      <c r="J2535" s="5">
        <v>0</v>
      </c>
      <c r="K2535" s="5">
        <v>0</v>
      </c>
    </row>
    <row r="2536" spans="1:11" x14ac:dyDescent="0.25">
      <c r="A2536" s="5">
        <f>2529</f>
      </c>
      <c r="B2536" s="5" t="s">
        <v>2544</v>
      </c>
      <c r="C2536" s="5">
        <v>105.9</v>
      </c>
      <c r="D2536" s="5">
        <v>0.1</v>
      </c>
      <c r="E2536" s="5">
        <v>106.1</v>
      </c>
      <c r="F2536" s="5">
        <v>211.1</v>
      </c>
      <c r="G2536" s="5">
        <v>105.4</v>
      </c>
      <c r="H2536" s="5">
        <v>105.2</v>
      </c>
      <c r="I2536" s="5">
        <v>0</v>
      </c>
      <c r="J2536" s="5">
        <v>0</v>
      </c>
      <c r="K2536" s="5">
        <v>0</v>
      </c>
    </row>
    <row r="2537" spans="1:11" x14ac:dyDescent="0.25">
      <c r="A2537" s="5">
        <f>2530</f>
      </c>
      <c r="B2537" s="5" t="s">
        <v>2545</v>
      </c>
      <c r="C2537" s="5">
        <v>105.9</v>
      </c>
      <c r="D2537" s="5">
        <v>0.1</v>
      </c>
      <c r="E2537" s="5">
        <v>106.1</v>
      </c>
      <c r="F2537" s="5">
        <v>211.1</v>
      </c>
      <c r="G2537" s="5">
        <v>105.4</v>
      </c>
      <c r="H2537" s="5">
        <v>105.2</v>
      </c>
      <c r="I2537" s="5">
        <v>0</v>
      </c>
      <c r="J2537" s="5">
        <v>0</v>
      </c>
      <c r="K2537" s="5">
        <v>0</v>
      </c>
    </row>
    <row r="2538" spans="1:11" x14ac:dyDescent="0.25">
      <c r="A2538" s="5">
        <f>2531</f>
      </c>
      <c r="B2538" s="5" t="s">
        <v>2546</v>
      </c>
      <c r="C2538" s="5">
        <v>105.9</v>
      </c>
      <c r="D2538" s="5">
        <v>0.1</v>
      </c>
      <c r="E2538" s="5">
        <v>106.1</v>
      </c>
      <c r="F2538" s="5">
        <v>211.1</v>
      </c>
      <c r="G2538" s="5">
        <v>105.4</v>
      </c>
      <c r="H2538" s="5">
        <v>105.2</v>
      </c>
      <c r="I2538" s="5">
        <v>0</v>
      </c>
      <c r="J2538" s="5">
        <v>0</v>
      </c>
      <c r="K2538" s="5">
        <v>0</v>
      </c>
    </row>
    <row r="2539" spans="1:11" x14ac:dyDescent="0.25">
      <c r="A2539" s="5">
        <f>2532</f>
      </c>
      <c r="B2539" s="5" t="s">
        <v>2547</v>
      </c>
      <c r="C2539" s="5">
        <v>105.1</v>
      </c>
      <c r="D2539" s="5">
        <v>0.1</v>
      </c>
      <c r="E2539" s="5">
        <v>105.3</v>
      </c>
      <c r="F2539" s="5">
        <v>209.8</v>
      </c>
      <c r="G2539" s="5">
        <v>104.7</v>
      </c>
      <c r="H2539" s="5">
        <v>104.6</v>
      </c>
      <c r="I2539" s="5">
        <v>0</v>
      </c>
      <c r="J2539" s="5">
        <v>0</v>
      </c>
      <c r="K2539" s="5">
        <v>0</v>
      </c>
    </row>
    <row r="2540" spans="1:11" x14ac:dyDescent="0.25">
      <c r="A2540" s="5">
        <f>2533</f>
      </c>
      <c r="B2540" s="5" t="s">
        <v>2548</v>
      </c>
      <c r="C2540" s="5">
        <v>105.1</v>
      </c>
      <c r="D2540" s="5">
        <v>0.1</v>
      </c>
      <c r="E2540" s="5">
        <v>105.3</v>
      </c>
      <c r="F2540" s="5">
        <v>209.8</v>
      </c>
      <c r="G2540" s="5">
        <v>104.7</v>
      </c>
      <c r="H2540" s="5">
        <v>104.6</v>
      </c>
      <c r="I2540" s="5">
        <v>0</v>
      </c>
      <c r="J2540" s="5">
        <v>0</v>
      </c>
      <c r="K2540" s="5">
        <v>0</v>
      </c>
    </row>
    <row r="2541" spans="1:11" x14ac:dyDescent="0.25">
      <c r="A2541" s="5">
        <f>2534</f>
      </c>
      <c r="B2541" s="5" t="s">
        <v>2549</v>
      </c>
      <c r="C2541" s="5">
        <v>104.8</v>
      </c>
      <c r="D2541" s="5">
        <v>0.1</v>
      </c>
      <c r="E2541" s="5">
        <v>105</v>
      </c>
      <c r="F2541" s="5">
        <v>210</v>
      </c>
      <c r="G2541" s="5">
        <v>104.8</v>
      </c>
      <c r="H2541" s="5">
        <v>104.7</v>
      </c>
      <c r="I2541" s="5">
        <v>0</v>
      </c>
      <c r="J2541" s="5">
        <v>0</v>
      </c>
      <c r="K2541" s="5">
        <v>0</v>
      </c>
    </row>
    <row r="2542" spans="1:11" x14ac:dyDescent="0.25">
      <c r="A2542" s="5">
        <f>2535</f>
      </c>
      <c r="B2542" s="5" t="s">
        <v>2550</v>
      </c>
      <c r="C2542" s="5">
        <v>104.8</v>
      </c>
      <c r="D2542" s="5">
        <v>0.1</v>
      </c>
      <c r="E2542" s="5">
        <v>105</v>
      </c>
      <c r="F2542" s="5">
        <v>210</v>
      </c>
      <c r="G2542" s="5">
        <v>104.8</v>
      </c>
      <c r="H2542" s="5">
        <v>104.7</v>
      </c>
      <c r="I2542" s="5">
        <v>0</v>
      </c>
      <c r="J2542" s="5">
        <v>0</v>
      </c>
      <c r="K2542" s="5">
        <v>0</v>
      </c>
    </row>
    <row r="2543" spans="1:11" x14ac:dyDescent="0.25">
      <c r="A2543" s="5">
        <f>2536</f>
      </c>
      <c r="B2543" s="5" t="s">
        <v>2551</v>
      </c>
      <c r="C2543" s="5">
        <v>105.3</v>
      </c>
      <c r="D2543" s="5">
        <v>0.1</v>
      </c>
      <c r="E2543" s="5">
        <v>105.5</v>
      </c>
      <c r="F2543" s="5">
        <v>210</v>
      </c>
      <c r="G2543" s="5">
        <v>104.8</v>
      </c>
      <c r="H2543" s="5">
        <v>104.7</v>
      </c>
      <c r="I2543" s="5">
        <v>0</v>
      </c>
      <c r="J2543" s="5">
        <v>0</v>
      </c>
      <c r="K2543" s="5">
        <v>0</v>
      </c>
    </row>
    <row r="2544" spans="1:11" x14ac:dyDescent="0.25">
      <c r="A2544" s="5">
        <f>2537</f>
      </c>
      <c r="B2544" s="5" t="s">
        <v>2552</v>
      </c>
      <c r="C2544" s="5">
        <v>105.3</v>
      </c>
      <c r="D2544" s="5">
        <v>0.1</v>
      </c>
      <c r="E2544" s="5">
        <v>105.5</v>
      </c>
      <c r="F2544" s="5">
        <v>210</v>
      </c>
      <c r="G2544" s="5">
        <v>104.7</v>
      </c>
      <c r="H2544" s="5">
        <v>104.6</v>
      </c>
      <c r="I2544" s="5">
        <v>0</v>
      </c>
      <c r="J2544" s="5">
        <v>0</v>
      </c>
      <c r="K2544" s="5">
        <v>0</v>
      </c>
    </row>
    <row r="2545" spans="1:11" x14ac:dyDescent="0.25">
      <c r="A2545" s="5">
        <f>2538</f>
      </c>
      <c r="B2545" s="5" t="s">
        <v>2553</v>
      </c>
      <c r="C2545" s="5">
        <v>106.2</v>
      </c>
      <c r="D2545" s="5">
        <v>0.1</v>
      </c>
      <c r="E2545" s="5">
        <v>106.4</v>
      </c>
      <c r="F2545" s="5">
        <v>210</v>
      </c>
      <c r="G2545" s="5">
        <v>104.7</v>
      </c>
      <c r="H2545" s="5">
        <v>104.6</v>
      </c>
      <c r="I2545" s="5">
        <v>0</v>
      </c>
      <c r="J2545" s="5">
        <v>0</v>
      </c>
      <c r="K2545" s="5">
        <v>0</v>
      </c>
    </row>
    <row r="2546" spans="1:11" x14ac:dyDescent="0.25">
      <c r="A2546" s="5">
        <f>2539</f>
      </c>
      <c r="B2546" s="5" t="s">
        <v>2554</v>
      </c>
      <c r="C2546" s="5">
        <v>106.2</v>
      </c>
      <c r="D2546" s="5">
        <v>0.1</v>
      </c>
      <c r="E2546" s="5">
        <v>106.4</v>
      </c>
      <c r="F2546" s="5">
        <v>210.3</v>
      </c>
      <c r="G2546" s="5">
        <v>104.9</v>
      </c>
      <c r="H2546" s="5">
        <v>104.8</v>
      </c>
      <c r="I2546" s="5">
        <v>0</v>
      </c>
      <c r="J2546" s="5">
        <v>0</v>
      </c>
      <c r="K2546" s="5">
        <v>0</v>
      </c>
    </row>
    <row r="2547" spans="1:11" x14ac:dyDescent="0.25">
      <c r="A2547" s="5">
        <f>2540</f>
      </c>
      <c r="B2547" s="5" t="s">
        <v>2555</v>
      </c>
      <c r="C2547" s="5">
        <v>106.2</v>
      </c>
      <c r="D2547" s="5">
        <v>0.1</v>
      </c>
      <c r="E2547" s="5">
        <v>106.4</v>
      </c>
      <c r="F2547" s="5">
        <v>210.3</v>
      </c>
      <c r="G2547" s="5">
        <v>104.9</v>
      </c>
      <c r="H2547" s="5">
        <v>104.8</v>
      </c>
      <c r="I2547" s="5">
        <v>0</v>
      </c>
      <c r="J2547" s="5">
        <v>0</v>
      </c>
      <c r="K2547" s="5">
        <v>0</v>
      </c>
    </row>
    <row r="2548" spans="1:11" x14ac:dyDescent="0.25">
      <c r="A2548" s="5">
        <f>2541</f>
      </c>
      <c r="B2548" s="5" t="s">
        <v>2556</v>
      </c>
      <c r="C2548" s="5">
        <v>106.2</v>
      </c>
      <c r="D2548" s="5">
        <v>0.1</v>
      </c>
      <c r="E2548" s="5">
        <v>106.4</v>
      </c>
      <c r="F2548" s="5">
        <v>210.3</v>
      </c>
      <c r="G2548" s="5">
        <v>104.9</v>
      </c>
      <c r="H2548" s="5">
        <v>104.8</v>
      </c>
      <c r="I2548" s="5">
        <v>0</v>
      </c>
      <c r="J2548" s="5">
        <v>0</v>
      </c>
      <c r="K2548" s="5">
        <v>0</v>
      </c>
    </row>
    <row r="2549" spans="1:11" x14ac:dyDescent="0.25">
      <c r="A2549" s="5">
        <f>2542</f>
      </c>
      <c r="B2549" s="5" t="s">
        <v>2557</v>
      </c>
      <c r="C2549" s="5">
        <v>106.2</v>
      </c>
      <c r="D2549" s="5">
        <v>0.1</v>
      </c>
      <c r="E2549" s="5">
        <v>106.4</v>
      </c>
      <c r="F2549" s="5">
        <v>211</v>
      </c>
      <c r="G2549" s="5">
        <v>105.2</v>
      </c>
      <c r="H2549" s="5">
        <v>105.1</v>
      </c>
      <c r="I2549" s="5">
        <v>0</v>
      </c>
      <c r="J2549" s="5">
        <v>0</v>
      </c>
      <c r="K2549" s="5">
        <v>0</v>
      </c>
    </row>
    <row r="2550" spans="1:11" x14ac:dyDescent="0.25">
      <c r="A2550" s="5">
        <f>2543</f>
      </c>
      <c r="B2550" s="5" t="s">
        <v>2558</v>
      </c>
      <c r="C2550" s="5">
        <v>105.3</v>
      </c>
      <c r="D2550" s="5">
        <v>0.1</v>
      </c>
      <c r="E2550" s="5">
        <v>105.4</v>
      </c>
      <c r="F2550" s="5">
        <v>211</v>
      </c>
      <c r="G2550" s="5">
        <v>105.2</v>
      </c>
      <c r="H2550" s="5">
        <v>105.1</v>
      </c>
      <c r="I2550" s="5">
        <v>0</v>
      </c>
      <c r="J2550" s="5">
        <v>0</v>
      </c>
      <c r="K2550" s="5">
        <v>0</v>
      </c>
    </row>
    <row r="2551" spans="1:11" x14ac:dyDescent="0.25">
      <c r="A2551" s="5">
        <f>2544</f>
      </c>
      <c r="B2551" s="5" t="s">
        <v>2559</v>
      </c>
      <c r="C2551" s="5">
        <v>105.3</v>
      </c>
      <c r="D2551" s="5">
        <v>0.1</v>
      </c>
      <c r="E2551" s="5">
        <v>105.4</v>
      </c>
      <c r="F2551" s="5">
        <v>211</v>
      </c>
      <c r="G2551" s="5">
        <v>105.2</v>
      </c>
      <c r="H2551" s="5">
        <v>105.2</v>
      </c>
      <c r="I2551" s="5">
        <v>0</v>
      </c>
      <c r="J2551" s="5">
        <v>0</v>
      </c>
      <c r="K2551" s="5">
        <v>0</v>
      </c>
    </row>
    <row r="2552" spans="1:11" x14ac:dyDescent="0.25">
      <c r="A2552" s="5">
        <f>2545</f>
      </c>
      <c r="B2552" s="5" t="s">
        <v>2560</v>
      </c>
      <c r="C2552" s="5">
        <v>105.5</v>
      </c>
      <c r="D2552" s="5">
        <v>0.1</v>
      </c>
      <c r="E2552" s="5">
        <v>105.6</v>
      </c>
      <c r="F2552" s="5">
        <v>211.4</v>
      </c>
      <c r="G2552" s="5">
        <v>105.4</v>
      </c>
      <c r="H2552" s="5">
        <v>105.2</v>
      </c>
      <c r="I2552" s="5">
        <v>0</v>
      </c>
      <c r="J2552" s="5">
        <v>0</v>
      </c>
      <c r="K2552" s="5">
        <v>0</v>
      </c>
    </row>
    <row r="2553" spans="1:11" x14ac:dyDescent="0.25">
      <c r="A2553" s="5">
        <f>2546</f>
      </c>
      <c r="B2553" s="5" t="s">
        <v>2561</v>
      </c>
      <c r="C2553" s="5">
        <v>105.5</v>
      </c>
      <c r="D2553" s="5">
        <v>0.1</v>
      </c>
      <c r="E2553" s="5">
        <v>105.6</v>
      </c>
      <c r="F2553" s="5">
        <v>211.4</v>
      </c>
      <c r="G2553" s="5">
        <v>105.4</v>
      </c>
      <c r="H2553" s="5">
        <v>105.2</v>
      </c>
      <c r="I2553" s="5">
        <v>0</v>
      </c>
      <c r="J2553" s="5">
        <v>0</v>
      </c>
      <c r="K2553" s="5">
        <v>0</v>
      </c>
    </row>
    <row r="2554" spans="1:11" x14ac:dyDescent="0.25">
      <c r="A2554" s="5">
        <f>2547</f>
      </c>
      <c r="B2554" s="5" t="s">
        <v>2562</v>
      </c>
      <c r="C2554" s="5">
        <v>105.6</v>
      </c>
      <c r="D2554" s="5">
        <v>0.1</v>
      </c>
      <c r="E2554" s="5">
        <v>105.8</v>
      </c>
      <c r="F2554" s="5">
        <v>211.6</v>
      </c>
      <c r="G2554" s="5">
        <v>105.6</v>
      </c>
      <c r="H2554" s="5">
        <v>105.4</v>
      </c>
      <c r="I2554" s="5">
        <v>0</v>
      </c>
      <c r="J2554" s="5">
        <v>0</v>
      </c>
      <c r="K2554" s="5">
        <v>0</v>
      </c>
    </row>
    <row r="2555" spans="1:11" x14ac:dyDescent="0.25">
      <c r="A2555" s="5">
        <f>2548</f>
      </c>
      <c r="B2555" s="5" t="s">
        <v>2563</v>
      </c>
      <c r="C2555" s="5">
        <v>105.6</v>
      </c>
      <c r="D2555" s="5">
        <v>0.1</v>
      </c>
      <c r="E2555" s="5">
        <v>105.8</v>
      </c>
      <c r="F2555" s="5">
        <v>211.6</v>
      </c>
      <c r="G2555" s="5">
        <v>105.6</v>
      </c>
      <c r="H2555" s="5">
        <v>105.4</v>
      </c>
      <c r="I2555" s="5">
        <v>0</v>
      </c>
      <c r="J2555" s="5">
        <v>0</v>
      </c>
      <c r="K2555" s="5">
        <v>0</v>
      </c>
    </row>
    <row r="2556" spans="1:11" x14ac:dyDescent="0.25">
      <c r="A2556" s="5">
        <f>2549</f>
      </c>
      <c r="B2556" s="5" t="s">
        <v>2564</v>
      </c>
      <c r="C2556" s="5">
        <v>105.5</v>
      </c>
      <c r="D2556" s="5">
        <v>0.1</v>
      </c>
      <c r="E2556" s="5">
        <v>105.6</v>
      </c>
      <c r="F2556" s="5">
        <v>211</v>
      </c>
      <c r="G2556" s="5">
        <v>105.2</v>
      </c>
      <c r="H2556" s="5">
        <v>105.1</v>
      </c>
      <c r="I2556" s="5">
        <v>0</v>
      </c>
      <c r="J2556" s="5">
        <v>0</v>
      </c>
      <c r="K2556" s="5">
        <v>0</v>
      </c>
    </row>
    <row r="2557" spans="1:11" x14ac:dyDescent="0.25">
      <c r="A2557" s="5">
        <f>2550</f>
      </c>
      <c r="B2557" s="5" t="s">
        <v>2565</v>
      </c>
      <c r="C2557" s="5">
        <v>105.5</v>
      </c>
      <c r="D2557" s="5">
        <v>0.1</v>
      </c>
      <c r="E2557" s="5">
        <v>105.6</v>
      </c>
      <c r="F2557" s="5">
        <v>211</v>
      </c>
      <c r="G2557" s="5">
        <v>105.2</v>
      </c>
      <c r="H2557" s="5">
        <v>105.1</v>
      </c>
      <c r="I2557" s="5">
        <v>0</v>
      </c>
      <c r="J2557" s="5">
        <v>0</v>
      </c>
      <c r="K2557" s="5">
        <v>0</v>
      </c>
    </row>
    <row r="2558" spans="1:11" x14ac:dyDescent="0.25">
      <c r="A2558" s="5">
        <f>2551</f>
      </c>
      <c r="B2558" s="5" t="s">
        <v>2566</v>
      </c>
      <c r="C2558" s="5">
        <v>105.5</v>
      </c>
      <c r="D2558" s="5">
        <v>0.1</v>
      </c>
      <c r="E2558" s="5">
        <v>105.6</v>
      </c>
      <c r="F2558" s="5">
        <v>211</v>
      </c>
      <c r="G2558" s="5">
        <v>105.2</v>
      </c>
      <c r="H2558" s="5">
        <v>105.1</v>
      </c>
      <c r="I2558" s="5">
        <v>0</v>
      </c>
      <c r="J2558" s="5">
        <v>0</v>
      </c>
      <c r="K2558" s="5">
        <v>0</v>
      </c>
    </row>
    <row r="2559" spans="1:11" x14ac:dyDescent="0.25">
      <c r="A2559" s="5">
        <f>2552</f>
      </c>
      <c r="B2559" s="5" t="s">
        <v>2567</v>
      </c>
      <c r="C2559" s="5">
        <v>105.8</v>
      </c>
      <c r="D2559" s="5">
        <v>0.1</v>
      </c>
      <c r="E2559" s="5">
        <v>105.9</v>
      </c>
      <c r="F2559" s="5">
        <v>210.2</v>
      </c>
      <c r="G2559" s="5">
        <v>105</v>
      </c>
      <c r="H2559" s="5">
        <v>104.9</v>
      </c>
      <c r="I2559" s="5">
        <v>0</v>
      </c>
      <c r="J2559" s="5">
        <v>0</v>
      </c>
      <c r="K2559" s="5">
        <v>0</v>
      </c>
    </row>
    <row r="2560" spans="1:11" x14ac:dyDescent="0.25">
      <c r="A2560" s="5">
        <f>2553</f>
      </c>
      <c r="B2560" s="5" t="s">
        <v>2568</v>
      </c>
      <c r="C2560" s="5">
        <v>105.8</v>
      </c>
      <c r="D2560" s="5">
        <v>0.1</v>
      </c>
      <c r="E2560" s="5">
        <v>105.9</v>
      </c>
      <c r="F2560" s="5">
        <v>210.2</v>
      </c>
      <c r="G2560" s="5">
        <v>105</v>
      </c>
      <c r="H2560" s="5">
        <v>104.9</v>
      </c>
      <c r="I2560" s="5">
        <v>0</v>
      </c>
      <c r="J2560" s="5">
        <v>0</v>
      </c>
      <c r="K2560" s="5">
        <v>0</v>
      </c>
    </row>
    <row r="2561" spans="1:11" x14ac:dyDescent="0.25">
      <c r="A2561" s="5">
        <f>2554</f>
      </c>
      <c r="B2561" s="5" t="s">
        <v>2569</v>
      </c>
      <c r="C2561" s="5">
        <v>105</v>
      </c>
      <c r="D2561" s="5">
        <v>0.1</v>
      </c>
      <c r="E2561" s="5">
        <v>105.2</v>
      </c>
      <c r="F2561" s="5">
        <v>210.3</v>
      </c>
      <c r="G2561" s="5">
        <v>104.9</v>
      </c>
      <c r="H2561" s="5">
        <v>104.8</v>
      </c>
      <c r="I2561" s="5">
        <v>0</v>
      </c>
      <c r="J2561" s="5">
        <v>0</v>
      </c>
      <c r="K2561" s="5">
        <v>0</v>
      </c>
    </row>
    <row r="2562" spans="1:11" x14ac:dyDescent="0.25">
      <c r="A2562" s="5">
        <f>2555</f>
      </c>
      <c r="B2562" s="5" t="s">
        <v>2570</v>
      </c>
      <c r="C2562" s="5">
        <v>105</v>
      </c>
      <c r="D2562" s="5">
        <v>0.1</v>
      </c>
      <c r="E2562" s="5">
        <v>105.2</v>
      </c>
      <c r="F2562" s="5">
        <v>210.3</v>
      </c>
      <c r="G2562" s="5">
        <v>104.9</v>
      </c>
      <c r="H2562" s="5">
        <v>104.8</v>
      </c>
      <c r="I2562" s="5">
        <v>0</v>
      </c>
      <c r="J2562" s="5">
        <v>0</v>
      </c>
      <c r="K2562" s="5">
        <v>0</v>
      </c>
    </row>
    <row r="2563" spans="1:11" x14ac:dyDescent="0.25">
      <c r="A2563" s="5">
        <f>2556</f>
      </c>
      <c r="B2563" s="5" t="s">
        <v>2571</v>
      </c>
      <c r="C2563" s="5">
        <v>105</v>
      </c>
      <c r="D2563" s="5">
        <v>0.1</v>
      </c>
      <c r="E2563" s="5">
        <v>104.3</v>
      </c>
      <c r="F2563" s="5">
        <v>210.4</v>
      </c>
      <c r="G2563" s="5">
        <v>104.9</v>
      </c>
      <c r="H2563" s="5">
        <v>104.6</v>
      </c>
      <c r="I2563" s="5">
        <v>0</v>
      </c>
      <c r="J2563" s="5">
        <v>0</v>
      </c>
      <c r="K2563" s="5">
        <v>0</v>
      </c>
    </row>
    <row r="2564" spans="1:11" x14ac:dyDescent="0.25">
      <c r="A2564" s="5">
        <f>2557</f>
      </c>
      <c r="B2564" s="5" t="s">
        <v>2572</v>
      </c>
      <c r="C2564" s="5">
        <v>104.2</v>
      </c>
      <c r="D2564" s="5">
        <v>0.1</v>
      </c>
      <c r="E2564" s="5">
        <v>104.3</v>
      </c>
      <c r="F2564" s="5">
        <v>210.4</v>
      </c>
      <c r="G2564" s="5">
        <v>104.9</v>
      </c>
      <c r="H2564" s="5">
        <v>104.6</v>
      </c>
      <c r="I2564" s="5">
        <v>0</v>
      </c>
      <c r="J2564" s="5">
        <v>0</v>
      </c>
      <c r="K2564" s="5">
        <v>0</v>
      </c>
    </row>
    <row r="2565" spans="1:11" x14ac:dyDescent="0.25">
      <c r="A2565" s="5">
        <f>2558</f>
      </c>
      <c r="B2565" s="5" t="s">
        <v>2573</v>
      </c>
      <c r="C2565" s="5">
        <v>104.2</v>
      </c>
      <c r="D2565" s="5">
        <v>0.1</v>
      </c>
      <c r="E2565" s="5">
        <v>104.3</v>
      </c>
      <c r="F2565" s="5">
        <v>211.1</v>
      </c>
      <c r="G2565" s="5">
        <v>105.3</v>
      </c>
      <c r="H2565" s="5">
        <v>105.1</v>
      </c>
      <c r="I2565" s="5">
        <v>0</v>
      </c>
      <c r="J2565" s="5">
        <v>0</v>
      </c>
      <c r="K2565" s="5">
        <v>0</v>
      </c>
    </row>
    <row r="2566" spans="1:11" x14ac:dyDescent="0.25">
      <c r="A2566" s="5">
        <f>2559</f>
      </c>
      <c r="B2566" s="5" t="s">
        <v>2574</v>
      </c>
      <c r="C2566" s="5">
        <v>105.6</v>
      </c>
      <c r="D2566" s="5">
        <v>0.1</v>
      </c>
      <c r="E2566" s="5">
        <v>105.8</v>
      </c>
      <c r="F2566" s="5">
        <v>211.1</v>
      </c>
      <c r="G2566" s="5">
        <v>105.3</v>
      </c>
      <c r="H2566" s="5">
        <v>105.1</v>
      </c>
      <c r="I2566" s="5">
        <v>0</v>
      </c>
      <c r="J2566" s="5">
        <v>0</v>
      </c>
      <c r="K2566" s="5">
        <v>0</v>
      </c>
    </row>
    <row r="2567" spans="1:11" x14ac:dyDescent="0.25">
      <c r="A2567" s="5">
        <f>2560</f>
      </c>
      <c r="B2567" s="5" t="s">
        <v>2575</v>
      </c>
      <c r="C2567" s="5">
        <v>105.6</v>
      </c>
      <c r="D2567" s="5">
        <v>0.1</v>
      </c>
      <c r="E2567" s="5">
        <v>105.8</v>
      </c>
      <c r="F2567" s="5">
        <v>211.1</v>
      </c>
      <c r="G2567" s="5">
        <v>105.3</v>
      </c>
      <c r="H2567" s="5">
        <v>105.1</v>
      </c>
      <c r="I2567" s="5">
        <v>0</v>
      </c>
      <c r="J2567" s="5">
        <v>0</v>
      </c>
      <c r="K2567" s="5">
        <v>0</v>
      </c>
    </row>
    <row r="2568" spans="1:11" x14ac:dyDescent="0.25">
      <c r="A2568" s="5">
        <f>2561</f>
      </c>
      <c r="B2568" s="5" t="s">
        <v>2576</v>
      </c>
      <c r="C2568" s="5">
        <v>105.6</v>
      </c>
      <c r="D2568" s="5">
        <v>0.1</v>
      </c>
      <c r="E2568" s="5">
        <v>105.8</v>
      </c>
      <c r="F2568" s="5">
        <v>211.1</v>
      </c>
      <c r="G2568" s="5">
        <v>105.3</v>
      </c>
      <c r="H2568" s="5">
        <v>105.1</v>
      </c>
      <c r="I2568" s="5">
        <v>0</v>
      </c>
      <c r="J2568" s="5">
        <v>0</v>
      </c>
      <c r="K2568" s="5">
        <v>0</v>
      </c>
    </row>
    <row r="2569" spans="1:11" x14ac:dyDescent="0.25">
      <c r="A2569" s="5">
        <f>2562</f>
      </c>
      <c r="B2569" s="5" t="s">
        <v>2577</v>
      </c>
      <c r="C2569" s="5">
        <v>105.5</v>
      </c>
      <c r="D2569" s="5">
        <v>0.1</v>
      </c>
      <c r="E2569" s="5">
        <v>105.6</v>
      </c>
      <c r="F2569" s="5">
        <v>210.6</v>
      </c>
      <c r="G2569" s="5">
        <v>105.1</v>
      </c>
      <c r="H2569" s="5">
        <v>104.9</v>
      </c>
      <c r="I2569" s="5">
        <v>0</v>
      </c>
      <c r="J2569" s="5">
        <v>0</v>
      </c>
      <c r="K2569" s="5">
        <v>0</v>
      </c>
    </row>
    <row r="2570" spans="1:11" x14ac:dyDescent="0.25">
      <c r="A2570" s="5">
        <f>2563</f>
      </c>
      <c r="B2570" s="5" t="s">
        <v>2578</v>
      </c>
      <c r="C2570" s="5">
        <v>105.5</v>
      </c>
      <c r="D2570" s="5">
        <v>0.1</v>
      </c>
      <c r="E2570" s="5">
        <v>105.6</v>
      </c>
      <c r="F2570" s="5">
        <v>210.6</v>
      </c>
      <c r="G2570" s="5">
        <v>105.1</v>
      </c>
      <c r="H2570" s="5">
        <v>104.9</v>
      </c>
      <c r="I2570" s="5">
        <v>0</v>
      </c>
      <c r="J2570" s="5">
        <v>0</v>
      </c>
      <c r="K2570" s="5">
        <v>0</v>
      </c>
    </row>
    <row r="2571" spans="1:11" x14ac:dyDescent="0.25">
      <c r="A2571" s="5">
        <f>2564</f>
      </c>
      <c r="B2571" s="5" t="s">
        <v>2579</v>
      </c>
      <c r="C2571" s="5">
        <v>105.6</v>
      </c>
      <c r="D2571" s="5">
        <v>0.1</v>
      </c>
      <c r="E2571" s="5">
        <v>105.7</v>
      </c>
      <c r="F2571" s="5">
        <v>210.9</v>
      </c>
      <c r="G2571" s="5">
        <v>105.2</v>
      </c>
      <c r="H2571" s="5">
        <v>105.1</v>
      </c>
      <c r="I2571" s="5">
        <v>0</v>
      </c>
      <c r="J2571" s="5">
        <v>0</v>
      </c>
      <c r="K2571" s="5">
        <v>0</v>
      </c>
    </row>
    <row r="2572" spans="1:11" x14ac:dyDescent="0.25">
      <c r="A2572" s="5">
        <f>2565</f>
      </c>
      <c r="B2572" s="5" t="s">
        <v>2580</v>
      </c>
      <c r="C2572" s="5">
        <v>105.6</v>
      </c>
      <c r="D2572" s="5">
        <v>0.1</v>
      </c>
      <c r="E2572" s="5">
        <v>105.7</v>
      </c>
      <c r="F2572" s="5">
        <v>210.9</v>
      </c>
      <c r="G2572" s="5">
        <v>105.2</v>
      </c>
      <c r="H2572" s="5">
        <v>105.1</v>
      </c>
      <c r="I2572" s="5">
        <v>0</v>
      </c>
      <c r="J2572" s="5">
        <v>0</v>
      </c>
      <c r="K2572" s="5">
        <v>0</v>
      </c>
    </row>
    <row r="2573" spans="1:11" x14ac:dyDescent="0.25">
      <c r="A2573" s="5">
        <f>2566</f>
      </c>
      <c r="B2573" s="5" t="s">
        <v>2581</v>
      </c>
      <c r="C2573" s="5">
        <v>105.7</v>
      </c>
      <c r="D2573" s="5">
        <v>0.1</v>
      </c>
      <c r="E2573" s="5">
        <v>105.9</v>
      </c>
      <c r="F2573" s="5">
        <v>210.8</v>
      </c>
      <c r="G2573" s="5">
        <v>105.2</v>
      </c>
      <c r="H2573" s="5">
        <v>105</v>
      </c>
      <c r="I2573" s="5">
        <v>0</v>
      </c>
      <c r="J2573" s="5">
        <v>0</v>
      </c>
      <c r="K2573" s="5">
        <v>0</v>
      </c>
    </row>
    <row r="2574" spans="1:11" x14ac:dyDescent="0.25">
      <c r="A2574" s="5">
        <f>2567</f>
      </c>
      <c r="B2574" s="5" t="s">
        <v>2582</v>
      </c>
      <c r="C2574" s="5">
        <v>105.7</v>
      </c>
      <c r="D2574" s="5">
        <v>0.1</v>
      </c>
      <c r="E2574" s="5">
        <v>105.9</v>
      </c>
      <c r="F2574" s="5">
        <v>210.8</v>
      </c>
      <c r="G2574" s="5">
        <v>105.2</v>
      </c>
      <c r="H2574" s="5">
        <v>105</v>
      </c>
      <c r="I2574" s="5">
        <v>0</v>
      </c>
      <c r="J2574" s="5">
        <v>0</v>
      </c>
      <c r="K2574" s="5">
        <v>0</v>
      </c>
    </row>
    <row r="2575" spans="1:11" x14ac:dyDescent="0.25">
      <c r="A2575" s="5">
        <f>2568</f>
      </c>
      <c r="B2575" s="5" t="s">
        <v>2583</v>
      </c>
      <c r="C2575" s="5">
        <v>105.8</v>
      </c>
      <c r="D2575" s="5">
        <v>0.1</v>
      </c>
      <c r="E2575" s="5">
        <v>105.9</v>
      </c>
      <c r="F2575" s="5">
        <v>211.2</v>
      </c>
      <c r="G2575" s="5">
        <v>105.3</v>
      </c>
      <c r="H2575" s="5">
        <v>105.2</v>
      </c>
      <c r="I2575" s="5">
        <v>0</v>
      </c>
      <c r="J2575" s="5">
        <v>0</v>
      </c>
      <c r="K2575" s="5">
        <v>0</v>
      </c>
    </row>
    <row r="2576" spans="1:11" x14ac:dyDescent="0.25">
      <c r="A2576" s="5">
        <f>2569</f>
      </c>
      <c r="B2576" s="5" t="s">
        <v>2584</v>
      </c>
      <c r="C2576" s="5">
        <v>105.8</v>
      </c>
      <c r="D2576" s="5">
        <v>0.1</v>
      </c>
      <c r="E2576" s="5">
        <v>105.9</v>
      </c>
      <c r="F2576" s="5">
        <v>211.2</v>
      </c>
      <c r="G2576" s="5">
        <v>105.3</v>
      </c>
      <c r="H2576" s="5">
        <v>105.2</v>
      </c>
      <c r="I2576" s="5">
        <v>0</v>
      </c>
      <c r="J2576" s="5">
        <v>0</v>
      </c>
      <c r="K2576" s="5">
        <v>0</v>
      </c>
    </row>
    <row r="2577" spans="1:11" x14ac:dyDescent="0.25">
      <c r="A2577" s="5">
        <f>2570</f>
      </c>
      <c r="B2577" s="5" t="s">
        <v>2585</v>
      </c>
      <c r="C2577" s="5">
        <v>105.8</v>
      </c>
      <c r="D2577" s="5">
        <v>0.1</v>
      </c>
      <c r="E2577" s="5">
        <v>105.9</v>
      </c>
      <c r="F2577" s="5">
        <v>211.2</v>
      </c>
      <c r="G2577" s="5">
        <v>105.3</v>
      </c>
      <c r="H2577" s="5">
        <v>105.2</v>
      </c>
      <c r="I2577" s="5">
        <v>0</v>
      </c>
      <c r="J2577" s="5">
        <v>0</v>
      </c>
      <c r="K2577" s="5">
        <v>0</v>
      </c>
    </row>
    <row r="2578" spans="1:11" x14ac:dyDescent="0.25">
      <c r="A2578" s="5">
        <f>2571</f>
      </c>
      <c r="B2578" s="5" t="s">
        <v>2586</v>
      </c>
      <c r="C2578" s="5">
        <v>105.8</v>
      </c>
      <c r="D2578" s="5">
        <v>0.1</v>
      </c>
      <c r="E2578" s="5">
        <v>105.9</v>
      </c>
      <c r="F2578" s="5">
        <v>211.2</v>
      </c>
      <c r="G2578" s="5">
        <v>105.3</v>
      </c>
      <c r="H2578" s="5">
        <v>105.2</v>
      </c>
      <c r="I2578" s="5">
        <v>0</v>
      </c>
      <c r="J2578" s="5">
        <v>0</v>
      </c>
      <c r="K2578" s="5">
        <v>0</v>
      </c>
    </row>
    <row r="2579" spans="1:11" x14ac:dyDescent="0.25">
      <c r="A2579" s="5">
        <f>2572</f>
      </c>
      <c r="B2579" s="5" t="s">
        <v>2587</v>
      </c>
      <c r="C2579" s="5">
        <v>105.7</v>
      </c>
      <c r="D2579" s="5">
        <v>0.1</v>
      </c>
      <c r="E2579" s="5">
        <v>105.9</v>
      </c>
      <c r="F2579" s="5">
        <v>210.8</v>
      </c>
      <c r="G2579" s="5">
        <v>105.2</v>
      </c>
      <c r="H2579" s="5">
        <v>105.1</v>
      </c>
      <c r="I2579" s="5">
        <v>0</v>
      </c>
      <c r="J2579" s="5">
        <v>0</v>
      </c>
      <c r="K2579" s="5">
        <v>0</v>
      </c>
    </row>
    <row r="2580" spans="1:11" x14ac:dyDescent="0.25">
      <c r="A2580" s="5">
        <f>2573</f>
      </c>
      <c r="B2580" s="5" t="s">
        <v>2588</v>
      </c>
      <c r="C2580" s="5">
        <v>105.7</v>
      </c>
      <c r="D2580" s="5">
        <v>0.1</v>
      </c>
      <c r="E2580" s="5">
        <v>105.9</v>
      </c>
      <c r="F2580" s="5">
        <v>210.8</v>
      </c>
      <c r="G2580" s="5">
        <v>105.2</v>
      </c>
      <c r="H2580" s="5">
        <v>105.1</v>
      </c>
      <c r="I2580" s="5">
        <v>0</v>
      </c>
      <c r="J2580" s="5">
        <v>0</v>
      </c>
      <c r="K2580" s="5">
        <v>0</v>
      </c>
    </row>
    <row r="2581" spans="1:11" x14ac:dyDescent="0.25">
      <c r="A2581" s="5">
        <f>2574</f>
      </c>
      <c r="B2581" s="5" t="s">
        <v>2589</v>
      </c>
      <c r="C2581" s="5">
        <v>105</v>
      </c>
      <c r="D2581" s="5">
        <v>0.1</v>
      </c>
      <c r="E2581" s="5">
        <v>105.1</v>
      </c>
      <c r="F2581" s="5">
        <v>210.6</v>
      </c>
      <c r="G2581" s="5">
        <v>105.1</v>
      </c>
      <c r="H2581" s="5">
        <v>104.9</v>
      </c>
      <c r="I2581" s="5">
        <v>0</v>
      </c>
      <c r="J2581" s="5">
        <v>0</v>
      </c>
      <c r="K2581" s="5">
        <v>0</v>
      </c>
    </row>
    <row r="2582" spans="1:11" x14ac:dyDescent="0.25">
      <c r="A2582" s="5">
        <f>2575</f>
      </c>
      <c r="B2582" s="5" t="s">
        <v>2590</v>
      </c>
      <c r="C2582" s="5">
        <v>105</v>
      </c>
      <c r="D2582" s="5">
        <v>0.1</v>
      </c>
      <c r="E2582" s="5">
        <v>105.1</v>
      </c>
      <c r="F2582" s="5">
        <v>210.6</v>
      </c>
      <c r="G2582" s="5">
        <v>105.1</v>
      </c>
      <c r="H2582" s="5">
        <v>104.9</v>
      </c>
      <c r="I2582" s="5">
        <v>0</v>
      </c>
      <c r="J2582" s="5">
        <v>0</v>
      </c>
      <c r="K2582" s="5">
        <v>0</v>
      </c>
    </row>
    <row r="2583" spans="1:11" x14ac:dyDescent="0.25">
      <c r="A2583" s="5">
        <f>2576</f>
      </c>
      <c r="B2583" s="5" t="s">
        <v>2591</v>
      </c>
      <c r="C2583" s="5">
        <v>105.6</v>
      </c>
      <c r="D2583" s="5">
        <v>0.1</v>
      </c>
      <c r="E2583" s="5">
        <v>105.7</v>
      </c>
      <c r="F2583" s="5">
        <v>208.4</v>
      </c>
      <c r="G2583" s="5">
        <v>103.9</v>
      </c>
      <c r="H2583" s="5">
        <v>103.8</v>
      </c>
      <c r="I2583" s="5">
        <v>0</v>
      </c>
      <c r="J2583" s="5">
        <v>0</v>
      </c>
      <c r="K2583" s="5">
        <v>0</v>
      </c>
    </row>
    <row r="2584" spans="1:11" x14ac:dyDescent="0.25">
      <c r="A2584" s="5">
        <f>2577</f>
      </c>
      <c r="B2584" s="5" t="s">
        <v>2592</v>
      </c>
      <c r="C2584" s="5">
        <v>105.6</v>
      </c>
      <c r="D2584" s="5">
        <v>0.1</v>
      </c>
      <c r="E2584" s="5">
        <v>105.7</v>
      </c>
      <c r="F2584" s="5">
        <v>208.4</v>
      </c>
      <c r="G2584" s="5">
        <v>103.9</v>
      </c>
      <c r="H2584" s="5">
        <v>103.8</v>
      </c>
      <c r="I2584" s="5">
        <v>0</v>
      </c>
      <c r="J2584" s="5">
        <v>0</v>
      </c>
      <c r="K2584" s="5">
        <v>0</v>
      </c>
    </row>
    <row r="2585" spans="1:11" x14ac:dyDescent="0.25">
      <c r="A2585" s="5">
        <f>2578</f>
      </c>
      <c r="B2585" s="5" t="s">
        <v>2593</v>
      </c>
      <c r="C2585" s="5">
        <v>105.6</v>
      </c>
      <c r="D2585" s="5">
        <v>0.1</v>
      </c>
      <c r="E2585" s="5">
        <v>105.8</v>
      </c>
      <c r="F2585" s="5">
        <v>209.3</v>
      </c>
      <c r="G2585" s="5">
        <v>104.6</v>
      </c>
      <c r="H2585" s="5">
        <v>104.5</v>
      </c>
      <c r="I2585" s="5">
        <v>0</v>
      </c>
      <c r="J2585" s="5">
        <v>0</v>
      </c>
      <c r="K2585" s="5">
        <v>0</v>
      </c>
    </row>
    <row r="2586" spans="1:11" x14ac:dyDescent="0.25">
      <c r="A2586" s="5">
        <f>2579</f>
      </c>
      <c r="B2586" s="5" t="s">
        <v>2594</v>
      </c>
      <c r="C2586" s="5">
        <v>105.6</v>
      </c>
      <c r="D2586" s="5">
        <v>0.1</v>
      </c>
      <c r="E2586" s="5">
        <v>105.8</v>
      </c>
      <c r="F2586" s="5">
        <v>209.3</v>
      </c>
      <c r="G2586" s="5">
        <v>104.6</v>
      </c>
      <c r="H2586" s="5">
        <v>104.5</v>
      </c>
      <c r="I2586" s="5">
        <v>0</v>
      </c>
      <c r="J2586" s="5">
        <v>0</v>
      </c>
      <c r="K2586" s="5">
        <v>0</v>
      </c>
    </row>
    <row r="2587" spans="1:11" x14ac:dyDescent="0.25">
      <c r="A2587" s="5">
        <f>2580</f>
      </c>
      <c r="B2587" s="5" t="s">
        <v>2595</v>
      </c>
      <c r="C2587" s="5">
        <v>105.6</v>
      </c>
      <c r="D2587" s="5">
        <v>0.1</v>
      </c>
      <c r="E2587" s="5">
        <v>105.8</v>
      </c>
      <c r="F2587" s="5">
        <v>209.3</v>
      </c>
      <c r="G2587" s="5">
        <v>104.6</v>
      </c>
      <c r="H2587" s="5">
        <v>104.5</v>
      </c>
      <c r="I2587" s="5">
        <v>0</v>
      </c>
      <c r="J2587" s="5">
        <v>0</v>
      </c>
      <c r="K2587" s="5">
        <v>0</v>
      </c>
    </row>
    <row r="2588" spans="1:11" x14ac:dyDescent="0.25">
      <c r="A2588" s="5">
        <f>2581</f>
      </c>
      <c r="B2588" s="5" t="s">
        <v>2596</v>
      </c>
      <c r="C2588" s="5">
        <v>105.6</v>
      </c>
      <c r="D2588" s="5">
        <v>0.1</v>
      </c>
      <c r="E2588" s="5">
        <v>105.8</v>
      </c>
      <c r="F2588" s="5">
        <v>209.3</v>
      </c>
      <c r="G2588" s="5">
        <v>104.6</v>
      </c>
      <c r="H2588" s="5">
        <v>104.5</v>
      </c>
      <c r="I2588" s="5">
        <v>0</v>
      </c>
      <c r="J2588" s="5">
        <v>0</v>
      </c>
      <c r="K2588" s="5">
        <v>0</v>
      </c>
    </row>
    <row r="2589" spans="1:11" x14ac:dyDescent="0.25">
      <c r="A2589" s="5">
        <f>2582</f>
      </c>
      <c r="B2589" s="5" t="s">
        <v>2597</v>
      </c>
      <c r="C2589" s="5">
        <v>105.2</v>
      </c>
      <c r="D2589" s="5">
        <v>0.1</v>
      </c>
      <c r="E2589" s="5">
        <v>105.3</v>
      </c>
      <c r="F2589" s="5">
        <v>210.2</v>
      </c>
      <c r="G2589" s="5">
        <v>104.9</v>
      </c>
      <c r="H2589" s="5">
        <v>104.7</v>
      </c>
      <c r="I2589" s="5">
        <v>0</v>
      </c>
      <c r="J2589" s="5">
        <v>0</v>
      </c>
      <c r="K2589" s="5">
        <v>0</v>
      </c>
    </row>
    <row r="2590" spans="1:11" x14ac:dyDescent="0.25">
      <c r="A2590" s="5">
        <f>2583</f>
      </c>
      <c r="B2590" s="5" t="s">
        <v>2598</v>
      </c>
      <c r="C2590" s="5">
        <v>105.2</v>
      </c>
      <c r="D2590" s="5">
        <v>0.1</v>
      </c>
      <c r="E2590" s="5">
        <v>105.3</v>
      </c>
      <c r="F2590" s="5">
        <v>210.2</v>
      </c>
      <c r="G2590" s="5">
        <v>104.9</v>
      </c>
      <c r="H2590" s="5">
        <v>104.7</v>
      </c>
      <c r="I2590" s="5">
        <v>0</v>
      </c>
      <c r="J2590" s="5">
        <v>0</v>
      </c>
      <c r="K2590" s="5">
        <v>0</v>
      </c>
    </row>
    <row r="2591" spans="1:11" x14ac:dyDescent="0.25">
      <c r="A2591" s="5">
        <f>2584</f>
      </c>
      <c r="B2591" s="5" t="s">
        <v>2599</v>
      </c>
      <c r="C2591" s="5">
        <v>104.4</v>
      </c>
      <c r="D2591" s="5">
        <v>0.1</v>
      </c>
      <c r="E2591" s="5">
        <v>104.6</v>
      </c>
      <c r="F2591" s="5">
        <v>209</v>
      </c>
      <c r="G2591" s="5">
        <v>104.2</v>
      </c>
      <c r="H2591" s="5">
        <v>103.9</v>
      </c>
      <c r="I2591" s="5">
        <v>0</v>
      </c>
      <c r="J2591" s="5">
        <v>0</v>
      </c>
      <c r="K2591" s="5">
        <v>0</v>
      </c>
    </row>
    <row r="2592" spans="1:11" x14ac:dyDescent="0.25">
      <c r="A2592" s="5">
        <f>2585</f>
      </c>
      <c r="B2592" s="5" t="s">
        <v>2600</v>
      </c>
      <c r="C2592" s="5">
        <v>104.4</v>
      </c>
      <c r="D2592" s="5">
        <v>0.1</v>
      </c>
      <c r="E2592" s="5">
        <v>104.6</v>
      </c>
      <c r="F2592" s="5">
        <v>209</v>
      </c>
      <c r="G2592" s="5">
        <v>104.2</v>
      </c>
      <c r="H2592" s="5">
        <v>103.9</v>
      </c>
      <c r="I2592" s="5">
        <v>0</v>
      </c>
      <c r="J2592" s="5">
        <v>0</v>
      </c>
      <c r="K2592" s="5">
        <v>0</v>
      </c>
    </row>
    <row r="2593" spans="1:11" x14ac:dyDescent="0.25">
      <c r="A2593" s="5">
        <f>2586</f>
      </c>
      <c r="B2593" s="5" t="s">
        <v>2601</v>
      </c>
      <c r="C2593" s="5">
        <v>104.4</v>
      </c>
      <c r="D2593" s="5">
        <v>0.1</v>
      </c>
      <c r="E2593" s="5">
        <v>104.6</v>
      </c>
      <c r="F2593" s="5">
        <v>209</v>
      </c>
      <c r="G2593" s="5">
        <v>104.2</v>
      </c>
      <c r="H2593" s="5">
        <v>103.9</v>
      </c>
      <c r="I2593" s="5">
        <v>0</v>
      </c>
      <c r="J2593" s="5">
        <v>0</v>
      </c>
      <c r="K2593" s="5">
        <v>0</v>
      </c>
    </row>
    <row r="2594" spans="1:11" x14ac:dyDescent="0.25">
      <c r="A2594" s="5">
        <f>2587</f>
      </c>
      <c r="B2594" s="5" t="s">
        <v>2602</v>
      </c>
      <c r="C2594" s="5">
        <v>105</v>
      </c>
      <c r="D2594" s="5">
        <v>0.1</v>
      </c>
      <c r="E2594" s="5">
        <v>105.1</v>
      </c>
      <c r="F2594" s="5">
        <v>209.8</v>
      </c>
      <c r="G2594" s="5">
        <v>104.7</v>
      </c>
      <c r="H2594" s="5">
        <v>104.5</v>
      </c>
      <c r="I2594" s="5">
        <v>0</v>
      </c>
      <c r="J2594" s="5">
        <v>0</v>
      </c>
      <c r="K2594" s="5">
        <v>0</v>
      </c>
    </row>
    <row r="2595" spans="1:11" x14ac:dyDescent="0.25">
      <c r="A2595" s="5">
        <f>2588</f>
      </c>
      <c r="B2595" s="5" t="s">
        <v>2603</v>
      </c>
      <c r="C2595" s="5">
        <v>105</v>
      </c>
      <c r="D2595" s="5">
        <v>0.1</v>
      </c>
      <c r="E2595" s="5">
        <v>105.1</v>
      </c>
      <c r="F2595" s="5">
        <v>209.8</v>
      </c>
      <c r="G2595" s="5">
        <v>104.7</v>
      </c>
      <c r="H2595" s="5">
        <v>104.5</v>
      </c>
      <c r="I2595" s="5">
        <v>0</v>
      </c>
      <c r="J2595" s="5">
        <v>0</v>
      </c>
      <c r="K2595" s="5">
        <v>0</v>
      </c>
    </row>
    <row r="2596" spans="1:11" x14ac:dyDescent="0.25">
      <c r="A2596" s="5">
        <f>2589</f>
      </c>
      <c r="B2596" s="5" t="s">
        <v>2604</v>
      </c>
      <c r="C2596" s="5">
        <v>104</v>
      </c>
      <c r="D2596" s="5">
        <v>0.1</v>
      </c>
      <c r="E2596" s="5">
        <v>104.2</v>
      </c>
      <c r="F2596" s="5">
        <v>208.8</v>
      </c>
      <c r="G2596" s="5">
        <v>104.1</v>
      </c>
      <c r="H2596" s="5">
        <v>103.9</v>
      </c>
      <c r="I2596" s="5">
        <v>0</v>
      </c>
      <c r="J2596" s="5">
        <v>0</v>
      </c>
      <c r="K2596" s="5">
        <v>0</v>
      </c>
    </row>
    <row r="2597" spans="1:11" x14ac:dyDescent="0.25">
      <c r="A2597" s="5">
        <f>2590</f>
      </c>
      <c r="B2597" s="5" t="s">
        <v>2605</v>
      </c>
      <c r="C2597" s="5">
        <v>104</v>
      </c>
      <c r="D2597" s="5">
        <v>0.1</v>
      </c>
      <c r="E2597" s="5">
        <v>104.2</v>
      </c>
      <c r="F2597" s="5">
        <v>208.8</v>
      </c>
      <c r="G2597" s="5">
        <v>104.1</v>
      </c>
      <c r="H2597" s="5">
        <v>103.9</v>
      </c>
      <c r="I2597" s="5">
        <v>0</v>
      </c>
      <c r="J2597" s="5">
        <v>0</v>
      </c>
      <c r="K2597" s="5">
        <v>0</v>
      </c>
    </row>
    <row r="2598" spans="1:11" x14ac:dyDescent="0.25">
      <c r="A2598" s="5">
        <f>2591</f>
      </c>
      <c r="B2598" s="5" t="s">
        <v>2606</v>
      </c>
      <c r="C2598" s="5">
        <v>105.1</v>
      </c>
      <c r="D2598" s="5">
        <v>0.1</v>
      </c>
      <c r="E2598" s="5">
        <v>105.3</v>
      </c>
      <c r="F2598" s="5">
        <v>208.7</v>
      </c>
      <c r="G2598" s="5">
        <v>104.2</v>
      </c>
      <c r="H2598" s="5">
        <v>104.1</v>
      </c>
      <c r="I2598" s="5">
        <v>0</v>
      </c>
      <c r="J2598" s="5">
        <v>0</v>
      </c>
      <c r="K2598" s="5">
        <v>0</v>
      </c>
    </row>
    <row r="2599" spans="1:11" x14ac:dyDescent="0.25">
      <c r="A2599" s="5">
        <f>2592</f>
      </c>
      <c r="B2599" s="5" t="s">
        <v>2607</v>
      </c>
      <c r="C2599" s="5">
        <v>105.1</v>
      </c>
      <c r="D2599" s="5">
        <v>0.1</v>
      </c>
      <c r="E2599" s="5">
        <v>105.3</v>
      </c>
      <c r="F2599" s="5">
        <v>208.7</v>
      </c>
      <c r="G2599" s="5">
        <v>104.2</v>
      </c>
      <c r="H2599" s="5">
        <v>104.1</v>
      </c>
      <c r="I2599" s="5">
        <v>0</v>
      </c>
      <c r="J2599" s="5">
        <v>0</v>
      </c>
      <c r="K2599" s="5">
        <v>0</v>
      </c>
    </row>
    <row r="2600" spans="1:11" x14ac:dyDescent="0.25">
      <c r="A2600" s="5">
        <f>2593</f>
      </c>
      <c r="B2600" s="5" t="s">
        <v>2608</v>
      </c>
      <c r="C2600" s="5">
        <v>105.4</v>
      </c>
      <c r="D2600" s="5">
        <v>0.1</v>
      </c>
      <c r="E2600" s="5">
        <v>105.6</v>
      </c>
      <c r="F2600" s="5">
        <v>210.2</v>
      </c>
      <c r="G2600" s="5">
        <v>104.9</v>
      </c>
      <c r="H2600" s="5">
        <v>104.8</v>
      </c>
      <c r="I2600" s="5">
        <v>0</v>
      </c>
      <c r="J2600" s="5">
        <v>0</v>
      </c>
      <c r="K2600" s="5">
        <v>0</v>
      </c>
    </row>
    <row r="2601" spans="1:11" x14ac:dyDescent="0.25">
      <c r="A2601" s="5">
        <f>2594</f>
      </c>
      <c r="B2601" s="5" t="s">
        <v>2609</v>
      </c>
      <c r="C2601" s="5">
        <v>105.4</v>
      </c>
      <c r="D2601" s="5">
        <v>0.1</v>
      </c>
      <c r="E2601" s="5">
        <v>105.6</v>
      </c>
      <c r="F2601" s="5">
        <v>210.2</v>
      </c>
      <c r="G2601" s="5">
        <v>104.9</v>
      </c>
      <c r="H2601" s="5">
        <v>104.8</v>
      </c>
      <c r="I2601" s="5">
        <v>0</v>
      </c>
      <c r="J2601" s="5">
        <v>0</v>
      </c>
      <c r="K2601" s="5">
        <v>0</v>
      </c>
    </row>
    <row r="2602" spans="1:11" x14ac:dyDescent="0.25">
      <c r="A2602" s="5">
        <f>2595</f>
      </c>
      <c r="B2602" s="5" t="s">
        <v>2610</v>
      </c>
      <c r="C2602" s="5">
        <v>105.9</v>
      </c>
      <c r="D2602" s="5">
        <v>0.1</v>
      </c>
      <c r="E2602" s="5">
        <v>106.1</v>
      </c>
      <c r="F2602" s="5">
        <v>209.7</v>
      </c>
      <c r="G2602" s="5">
        <v>104.7</v>
      </c>
      <c r="H2602" s="5">
        <v>104.6</v>
      </c>
      <c r="I2602" s="5">
        <v>0</v>
      </c>
      <c r="J2602" s="5">
        <v>0</v>
      </c>
      <c r="K2602" s="5">
        <v>0</v>
      </c>
    </row>
    <row r="2603" spans="1:11" x14ac:dyDescent="0.25">
      <c r="A2603" s="5">
        <f>2596</f>
      </c>
      <c r="B2603" s="5" t="s">
        <v>2611</v>
      </c>
      <c r="C2603" s="5">
        <v>105.9</v>
      </c>
      <c r="D2603" s="5">
        <v>0.1</v>
      </c>
      <c r="E2603" s="5">
        <v>106.1</v>
      </c>
      <c r="F2603" s="5">
        <v>209.7</v>
      </c>
      <c r="G2603" s="5">
        <v>104.7</v>
      </c>
      <c r="H2603" s="5">
        <v>104.6</v>
      </c>
      <c r="I2603" s="5">
        <v>0</v>
      </c>
      <c r="J2603" s="5">
        <v>0</v>
      </c>
      <c r="K2603" s="5">
        <v>0</v>
      </c>
    </row>
    <row r="2604" spans="1:11" x14ac:dyDescent="0.25">
      <c r="A2604" s="5">
        <f>2597</f>
      </c>
      <c r="B2604" s="5" t="s">
        <v>2612</v>
      </c>
      <c r="C2604" s="5">
        <v>105.9</v>
      </c>
      <c r="D2604" s="5">
        <v>0.1</v>
      </c>
      <c r="E2604" s="5">
        <v>106.1</v>
      </c>
      <c r="F2604" s="5">
        <v>209.7</v>
      </c>
      <c r="G2604" s="5">
        <v>104.7</v>
      </c>
      <c r="H2604" s="5">
        <v>104.6</v>
      </c>
      <c r="I2604" s="5">
        <v>0</v>
      </c>
      <c r="J2604" s="5">
        <v>0</v>
      </c>
      <c r="K2604" s="5">
        <v>0</v>
      </c>
    </row>
    <row r="2605" spans="1:11" x14ac:dyDescent="0.25">
      <c r="A2605" s="5">
        <f>2598</f>
      </c>
      <c r="B2605" s="5" t="s">
        <v>2613</v>
      </c>
      <c r="C2605" s="5">
        <v>105.9</v>
      </c>
      <c r="D2605" s="5">
        <v>0.1</v>
      </c>
      <c r="E2605" s="5">
        <v>106.1</v>
      </c>
      <c r="F2605" s="5">
        <v>209.7</v>
      </c>
      <c r="G2605" s="5">
        <v>104.7</v>
      </c>
      <c r="H2605" s="5">
        <v>104.6</v>
      </c>
      <c r="I2605" s="5">
        <v>0</v>
      </c>
      <c r="J2605" s="5">
        <v>0</v>
      </c>
      <c r="K2605" s="5">
        <v>0</v>
      </c>
    </row>
    <row r="2606" spans="1:11" x14ac:dyDescent="0.25">
      <c r="A2606" s="5">
        <f>2599</f>
      </c>
      <c r="B2606" s="5" t="s">
        <v>2614</v>
      </c>
      <c r="C2606" s="5">
        <v>106</v>
      </c>
      <c r="D2606" s="5">
        <v>0.1</v>
      </c>
      <c r="E2606" s="5">
        <v>106.2</v>
      </c>
      <c r="F2606" s="5">
        <v>211.7</v>
      </c>
      <c r="G2606" s="5">
        <v>105.6</v>
      </c>
      <c r="H2606" s="5">
        <v>105.5</v>
      </c>
      <c r="I2606" s="5">
        <v>0</v>
      </c>
      <c r="J2606" s="5">
        <v>0</v>
      </c>
      <c r="K2606" s="5">
        <v>0</v>
      </c>
    </row>
    <row r="2607" spans="1:11" x14ac:dyDescent="0.25">
      <c r="A2607" s="5">
        <f>2600</f>
      </c>
      <c r="B2607" s="5" t="s">
        <v>2615</v>
      </c>
      <c r="C2607" s="5">
        <v>106</v>
      </c>
      <c r="D2607" s="5">
        <v>0.1</v>
      </c>
      <c r="E2607" s="5">
        <v>106.2</v>
      </c>
      <c r="F2607" s="5">
        <v>211.7</v>
      </c>
      <c r="G2607" s="5">
        <v>105.6</v>
      </c>
      <c r="H2607" s="5">
        <v>105.5</v>
      </c>
      <c r="I2607" s="5">
        <v>0</v>
      </c>
      <c r="J2607" s="5">
        <v>0</v>
      </c>
      <c r="K2607" s="5">
        <v>0</v>
      </c>
    </row>
    <row r="2608" spans="1:11" x14ac:dyDescent="0.25">
      <c r="A2608" s="5">
        <f>2601</f>
      </c>
      <c r="B2608" s="5" t="s">
        <v>2616</v>
      </c>
      <c r="C2608" s="5">
        <v>105.8</v>
      </c>
      <c r="D2608" s="5">
        <v>0.1</v>
      </c>
      <c r="E2608" s="5">
        <v>105.9</v>
      </c>
      <c r="F2608" s="5">
        <v>211.3</v>
      </c>
      <c r="G2608" s="5">
        <v>105.5</v>
      </c>
      <c r="H2608" s="5">
        <v>105.3</v>
      </c>
      <c r="I2608" s="5">
        <v>0</v>
      </c>
      <c r="J2608" s="5">
        <v>0</v>
      </c>
      <c r="K2608" s="5">
        <v>0</v>
      </c>
    </row>
    <row r="2609" spans="1:11" x14ac:dyDescent="0.25">
      <c r="A2609" s="5">
        <f>2602</f>
      </c>
      <c r="B2609" s="5" t="s">
        <v>2617</v>
      </c>
      <c r="C2609" s="5">
        <v>105.8</v>
      </c>
      <c r="D2609" s="5">
        <v>0.1</v>
      </c>
      <c r="E2609" s="5">
        <v>105.9</v>
      </c>
      <c r="F2609" s="5">
        <v>211.3</v>
      </c>
      <c r="G2609" s="5">
        <v>105.5</v>
      </c>
      <c r="H2609" s="5">
        <v>105.3</v>
      </c>
      <c r="I2609" s="5">
        <v>0</v>
      </c>
      <c r="J2609" s="5">
        <v>0</v>
      </c>
      <c r="K2609" s="5">
        <v>0</v>
      </c>
    </row>
    <row r="2610" spans="1:11" x14ac:dyDescent="0.25">
      <c r="A2610" s="5">
        <f>2603</f>
      </c>
      <c r="B2610" s="5" t="s">
        <v>2618</v>
      </c>
      <c r="C2610" s="5">
        <v>106.1</v>
      </c>
      <c r="D2610" s="5">
        <v>0.1</v>
      </c>
      <c r="E2610" s="5">
        <v>106.2</v>
      </c>
      <c r="F2610" s="5">
        <v>211.6</v>
      </c>
      <c r="G2610" s="5">
        <v>105.5</v>
      </c>
      <c r="H2610" s="5">
        <v>105.3</v>
      </c>
      <c r="I2610" s="5">
        <v>0</v>
      </c>
      <c r="J2610" s="5">
        <v>0</v>
      </c>
      <c r="K2610" s="5">
        <v>0</v>
      </c>
    </row>
    <row r="2611" spans="1:11" x14ac:dyDescent="0.25">
      <c r="A2611" s="5">
        <f>2604</f>
      </c>
      <c r="B2611" s="5" t="s">
        <v>2619</v>
      </c>
      <c r="C2611" s="5">
        <v>106.1</v>
      </c>
      <c r="D2611" s="5">
        <v>0.1</v>
      </c>
      <c r="E2611" s="5">
        <v>106.2</v>
      </c>
      <c r="F2611" s="5">
        <v>211.6</v>
      </c>
      <c r="G2611" s="5">
        <v>105.5</v>
      </c>
      <c r="H2611" s="5">
        <v>105.3</v>
      </c>
      <c r="I2611" s="5">
        <v>0</v>
      </c>
      <c r="J2611" s="5">
        <v>0</v>
      </c>
      <c r="K2611" s="5">
        <v>0</v>
      </c>
    </row>
    <row r="2612" spans="1:11" x14ac:dyDescent="0.25">
      <c r="A2612" s="5">
        <f>2605</f>
      </c>
      <c r="B2612" s="5" t="s">
        <v>2620</v>
      </c>
      <c r="C2612" s="5">
        <v>105.3</v>
      </c>
      <c r="D2612" s="5">
        <v>0.1</v>
      </c>
      <c r="E2612" s="5">
        <v>105.5</v>
      </c>
      <c r="F2612" s="5">
        <v>210.8</v>
      </c>
      <c r="G2612" s="5">
        <v>105.1</v>
      </c>
      <c r="H2612" s="5">
        <v>105</v>
      </c>
      <c r="I2612" s="5">
        <v>0</v>
      </c>
      <c r="J2612" s="5">
        <v>0</v>
      </c>
      <c r="K2612" s="5">
        <v>0</v>
      </c>
    </row>
    <row r="2613" spans="1:11" x14ac:dyDescent="0.25">
      <c r="A2613" s="5">
        <f>2606</f>
      </c>
      <c r="B2613" s="5" t="s">
        <v>2621</v>
      </c>
      <c r="C2613" s="5">
        <v>105.3</v>
      </c>
      <c r="D2613" s="5">
        <v>0.1</v>
      </c>
      <c r="E2613" s="5">
        <v>105.5</v>
      </c>
      <c r="F2613" s="5">
        <v>210.8</v>
      </c>
      <c r="G2613" s="5">
        <v>105.1</v>
      </c>
      <c r="H2613" s="5">
        <v>105</v>
      </c>
      <c r="I2613" s="5">
        <v>0</v>
      </c>
      <c r="J2613" s="5">
        <v>0</v>
      </c>
      <c r="K2613" s="5">
        <v>0</v>
      </c>
    </row>
    <row r="2614" spans="1:11" x14ac:dyDescent="0.25">
      <c r="A2614" s="5">
        <f>2607</f>
      </c>
      <c r="B2614" s="5" t="s">
        <v>2622</v>
      </c>
      <c r="C2614" s="5">
        <v>105.3</v>
      </c>
      <c r="D2614" s="5">
        <v>0.1</v>
      </c>
      <c r="E2614" s="5">
        <v>105.5</v>
      </c>
      <c r="F2614" s="5">
        <v>210.8</v>
      </c>
      <c r="G2614" s="5">
        <v>105.1</v>
      </c>
      <c r="H2614" s="5">
        <v>105</v>
      </c>
      <c r="I2614" s="5">
        <v>0</v>
      </c>
      <c r="J2614" s="5">
        <v>0</v>
      </c>
      <c r="K2614" s="5">
        <v>0</v>
      </c>
    </row>
    <row r="2615" spans="1:11" x14ac:dyDescent="0.25">
      <c r="A2615" s="5">
        <f>2608</f>
      </c>
      <c r="B2615" s="5" t="s">
        <v>2623</v>
      </c>
      <c r="C2615" s="5">
        <v>105.3</v>
      </c>
      <c r="D2615" s="5">
        <v>0.1</v>
      </c>
      <c r="E2615" s="5">
        <v>105.5</v>
      </c>
      <c r="F2615" s="5">
        <v>210.8</v>
      </c>
      <c r="G2615" s="5">
        <v>105.1</v>
      </c>
      <c r="H2615" s="5">
        <v>105</v>
      </c>
      <c r="I2615" s="5">
        <v>0</v>
      </c>
      <c r="J2615" s="5">
        <v>0</v>
      </c>
      <c r="K2615" s="5">
        <v>0</v>
      </c>
    </row>
    <row r="2616" spans="1:11" x14ac:dyDescent="0.25">
      <c r="A2616" s="5">
        <f>2609</f>
      </c>
      <c r="B2616" s="5" t="s">
        <v>2624</v>
      </c>
      <c r="C2616" s="5">
        <v>105.9</v>
      </c>
      <c r="D2616" s="5">
        <v>0.1</v>
      </c>
      <c r="E2616" s="5">
        <v>106</v>
      </c>
      <c r="F2616" s="5">
        <v>211.5</v>
      </c>
      <c r="G2616" s="5">
        <v>105.5</v>
      </c>
      <c r="H2616" s="5">
        <v>105.3</v>
      </c>
      <c r="I2616" s="5">
        <v>0</v>
      </c>
      <c r="J2616" s="5">
        <v>0</v>
      </c>
      <c r="K2616" s="5">
        <v>0</v>
      </c>
    </row>
    <row r="2617" spans="1:11" x14ac:dyDescent="0.25">
      <c r="A2617" s="5">
        <f>2610</f>
      </c>
      <c r="B2617" s="5" t="s">
        <v>2625</v>
      </c>
      <c r="C2617" s="5">
        <v>105.9</v>
      </c>
      <c r="D2617" s="5">
        <v>0.1</v>
      </c>
      <c r="E2617" s="5">
        <v>106</v>
      </c>
      <c r="F2617" s="5">
        <v>211.5</v>
      </c>
      <c r="G2617" s="5">
        <v>105.5</v>
      </c>
      <c r="H2617" s="5">
        <v>105.3</v>
      </c>
      <c r="I2617" s="5">
        <v>0</v>
      </c>
      <c r="J2617" s="5">
        <v>0</v>
      </c>
      <c r="K2617" s="5">
        <v>0</v>
      </c>
    </row>
    <row r="2618" spans="1:11" x14ac:dyDescent="0.25">
      <c r="A2618" s="5">
        <f>2611</f>
      </c>
      <c r="B2618" s="5" t="s">
        <v>2626</v>
      </c>
      <c r="C2618" s="5">
        <v>106.7</v>
      </c>
      <c r="D2618" s="5">
        <v>0.1</v>
      </c>
      <c r="E2618" s="5">
        <v>106.9</v>
      </c>
      <c r="F2618" s="5">
        <v>211.9</v>
      </c>
      <c r="G2618" s="5">
        <v>105.3</v>
      </c>
      <c r="H2618" s="5">
        <v>104.9</v>
      </c>
      <c r="I2618" s="5">
        <v>0</v>
      </c>
      <c r="J2618" s="5">
        <v>0</v>
      </c>
      <c r="K2618" s="5">
        <v>0</v>
      </c>
    </row>
    <row r="2619" spans="1:11" x14ac:dyDescent="0.25">
      <c r="A2619" s="5">
        <f>2612</f>
      </c>
      <c r="B2619" s="5" t="s">
        <v>2627</v>
      </c>
      <c r="C2619" s="5">
        <v>106.7</v>
      </c>
      <c r="D2619" s="5">
        <v>0.1</v>
      </c>
      <c r="E2619" s="5">
        <v>106.9</v>
      </c>
      <c r="F2619" s="5">
        <v>211.9</v>
      </c>
      <c r="G2619" s="5">
        <v>105.3</v>
      </c>
      <c r="H2619" s="5">
        <v>104.9</v>
      </c>
      <c r="I2619" s="5">
        <v>0</v>
      </c>
      <c r="J2619" s="5">
        <v>0</v>
      </c>
      <c r="K2619" s="5">
        <v>0</v>
      </c>
    </row>
    <row r="2620" spans="1:11" x14ac:dyDescent="0.25">
      <c r="A2620" s="5">
        <f>2613</f>
      </c>
      <c r="B2620" s="5" t="s">
        <v>2628</v>
      </c>
      <c r="C2620" s="5">
        <v>105.7</v>
      </c>
      <c r="D2620" s="5">
        <v>0.1</v>
      </c>
      <c r="E2620" s="5">
        <v>105.9</v>
      </c>
      <c r="F2620" s="5">
        <v>211.7</v>
      </c>
      <c r="G2620" s="5">
        <v>106</v>
      </c>
      <c r="H2620" s="5">
        <v>105.9</v>
      </c>
      <c r="I2620" s="5">
        <v>0</v>
      </c>
      <c r="J2620" s="5">
        <v>0</v>
      </c>
      <c r="K2620" s="5">
        <v>0</v>
      </c>
    </row>
    <row r="2621" spans="1:11" x14ac:dyDescent="0.25">
      <c r="A2621" s="5">
        <f>2614</f>
      </c>
      <c r="B2621" s="5" t="s">
        <v>2629</v>
      </c>
      <c r="C2621" s="5">
        <v>105.7</v>
      </c>
      <c r="D2621" s="5">
        <v>0.1</v>
      </c>
      <c r="E2621" s="5">
        <v>105.9</v>
      </c>
      <c r="F2621" s="5">
        <v>211.7</v>
      </c>
      <c r="G2621" s="5">
        <v>106</v>
      </c>
      <c r="H2621" s="5">
        <v>105.9</v>
      </c>
      <c r="I2621" s="5">
        <v>0</v>
      </c>
      <c r="J2621" s="5">
        <v>0</v>
      </c>
      <c r="K2621" s="5">
        <v>0</v>
      </c>
    </row>
    <row r="2622" spans="1:11" x14ac:dyDescent="0.25">
      <c r="A2622" s="5">
        <f>2615</f>
      </c>
      <c r="B2622" s="5" t="s">
        <v>2630</v>
      </c>
      <c r="C2622" s="5">
        <v>105.3</v>
      </c>
      <c r="D2622" s="5">
        <v>0.1</v>
      </c>
      <c r="E2622" s="5">
        <v>105.5</v>
      </c>
      <c r="F2622" s="5">
        <v>210.9</v>
      </c>
      <c r="G2622" s="5">
        <v>105.2</v>
      </c>
      <c r="H2622" s="5">
        <v>105.1</v>
      </c>
      <c r="I2622" s="5">
        <v>0</v>
      </c>
      <c r="J2622" s="5">
        <v>0</v>
      </c>
      <c r="K2622" s="5">
        <v>0</v>
      </c>
    </row>
    <row r="2623" spans="1:11" x14ac:dyDescent="0.25">
      <c r="A2623" s="5">
        <f>2616</f>
      </c>
      <c r="B2623" s="5" t="s">
        <v>2631</v>
      </c>
      <c r="C2623" s="5">
        <v>105.3</v>
      </c>
      <c r="D2623" s="5">
        <v>0.1</v>
      </c>
      <c r="E2623" s="5">
        <v>105.5</v>
      </c>
      <c r="F2623" s="5">
        <v>210.9</v>
      </c>
      <c r="G2623" s="5">
        <v>105.2</v>
      </c>
      <c r="H2623" s="5">
        <v>105.1</v>
      </c>
      <c r="I2623" s="5">
        <v>0</v>
      </c>
      <c r="J2623" s="5">
        <v>0</v>
      </c>
      <c r="K2623" s="5">
        <v>0</v>
      </c>
    </row>
    <row r="2624" spans="1:11" x14ac:dyDescent="0.25">
      <c r="A2624" s="5">
        <f>2617</f>
      </c>
      <c r="B2624" s="5" t="s">
        <v>2632</v>
      </c>
      <c r="C2624" s="5">
        <v>105.3</v>
      </c>
      <c r="D2624" s="5">
        <v>0.1</v>
      </c>
      <c r="E2624" s="5">
        <v>105.5</v>
      </c>
      <c r="F2624" s="5">
        <v>210.9</v>
      </c>
      <c r="G2624" s="5">
        <v>105.2</v>
      </c>
      <c r="H2624" s="5">
        <v>105.1</v>
      </c>
      <c r="I2624" s="5">
        <v>0</v>
      </c>
      <c r="J2624" s="5">
        <v>0</v>
      </c>
      <c r="K2624" s="5">
        <v>0</v>
      </c>
    </row>
    <row r="2625" spans="1:11" x14ac:dyDescent="0.25">
      <c r="A2625" s="5">
        <f>2618</f>
      </c>
      <c r="B2625" s="5" t="s">
        <v>2633</v>
      </c>
      <c r="C2625" s="5">
        <v>105.3</v>
      </c>
      <c r="D2625" s="5">
        <v>0.1</v>
      </c>
      <c r="E2625" s="5">
        <v>105.5</v>
      </c>
      <c r="F2625" s="5">
        <v>210.9</v>
      </c>
      <c r="G2625" s="5">
        <v>105.2</v>
      </c>
      <c r="H2625" s="5">
        <v>105.1</v>
      </c>
      <c r="I2625" s="5">
        <v>0</v>
      </c>
      <c r="J2625" s="5">
        <v>0</v>
      </c>
      <c r="K2625" s="5">
        <v>0</v>
      </c>
    </row>
    <row r="2626" spans="1:11" x14ac:dyDescent="0.25">
      <c r="A2626" s="5">
        <f>2619</f>
      </c>
      <c r="B2626" s="5" t="s">
        <v>2634</v>
      </c>
      <c r="C2626" s="5">
        <v>106</v>
      </c>
      <c r="D2626" s="5">
        <v>0.1</v>
      </c>
      <c r="E2626" s="5">
        <v>106.2</v>
      </c>
      <c r="F2626" s="5">
        <v>211.5</v>
      </c>
      <c r="G2626" s="5">
        <v>105.5</v>
      </c>
      <c r="H2626" s="5">
        <v>105.4</v>
      </c>
      <c r="I2626" s="5">
        <v>0</v>
      </c>
      <c r="J2626" s="5">
        <v>0</v>
      </c>
      <c r="K2626" s="5">
        <v>0</v>
      </c>
    </row>
    <row r="2627" spans="1:11" x14ac:dyDescent="0.25">
      <c r="A2627" s="5">
        <f>2620</f>
      </c>
      <c r="B2627" s="5" t="s">
        <v>2635</v>
      </c>
      <c r="C2627" s="5">
        <v>106</v>
      </c>
      <c r="D2627" s="5">
        <v>0.1</v>
      </c>
      <c r="E2627" s="5">
        <v>106.2</v>
      </c>
      <c r="F2627" s="5">
        <v>211.5</v>
      </c>
      <c r="G2627" s="5">
        <v>105.5</v>
      </c>
      <c r="H2627" s="5">
        <v>105.4</v>
      </c>
      <c r="I2627" s="5">
        <v>0</v>
      </c>
      <c r="J2627" s="5">
        <v>0</v>
      </c>
      <c r="K2627" s="5">
        <v>0</v>
      </c>
    </row>
    <row r="2628" spans="1:11" x14ac:dyDescent="0.25">
      <c r="A2628" s="5">
        <f>2621</f>
      </c>
      <c r="B2628" s="5" t="s">
        <v>2636</v>
      </c>
      <c r="C2628" s="5">
        <v>105.8</v>
      </c>
      <c r="D2628" s="5">
        <v>0.1</v>
      </c>
      <c r="E2628" s="5">
        <v>105.9</v>
      </c>
      <c r="F2628" s="5">
        <v>211.1</v>
      </c>
      <c r="G2628" s="5">
        <v>105.4</v>
      </c>
      <c r="H2628" s="5">
        <v>105.3</v>
      </c>
      <c r="I2628" s="5">
        <v>0</v>
      </c>
      <c r="J2628" s="5">
        <v>0</v>
      </c>
      <c r="K2628" s="5">
        <v>0</v>
      </c>
    </row>
    <row r="2629" spans="1:11" x14ac:dyDescent="0.25">
      <c r="A2629" s="5">
        <f>2622</f>
      </c>
      <c r="B2629" s="5" t="s">
        <v>2637</v>
      </c>
      <c r="C2629" s="5">
        <v>105.8</v>
      </c>
      <c r="D2629" s="5">
        <v>0.1</v>
      </c>
      <c r="E2629" s="5">
        <v>105.9</v>
      </c>
      <c r="F2629" s="5">
        <v>211.1</v>
      </c>
      <c r="G2629" s="5">
        <v>105.4</v>
      </c>
      <c r="H2629" s="5">
        <v>105.3</v>
      </c>
      <c r="I2629" s="5">
        <v>0</v>
      </c>
      <c r="J2629" s="5">
        <v>0</v>
      </c>
      <c r="K2629" s="5">
        <v>0</v>
      </c>
    </row>
    <row r="2630" spans="1:11" x14ac:dyDescent="0.25">
      <c r="A2630" s="5">
        <f>2623</f>
      </c>
      <c r="B2630" s="5" t="s">
        <v>2638</v>
      </c>
      <c r="C2630" s="5">
        <v>105.9</v>
      </c>
      <c r="D2630" s="5">
        <v>0.1</v>
      </c>
      <c r="E2630" s="5">
        <v>106.1</v>
      </c>
      <c r="F2630" s="5">
        <v>211.4</v>
      </c>
      <c r="G2630" s="5">
        <v>105.5</v>
      </c>
      <c r="H2630" s="5">
        <v>105.3</v>
      </c>
      <c r="I2630" s="5">
        <v>0</v>
      </c>
      <c r="J2630" s="5">
        <v>0</v>
      </c>
      <c r="K2630" s="5">
        <v>0</v>
      </c>
    </row>
    <row r="2631" spans="1:11" x14ac:dyDescent="0.25">
      <c r="A2631" s="5">
        <f>2624</f>
      </c>
      <c r="B2631" s="5" t="s">
        <v>2639</v>
      </c>
      <c r="C2631" s="5">
        <v>105.9</v>
      </c>
      <c r="D2631" s="5">
        <v>0.1</v>
      </c>
      <c r="E2631" s="5">
        <v>106.1</v>
      </c>
      <c r="F2631" s="5">
        <v>211.4</v>
      </c>
      <c r="G2631" s="5">
        <v>105.5</v>
      </c>
      <c r="H2631" s="5">
        <v>105.3</v>
      </c>
      <c r="I2631" s="5">
        <v>0</v>
      </c>
      <c r="J2631" s="5">
        <v>0</v>
      </c>
      <c r="K2631" s="5">
        <v>0</v>
      </c>
    </row>
    <row r="2632" spans="1:11" x14ac:dyDescent="0.25">
      <c r="A2632" s="5">
        <f>2625</f>
      </c>
      <c r="B2632" s="5" t="s">
        <v>2640</v>
      </c>
      <c r="C2632" s="5">
        <v>105.3</v>
      </c>
      <c r="D2632" s="5">
        <v>106.1</v>
      </c>
      <c r="E2632" s="5">
        <v>106.1</v>
      </c>
      <c r="F2632" s="5">
        <v>211.4</v>
      </c>
      <c r="G2632" s="5">
        <v>105.5</v>
      </c>
      <c r="H2632" s="5">
        <v>105.3</v>
      </c>
      <c r="I2632" s="5">
        <v>0</v>
      </c>
      <c r="J2632" s="5">
        <v>0</v>
      </c>
      <c r="K2632" s="5">
        <v>0</v>
      </c>
    </row>
    <row r="2633" spans="1:11" x14ac:dyDescent="0.25">
      <c r="A2633" s="5">
        <f>2626</f>
      </c>
      <c r="B2633" s="5" t="s">
        <v>2641</v>
      </c>
      <c r="C2633" s="5">
        <v>0.1</v>
      </c>
      <c r="D2633" s="5">
        <v>106.2</v>
      </c>
      <c r="E2633" s="5">
        <v>106.1</v>
      </c>
      <c r="F2633" s="5">
        <v>211.4</v>
      </c>
      <c r="G2633" s="5">
        <v>105.5</v>
      </c>
      <c r="H2633" s="5">
        <v>105.3</v>
      </c>
      <c r="I2633" s="5">
        <v>0</v>
      </c>
      <c r="J2633" s="5">
        <v>0</v>
      </c>
      <c r="K2633" s="5">
        <v>0</v>
      </c>
    </row>
    <row r="2634" spans="1:11" x14ac:dyDescent="0.25">
      <c r="A2634" s="5">
        <f>2627</f>
      </c>
      <c r="B2634" s="5" t="s">
        <v>2642</v>
      </c>
      <c r="C2634" s="5">
        <v>211.2</v>
      </c>
      <c r="D2634" s="5">
        <v>106.1</v>
      </c>
      <c r="E2634" s="5">
        <v>106.1</v>
      </c>
      <c r="F2634" s="5">
        <v>211.4</v>
      </c>
      <c r="G2634" s="5">
        <v>105.5</v>
      </c>
      <c r="H2634" s="5">
        <v>105.3</v>
      </c>
      <c r="I2634" s="5">
        <v>0</v>
      </c>
      <c r="J2634" s="5">
        <v>0</v>
      </c>
      <c r="K2634" s="5">
        <v>0</v>
      </c>
    </row>
    <row r="2635" spans="1:11" x14ac:dyDescent="0.25">
      <c r="A2635" s="5">
        <f>2628</f>
      </c>
      <c r="B2635" s="5" t="s">
        <v>2643</v>
      </c>
      <c r="C2635" s="5">
        <v>106.2</v>
      </c>
      <c r="D2635" s="5">
        <v>106.1</v>
      </c>
      <c r="E2635" s="5">
        <v>106.1</v>
      </c>
      <c r="F2635" s="5">
        <v>211.4</v>
      </c>
      <c r="G2635" s="5">
        <v>105.5</v>
      </c>
      <c r="H2635" s="5">
        <v>105.3</v>
      </c>
      <c r="I2635" s="5">
        <v>0</v>
      </c>
      <c r="J2635" s="5">
        <v>0</v>
      </c>
      <c r="K2635" s="5">
        <v>0</v>
      </c>
    </row>
    <row r="2636" spans="1:11" x14ac:dyDescent="0.25">
      <c r="A2636" s="5">
        <f>2629</f>
      </c>
      <c r="B2636" s="5" t="s">
        <v>2644</v>
      </c>
      <c r="C2636" s="5">
        <v>105.3</v>
      </c>
      <c r="D2636" s="5">
        <v>105.1</v>
      </c>
      <c r="E2636" s="5">
        <v>0.1</v>
      </c>
      <c r="F2636" s="5">
        <v>211.4</v>
      </c>
      <c r="G2636" s="5">
        <v>105.5</v>
      </c>
      <c r="H2636" s="5">
        <v>105.3</v>
      </c>
      <c r="I2636" s="5">
        <v>0</v>
      </c>
      <c r="J2636" s="5">
        <v>0</v>
      </c>
      <c r="K2636" s="5">
        <v>0</v>
      </c>
    </row>
    <row r="2637" spans="1:11" x14ac:dyDescent="0.25">
      <c r="A2637" s="5">
        <f>2630</f>
      </c>
      <c r="B2637" s="5" t="s">
        <v>2645</v>
      </c>
      <c r="C2637" s="5">
        <v>105.3</v>
      </c>
      <c r="D2637" s="5">
        <v>105.1</v>
      </c>
      <c r="E2637" s="5">
        <v>0.1</v>
      </c>
      <c r="F2637" s="5">
        <v>211.4</v>
      </c>
      <c r="G2637" s="5">
        <v>105.5</v>
      </c>
      <c r="H2637" s="5">
        <v>105.3</v>
      </c>
      <c r="I2637" s="5">
        <v>0</v>
      </c>
      <c r="J2637" s="5">
        <v>0</v>
      </c>
      <c r="K2637" s="5">
        <v>0</v>
      </c>
    </row>
    <row r="2638" spans="1:11" x14ac:dyDescent="0.25">
      <c r="A2638" s="5">
        <f>2631</f>
      </c>
      <c r="B2638" s="5" t="s">
        <v>2646</v>
      </c>
      <c r="C2638" s="5">
        <v>0.1</v>
      </c>
      <c r="D2638" s="5">
        <v>104.6</v>
      </c>
      <c r="E2638" s="5">
        <v>0.1</v>
      </c>
      <c r="F2638" s="5">
        <v>211.4</v>
      </c>
      <c r="G2638" s="5">
        <v>105.5</v>
      </c>
      <c r="H2638" s="5">
        <v>105.3</v>
      </c>
      <c r="I2638" s="5">
        <v>0</v>
      </c>
      <c r="J2638" s="5">
        <v>0</v>
      </c>
      <c r="K2638" s="5">
        <v>0</v>
      </c>
    </row>
    <row r="2639" spans="1:11" x14ac:dyDescent="0.25">
      <c r="A2639" s="5">
        <f>2632</f>
      </c>
      <c r="B2639" s="5" t="s">
        <v>2647</v>
      </c>
      <c r="C2639" s="5">
        <v>105.2</v>
      </c>
      <c r="D2639" s="5">
        <v>104.6</v>
      </c>
      <c r="E2639" s="5">
        <v>0.1</v>
      </c>
      <c r="F2639" s="5">
        <v>211.4</v>
      </c>
      <c r="G2639" s="5">
        <v>105.5</v>
      </c>
      <c r="H2639" s="5">
        <v>105.3</v>
      </c>
      <c r="I2639" s="5">
        <v>0</v>
      </c>
      <c r="J2639" s="5">
        <v>0</v>
      </c>
      <c r="K2639" s="5">
        <v>0</v>
      </c>
    </row>
    <row r="2640" spans="1:11" x14ac:dyDescent="0.25">
      <c r="A2640" s="5">
        <f>2633</f>
      </c>
      <c r="B2640" s="5" t="s">
        <v>2648</v>
      </c>
      <c r="C2640" s="5">
        <v>0.1</v>
      </c>
      <c r="D2640" s="5">
        <v>105</v>
      </c>
      <c r="E2640" s="5">
        <v>0.1</v>
      </c>
      <c r="F2640" s="5">
        <v>211.4</v>
      </c>
      <c r="G2640" s="5">
        <v>105.5</v>
      </c>
      <c r="H2640" s="5">
        <v>105.3</v>
      </c>
      <c r="I2640" s="5">
        <v>0</v>
      </c>
      <c r="J2640" s="5">
        <v>0</v>
      </c>
      <c r="K2640" s="5">
        <v>0</v>
      </c>
    </row>
    <row r="2641" spans="1:11" x14ac:dyDescent="0.25">
      <c r="A2641" s="5">
        <f>2634</f>
      </c>
      <c r="B2641" s="5" t="s">
        <v>2649</v>
      </c>
      <c r="C2641" s="5">
        <v>104.7</v>
      </c>
      <c r="D2641" s="5">
        <v>105</v>
      </c>
      <c r="E2641" s="5">
        <v>0.1</v>
      </c>
      <c r="F2641" s="5">
        <v>211.4</v>
      </c>
      <c r="G2641" s="5">
        <v>105.5</v>
      </c>
      <c r="H2641" s="5">
        <v>105.3</v>
      </c>
      <c r="I2641" s="5">
        <v>0</v>
      </c>
      <c r="J2641" s="5">
        <v>0</v>
      </c>
      <c r="K2641" s="5">
        <v>0</v>
      </c>
    </row>
    <row r="2642" spans="1:11" x14ac:dyDescent="0.25">
      <c r="A2642" s="5">
        <f>2635</f>
      </c>
      <c r="B2642" s="5" t="s">
        <v>2650</v>
      </c>
      <c r="C2642" s="5">
        <v>104.7</v>
      </c>
      <c r="D2642" s="5">
        <v>104.7</v>
      </c>
      <c r="E2642" s="5">
        <v>0.1</v>
      </c>
      <c r="F2642" s="5">
        <v>211.4</v>
      </c>
      <c r="G2642" s="5">
        <v>105.5</v>
      </c>
      <c r="H2642" s="5">
        <v>105.3</v>
      </c>
      <c r="I2642" s="5">
        <v>0</v>
      </c>
      <c r="J2642" s="5">
        <v>0</v>
      </c>
      <c r="K2642" s="5">
        <v>0</v>
      </c>
    </row>
    <row r="2643" spans="1:11" x14ac:dyDescent="0.25">
      <c r="A2643" s="5">
        <f>2636</f>
      </c>
      <c r="B2643" s="5" t="s">
        <v>2651</v>
      </c>
      <c r="C2643" s="5">
        <v>104.6</v>
      </c>
      <c r="D2643" s="5">
        <v>0.1</v>
      </c>
      <c r="E2643" s="5">
        <v>104.7</v>
      </c>
      <c r="F2643" s="5">
        <v>209.8</v>
      </c>
      <c r="G2643" s="5">
        <v>104.6</v>
      </c>
      <c r="H2643" s="5">
        <v>104.5</v>
      </c>
      <c r="I2643" s="5">
        <v>0</v>
      </c>
      <c r="J2643" s="5">
        <v>0</v>
      </c>
      <c r="K2643" s="5">
        <v>0</v>
      </c>
    </row>
    <row r="2644" spans="1:11" x14ac:dyDescent="0.25">
      <c r="A2644" s="5">
        <f>2637</f>
      </c>
      <c r="B2644" s="5" t="s">
        <v>2652</v>
      </c>
      <c r="C2644" s="5">
        <v>104.6</v>
      </c>
      <c r="D2644" s="5">
        <v>0.1</v>
      </c>
      <c r="E2644" s="5">
        <v>104.7</v>
      </c>
      <c r="F2644" s="5">
        <v>209.8</v>
      </c>
      <c r="G2644" s="5">
        <v>104.6</v>
      </c>
      <c r="H2644" s="5">
        <v>104.5</v>
      </c>
      <c r="I2644" s="5">
        <v>0</v>
      </c>
      <c r="J2644" s="5">
        <v>0</v>
      </c>
      <c r="K2644" s="5">
        <v>0</v>
      </c>
    </row>
    <row r="2645" spans="1:11" x14ac:dyDescent="0.25">
      <c r="A2645" s="5">
        <f>2638</f>
      </c>
      <c r="B2645" s="5" t="s">
        <v>2653</v>
      </c>
      <c r="C2645" s="5">
        <v>105.6</v>
      </c>
      <c r="D2645" s="5">
        <v>0.1</v>
      </c>
      <c r="E2645" s="5">
        <v>105.7</v>
      </c>
      <c r="F2645" s="5">
        <v>210.9</v>
      </c>
      <c r="G2645" s="5">
        <v>105.2</v>
      </c>
      <c r="H2645" s="5">
        <v>105.1</v>
      </c>
      <c r="I2645" s="5">
        <v>0</v>
      </c>
      <c r="J2645" s="5">
        <v>0</v>
      </c>
      <c r="K2645" s="5">
        <v>0</v>
      </c>
    </row>
    <row r="2646" spans="1:11" x14ac:dyDescent="0.25">
      <c r="A2646" s="5">
        <f>2639</f>
      </c>
      <c r="B2646" s="5" t="s">
        <v>2654</v>
      </c>
      <c r="C2646" s="5">
        <v>105.6</v>
      </c>
      <c r="D2646" s="5">
        <v>0.1</v>
      </c>
      <c r="E2646" s="5">
        <v>105.7</v>
      </c>
      <c r="F2646" s="5">
        <v>210.9</v>
      </c>
      <c r="G2646" s="5">
        <v>105.2</v>
      </c>
      <c r="H2646" s="5">
        <v>105.1</v>
      </c>
      <c r="I2646" s="5">
        <v>0</v>
      </c>
      <c r="J2646" s="5">
        <v>0</v>
      </c>
      <c r="K2646" s="5">
        <v>0</v>
      </c>
    </row>
    <row r="2647" spans="1:11" x14ac:dyDescent="0.25">
      <c r="A2647" s="5">
        <f>2640</f>
      </c>
      <c r="B2647" s="5" t="s">
        <v>2655</v>
      </c>
      <c r="C2647" s="5">
        <v>104.1</v>
      </c>
      <c r="D2647" s="5">
        <v>0.1</v>
      </c>
      <c r="E2647" s="5">
        <v>104.3</v>
      </c>
      <c r="F2647" s="5">
        <v>209.1</v>
      </c>
      <c r="G2647" s="5">
        <v>104.4</v>
      </c>
      <c r="H2647" s="5">
        <v>104.2</v>
      </c>
      <c r="I2647" s="5">
        <v>0</v>
      </c>
      <c r="J2647" s="5">
        <v>0</v>
      </c>
      <c r="K2647" s="5">
        <v>0</v>
      </c>
    </row>
    <row r="2648" spans="1:11" x14ac:dyDescent="0.25">
      <c r="A2648" s="5">
        <f>2641</f>
      </c>
      <c r="B2648" s="5" t="s">
        <v>2656</v>
      </c>
      <c r="C2648" s="5">
        <v>104.1</v>
      </c>
      <c r="D2648" s="5">
        <v>0.1</v>
      </c>
      <c r="E2648" s="5">
        <v>104.3</v>
      </c>
      <c r="F2648" s="5">
        <v>209.1</v>
      </c>
      <c r="G2648" s="5">
        <v>104.4</v>
      </c>
      <c r="H2648" s="5">
        <v>104.2</v>
      </c>
      <c r="I2648" s="5">
        <v>0</v>
      </c>
      <c r="J2648" s="5">
        <v>0</v>
      </c>
      <c r="K2648" s="5">
        <v>0</v>
      </c>
    </row>
    <row r="2649" spans="1:11" x14ac:dyDescent="0.25">
      <c r="A2649" s="5">
        <f>2642</f>
      </c>
      <c r="B2649" s="5" t="s">
        <v>2657</v>
      </c>
      <c r="C2649" s="5">
        <v>105.1</v>
      </c>
      <c r="D2649" s="5">
        <v>0.1</v>
      </c>
      <c r="E2649" s="5">
        <v>105.3</v>
      </c>
      <c r="F2649" s="5">
        <v>210.2</v>
      </c>
      <c r="G2649" s="5">
        <v>104.9</v>
      </c>
      <c r="H2649" s="5">
        <v>104.7</v>
      </c>
      <c r="I2649" s="5">
        <v>0</v>
      </c>
      <c r="J2649" s="5">
        <v>0</v>
      </c>
      <c r="K2649" s="5">
        <v>0</v>
      </c>
    </row>
    <row r="2650" spans="1:11" x14ac:dyDescent="0.25">
      <c r="A2650" s="5">
        <f>2643</f>
      </c>
      <c r="B2650" s="5" t="s">
        <v>2658</v>
      </c>
      <c r="C2650" s="5">
        <v>105.1</v>
      </c>
      <c r="D2650" s="5">
        <v>0.1</v>
      </c>
      <c r="E2650" s="5">
        <v>105.3</v>
      </c>
      <c r="F2650" s="5">
        <v>210.2</v>
      </c>
      <c r="G2650" s="5">
        <v>104.9</v>
      </c>
      <c r="H2650" s="5">
        <v>104.7</v>
      </c>
      <c r="I2650" s="5">
        <v>0</v>
      </c>
      <c r="J2650" s="5">
        <v>0</v>
      </c>
      <c r="K2650" s="5">
        <v>0</v>
      </c>
    </row>
    <row r="2651" spans="1:11" x14ac:dyDescent="0.25">
      <c r="A2651" s="5">
        <f>2644</f>
      </c>
      <c r="B2651" s="5" t="s">
        <v>2659</v>
      </c>
      <c r="C2651" s="5">
        <v>105.1</v>
      </c>
      <c r="D2651" s="5">
        <v>0.1</v>
      </c>
      <c r="E2651" s="5">
        <v>105.3</v>
      </c>
      <c r="F2651" s="5">
        <v>210.2</v>
      </c>
      <c r="G2651" s="5">
        <v>104.9</v>
      </c>
      <c r="H2651" s="5">
        <v>104.7</v>
      </c>
      <c r="I2651" s="5">
        <v>0</v>
      </c>
      <c r="J2651" s="5">
        <v>0</v>
      </c>
      <c r="K2651" s="5">
        <v>0</v>
      </c>
    </row>
    <row r="2652" spans="1:11" x14ac:dyDescent="0.25">
      <c r="A2652" s="5">
        <f>2645</f>
      </c>
      <c r="B2652" s="5" t="s">
        <v>2660</v>
      </c>
      <c r="C2652" s="5">
        <v>105.1</v>
      </c>
      <c r="D2652" s="5">
        <v>0.1</v>
      </c>
      <c r="E2652" s="5">
        <v>105.3</v>
      </c>
      <c r="F2652" s="5">
        <v>210.2</v>
      </c>
      <c r="G2652" s="5">
        <v>104.9</v>
      </c>
      <c r="H2652" s="5">
        <v>104.7</v>
      </c>
      <c r="I2652" s="5">
        <v>0</v>
      </c>
      <c r="J2652" s="5">
        <v>0</v>
      </c>
      <c r="K2652" s="5">
        <v>0</v>
      </c>
    </row>
    <row r="2653" spans="1:11" x14ac:dyDescent="0.25">
      <c r="A2653" s="5">
        <f>2646</f>
      </c>
      <c r="B2653" s="5" t="s">
        <v>2661</v>
      </c>
      <c r="C2653" s="5">
        <v>105.1</v>
      </c>
      <c r="D2653" s="5">
        <v>0.1</v>
      </c>
      <c r="E2653" s="5">
        <v>105.3</v>
      </c>
      <c r="F2653" s="5">
        <v>210.2</v>
      </c>
      <c r="G2653" s="5">
        <v>104.9</v>
      </c>
      <c r="H2653" s="5">
        <v>104.7</v>
      </c>
      <c r="I2653" s="5">
        <v>0</v>
      </c>
      <c r="J2653" s="5">
        <v>0</v>
      </c>
      <c r="K2653" s="5">
        <v>0</v>
      </c>
    </row>
    <row r="2654" spans="1:11" x14ac:dyDescent="0.25">
      <c r="A2654" s="5">
        <f>2647</f>
      </c>
      <c r="B2654" s="5" t="s">
        <v>2662</v>
      </c>
      <c r="C2654" s="5">
        <v>105.1</v>
      </c>
      <c r="D2654" s="5">
        <v>0.1</v>
      </c>
      <c r="E2654" s="5">
        <v>105.3</v>
      </c>
      <c r="F2654" s="5">
        <v>210.2</v>
      </c>
      <c r="G2654" s="5">
        <v>104.9</v>
      </c>
      <c r="H2654" s="5">
        <v>104.7</v>
      </c>
      <c r="I2654" s="5">
        <v>0</v>
      </c>
      <c r="J2654" s="5">
        <v>0</v>
      </c>
      <c r="K2654" s="5">
        <v>0</v>
      </c>
    </row>
    <row r="2655" spans="1:11" x14ac:dyDescent="0.25">
      <c r="A2655" s="5">
        <f>2648</f>
      </c>
      <c r="B2655" s="5" t="s">
        <v>2663</v>
      </c>
      <c r="C2655" s="5">
        <v>104.6</v>
      </c>
      <c r="D2655" s="5">
        <v>0.1</v>
      </c>
      <c r="E2655" s="5">
        <v>104.7</v>
      </c>
      <c r="F2655" s="5">
        <v>208.2</v>
      </c>
      <c r="G2655" s="5">
        <v>103.9</v>
      </c>
      <c r="H2655" s="5">
        <v>103.7</v>
      </c>
      <c r="I2655" s="5">
        <v>0</v>
      </c>
      <c r="J2655" s="5">
        <v>0</v>
      </c>
      <c r="K2655" s="5">
        <v>0</v>
      </c>
    </row>
    <row r="2656" spans="1:11" x14ac:dyDescent="0.25">
      <c r="A2656" s="5">
        <f>2649</f>
      </c>
      <c r="B2656" s="5" t="s">
        <v>2664</v>
      </c>
      <c r="C2656" s="5">
        <v>104.6</v>
      </c>
      <c r="D2656" s="5">
        <v>0.1</v>
      </c>
      <c r="E2656" s="5">
        <v>104.7</v>
      </c>
      <c r="F2656" s="5">
        <v>208.2</v>
      </c>
      <c r="G2656" s="5">
        <v>103.9</v>
      </c>
      <c r="H2656" s="5">
        <v>103.7</v>
      </c>
      <c r="I2656" s="5">
        <v>0</v>
      </c>
      <c r="J2656" s="5">
        <v>0</v>
      </c>
      <c r="K2656" s="5">
        <v>0</v>
      </c>
    </row>
    <row r="2657" spans="1:11" x14ac:dyDescent="0.25">
      <c r="A2657" s="5">
        <f>2650</f>
      </c>
      <c r="B2657" s="5" t="s">
        <v>2665</v>
      </c>
      <c r="C2657" s="5">
        <v>105.7</v>
      </c>
      <c r="D2657" s="5">
        <v>0.1</v>
      </c>
      <c r="E2657" s="5">
        <v>105.9</v>
      </c>
      <c r="F2657" s="5">
        <v>210.2</v>
      </c>
      <c r="G2657" s="5">
        <v>104.9</v>
      </c>
      <c r="H2657" s="5">
        <v>104.7</v>
      </c>
      <c r="I2657" s="5">
        <v>0</v>
      </c>
      <c r="J2657" s="5">
        <v>0</v>
      </c>
      <c r="K2657" s="5">
        <v>0</v>
      </c>
    </row>
    <row r="2658" spans="1:11" x14ac:dyDescent="0.25">
      <c r="A2658" s="5">
        <f>2651</f>
      </c>
      <c r="B2658" s="5" t="s">
        <v>2666</v>
      </c>
      <c r="C2658" s="5">
        <v>105.7</v>
      </c>
      <c r="D2658" s="5">
        <v>0.1</v>
      </c>
      <c r="E2658" s="5">
        <v>105.9</v>
      </c>
      <c r="F2658" s="5">
        <v>210.2</v>
      </c>
      <c r="G2658" s="5">
        <v>104.9</v>
      </c>
      <c r="H2658" s="5">
        <v>104.7</v>
      </c>
      <c r="I2658" s="5">
        <v>0</v>
      </c>
      <c r="J2658" s="5">
        <v>0</v>
      </c>
      <c r="K2658" s="5">
        <v>0</v>
      </c>
    </row>
    <row r="2659" spans="1:11" x14ac:dyDescent="0.25">
      <c r="A2659" s="5">
        <f>2652</f>
      </c>
      <c r="B2659" s="5" t="s">
        <v>2667</v>
      </c>
      <c r="C2659" s="5">
        <v>105.2</v>
      </c>
      <c r="D2659" s="5">
        <v>0.1</v>
      </c>
      <c r="E2659" s="5">
        <v>105.3</v>
      </c>
      <c r="F2659" s="5">
        <v>210.1</v>
      </c>
      <c r="G2659" s="5">
        <v>104.8</v>
      </c>
      <c r="H2659" s="5">
        <v>104.6</v>
      </c>
      <c r="I2659" s="5">
        <v>0</v>
      </c>
      <c r="J2659" s="5">
        <v>0</v>
      </c>
      <c r="K2659" s="5">
        <v>0</v>
      </c>
    </row>
    <row r="2660" spans="1:11" x14ac:dyDescent="0.25">
      <c r="A2660" s="5">
        <f>2653</f>
      </c>
      <c r="B2660" s="5" t="s">
        <v>2668</v>
      </c>
      <c r="C2660" s="5">
        <v>105.2</v>
      </c>
      <c r="D2660" s="5">
        <v>0.1</v>
      </c>
      <c r="E2660" s="5">
        <v>105.3</v>
      </c>
      <c r="F2660" s="5">
        <v>210.1</v>
      </c>
      <c r="G2660" s="5">
        <v>104.8</v>
      </c>
      <c r="H2660" s="5">
        <v>104.6</v>
      </c>
      <c r="I2660" s="5">
        <v>0</v>
      </c>
      <c r="J2660" s="5">
        <v>0</v>
      </c>
      <c r="K2660" s="5">
        <v>0</v>
      </c>
    </row>
    <row r="2661" spans="1:11" x14ac:dyDescent="0.25">
      <c r="A2661" s="5">
        <f>2654</f>
      </c>
      <c r="B2661" s="5" t="s">
        <v>2669</v>
      </c>
      <c r="C2661" s="5">
        <v>105</v>
      </c>
      <c r="D2661" s="5">
        <v>0.1</v>
      </c>
      <c r="E2661" s="5">
        <v>105.2</v>
      </c>
      <c r="F2661" s="5">
        <v>209.5</v>
      </c>
      <c r="G2661" s="5">
        <v>104.5</v>
      </c>
      <c r="H2661" s="5">
        <v>104.4</v>
      </c>
      <c r="I2661" s="5">
        <v>0</v>
      </c>
      <c r="J2661" s="5">
        <v>0</v>
      </c>
      <c r="K2661" s="5">
        <v>0</v>
      </c>
    </row>
    <row r="2662" spans="1:11" x14ac:dyDescent="0.25">
      <c r="A2662" s="5">
        <f>2655</f>
      </c>
      <c r="B2662" s="5" t="s">
        <v>2670</v>
      </c>
      <c r="C2662" s="5">
        <v>105</v>
      </c>
      <c r="D2662" s="5">
        <v>0.1</v>
      </c>
      <c r="E2662" s="5">
        <v>105.2</v>
      </c>
      <c r="F2662" s="5">
        <v>209.5</v>
      </c>
      <c r="G2662" s="5">
        <v>104.5</v>
      </c>
      <c r="H2662" s="5">
        <v>104.4</v>
      </c>
      <c r="I2662" s="5">
        <v>0</v>
      </c>
      <c r="J2662" s="5">
        <v>0</v>
      </c>
      <c r="K2662" s="5">
        <v>0</v>
      </c>
    </row>
    <row r="2663" spans="1:11" x14ac:dyDescent="0.25">
      <c r="A2663" s="5">
        <f>2656</f>
      </c>
      <c r="B2663" s="5" t="s">
        <v>2671</v>
      </c>
      <c r="C2663" s="5">
        <v>105</v>
      </c>
      <c r="D2663" s="5">
        <v>0.1</v>
      </c>
      <c r="E2663" s="5">
        <v>105.2</v>
      </c>
      <c r="F2663" s="5">
        <v>209.5</v>
      </c>
      <c r="G2663" s="5">
        <v>104.5</v>
      </c>
      <c r="H2663" s="5">
        <v>104.4</v>
      </c>
      <c r="I2663" s="5">
        <v>0</v>
      </c>
      <c r="J2663" s="5">
        <v>0</v>
      </c>
      <c r="K2663" s="5">
        <v>0</v>
      </c>
    </row>
    <row r="2664" spans="1:11" x14ac:dyDescent="0.25">
      <c r="A2664" s="5">
        <f>2657</f>
      </c>
      <c r="B2664" s="5" t="s">
        <v>2672</v>
      </c>
      <c r="C2664" s="5">
        <v>105</v>
      </c>
      <c r="D2664" s="5">
        <v>0.1</v>
      </c>
      <c r="E2664" s="5">
        <v>105.7</v>
      </c>
      <c r="F2664" s="5">
        <v>211.1</v>
      </c>
      <c r="G2664" s="5">
        <v>105.3</v>
      </c>
      <c r="H2664" s="5">
        <v>105.2</v>
      </c>
      <c r="I2664" s="5">
        <v>0</v>
      </c>
      <c r="J2664" s="5">
        <v>0</v>
      </c>
      <c r="K2664" s="5">
        <v>0</v>
      </c>
    </row>
    <row r="2665" spans="1:11" x14ac:dyDescent="0.25">
      <c r="A2665" s="5">
        <f>2658</f>
      </c>
      <c r="B2665" s="5" t="s">
        <v>2673</v>
      </c>
      <c r="C2665" s="5">
        <v>105.6</v>
      </c>
      <c r="D2665" s="5">
        <v>0.1</v>
      </c>
      <c r="E2665" s="5">
        <v>105.7</v>
      </c>
      <c r="F2665" s="5">
        <v>211.1</v>
      </c>
      <c r="G2665" s="5">
        <v>105.3</v>
      </c>
      <c r="H2665" s="5">
        <v>105.2</v>
      </c>
      <c r="I2665" s="5">
        <v>0</v>
      </c>
      <c r="J2665" s="5">
        <v>0</v>
      </c>
      <c r="K2665" s="5">
        <v>0</v>
      </c>
    </row>
    <row r="2666" spans="1:11" x14ac:dyDescent="0.25">
      <c r="A2666" s="5">
        <f>2659</f>
      </c>
      <c r="B2666" s="5" t="s">
        <v>2674</v>
      </c>
      <c r="C2666" s="5">
        <v>105.6</v>
      </c>
      <c r="D2666" s="5">
        <v>0.1</v>
      </c>
      <c r="E2666" s="5">
        <v>105.4</v>
      </c>
      <c r="F2666" s="5">
        <v>210</v>
      </c>
      <c r="G2666" s="5">
        <v>104.7</v>
      </c>
      <c r="H2666" s="5">
        <v>104.5</v>
      </c>
      <c r="I2666" s="5">
        <v>0</v>
      </c>
      <c r="J2666" s="5">
        <v>0</v>
      </c>
      <c r="K2666" s="5">
        <v>0</v>
      </c>
    </row>
    <row r="2667" spans="1:11" x14ac:dyDescent="0.25">
      <c r="A2667" s="5">
        <f>2660</f>
      </c>
      <c r="B2667" s="5" t="s">
        <v>2675</v>
      </c>
      <c r="C2667" s="5">
        <v>105.3</v>
      </c>
      <c r="D2667" s="5">
        <v>0.1</v>
      </c>
      <c r="E2667" s="5">
        <v>105.4</v>
      </c>
      <c r="F2667" s="5">
        <v>210</v>
      </c>
      <c r="G2667" s="5">
        <v>104.7</v>
      </c>
      <c r="H2667" s="5">
        <v>104.5</v>
      </c>
      <c r="I2667" s="5">
        <v>0</v>
      </c>
      <c r="J2667" s="5">
        <v>0</v>
      </c>
      <c r="K2667" s="5">
        <v>0</v>
      </c>
    </row>
    <row r="2668" spans="1:11" x14ac:dyDescent="0.25">
      <c r="A2668" s="5">
        <f>2661</f>
      </c>
      <c r="B2668" s="5" t="s">
        <v>2676</v>
      </c>
      <c r="C2668" s="5">
        <v>105.3</v>
      </c>
      <c r="D2668" s="5">
        <v>0.1</v>
      </c>
      <c r="E2668" s="5">
        <v>105.4</v>
      </c>
      <c r="F2668" s="5">
        <v>210.1</v>
      </c>
      <c r="G2668" s="5">
        <v>104.8</v>
      </c>
      <c r="H2668" s="5">
        <v>104.7</v>
      </c>
      <c r="I2668" s="5">
        <v>0</v>
      </c>
      <c r="J2668" s="5">
        <v>0</v>
      </c>
      <c r="K2668" s="5">
        <v>0</v>
      </c>
    </row>
    <row r="2669" spans="1:11" x14ac:dyDescent="0.25">
      <c r="A2669" s="5">
        <f>2662</f>
      </c>
      <c r="B2669" s="5" t="s">
        <v>2677</v>
      </c>
      <c r="C2669" s="5">
        <v>105.3</v>
      </c>
      <c r="D2669" s="5">
        <v>0.1</v>
      </c>
      <c r="E2669" s="5">
        <v>105.4</v>
      </c>
      <c r="F2669" s="5">
        <v>210.1</v>
      </c>
      <c r="G2669" s="5">
        <v>104.8</v>
      </c>
      <c r="H2669" s="5">
        <v>104.7</v>
      </c>
      <c r="I2669" s="5">
        <v>0</v>
      </c>
      <c r="J2669" s="5">
        <v>0</v>
      </c>
      <c r="K2669" s="5">
        <v>0</v>
      </c>
    </row>
    <row r="2670" spans="1:11" x14ac:dyDescent="0.25">
      <c r="A2670" s="5">
        <f>2663</f>
      </c>
      <c r="B2670" s="5" t="s">
        <v>2678</v>
      </c>
      <c r="C2670" s="5">
        <v>105.3</v>
      </c>
      <c r="D2670" s="5">
        <v>0.1</v>
      </c>
      <c r="E2670" s="5">
        <v>105.4</v>
      </c>
      <c r="F2670" s="5">
        <v>210.1</v>
      </c>
      <c r="G2670" s="5">
        <v>104.8</v>
      </c>
      <c r="H2670" s="5">
        <v>105</v>
      </c>
      <c r="I2670" s="5">
        <v>0</v>
      </c>
      <c r="J2670" s="5">
        <v>0</v>
      </c>
      <c r="K2670" s="5">
        <v>0</v>
      </c>
    </row>
    <row r="2671" spans="1:11" x14ac:dyDescent="0.25">
      <c r="A2671" s="5">
        <f>2664</f>
      </c>
      <c r="B2671" s="5" t="s">
        <v>2679</v>
      </c>
      <c r="C2671" s="5">
        <v>105.6</v>
      </c>
      <c r="D2671" s="5">
        <v>0.1</v>
      </c>
      <c r="E2671" s="5">
        <v>105.6</v>
      </c>
      <c r="F2671" s="5">
        <v>210.9</v>
      </c>
      <c r="G2671" s="5">
        <v>105.2</v>
      </c>
      <c r="H2671" s="5">
        <v>105</v>
      </c>
      <c r="I2671" s="5">
        <v>0</v>
      </c>
      <c r="J2671" s="5">
        <v>0</v>
      </c>
      <c r="K2671" s="5">
        <v>0</v>
      </c>
    </row>
    <row r="2672" spans="1:11" x14ac:dyDescent="0.25">
      <c r="A2672" s="5">
        <f>2665</f>
      </c>
      <c r="B2672" s="5" t="s">
        <v>2680</v>
      </c>
      <c r="C2672" s="5">
        <v>105.6</v>
      </c>
      <c r="D2672" s="5">
        <v>0.1</v>
      </c>
      <c r="E2672" s="5">
        <v>105.6</v>
      </c>
      <c r="F2672" s="5">
        <v>210.9</v>
      </c>
      <c r="G2672" s="5">
        <v>105.2</v>
      </c>
      <c r="H2672" s="5">
        <v>105</v>
      </c>
      <c r="I2672" s="5">
        <v>0</v>
      </c>
      <c r="J2672" s="5">
        <v>0</v>
      </c>
      <c r="K2672" s="5">
        <v>0</v>
      </c>
    </row>
    <row r="2673" spans="1:11" x14ac:dyDescent="0.25">
      <c r="A2673" s="5">
        <f>2666</f>
      </c>
      <c r="B2673" s="5" t="s">
        <v>2681</v>
      </c>
      <c r="C2673" s="5">
        <v>105.6</v>
      </c>
      <c r="D2673" s="5">
        <v>0.1</v>
      </c>
      <c r="E2673" s="5">
        <v>105.6</v>
      </c>
      <c r="F2673" s="5">
        <v>210.9</v>
      </c>
      <c r="G2673" s="5">
        <v>105.2</v>
      </c>
      <c r="H2673" s="5">
        <v>105</v>
      </c>
      <c r="I2673" s="5">
        <v>0</v>
      </c>
      <c r="J2673" s="5">
        <v>0</v>
      </c>
      <c r="K2673" s="5">
        <v>0</v>
      </c>
    </row>
    <row r="2674" spans="1:11" x14ac:dyDescent="0.25">
      <c r="A2674" s="5">
        <f>2667</f>
      </c>
      <c r="B2674" s="5" t="s">
        <v>2682</v>
      </c>
      <c r="C2674" s="5">
        <v>104.6</v>
      </c>
      <c r="D2674" s="5">
        <v>0.1</v>
      </c>
      <c r="E2674" s="5">
        <v>104.7</v>
      </c>
      <c r="F2674" s="5">
        <v>208.9</v>
      </c>
      <c r="G2674" s="5">
        <v>104.2</v>
      </c>
      <c r="H2674" s="5">
        <v>104.1</v>
      </c>
      <c r="I2674" s="5">
        <v>0</v>
      </c>
      <c r="J2674" s="5">
        <v>0</v>
      </c>
      <c r="K2674" s="5">
        <v>0</v>
      </c>
    </row>
    <row r="2675" spans="1:11" x14ac:dyDescent="0.25">
      <c r="A2675" s="5">
        <f>2668</f>
      </c>
      <c r="B2675" s="5" t="s">
        <v>2683</v>
      </c>
      <c r="C2675" s="5">
        <v>104.6</v>
      </c>
      <c r="D2675" s="5">
        <v>0.1</v>
      </c>
      <c r="E2675" s="5">
        <v>104.7</v>
      </c>
      <c r="F2675" s="5">
        <v>208.9</v>
      </c>
      <c r="G2675" s="5">
        <v>104.2</v>
      </c>
      <c r="H2675" s="5">
        <v>104.1</v>
      </c>
      <c r="I2675" s="5">
        <v>0</v>
      </c>
      <c r="J2675" s="5">
        <v>0</v>
      </c>
      <c r="K2675" s="5">
        <v>0</v>
      </c>
    </row>
    <row r="2676" spans="1:11" x14ac:dyDescent="0.25">
      <c r="A2676" s="5">
        <f>2669</f>
      </c>
      <c r="B2676" s="5" t="s">
        <v>2684</v>
      </c>
      <c r="C2676" s="5">
        <v>104.3</v>
      </c>
      <c r="D2676" s="5">
        <v>0.1</v>
      </c>
      <c r="E2676" s="5">
        <v>104.4</v>
      </c>
      <c r="F2676" s="5">
        <v>208.5</v>
      </c>
      <c r="G2676" s="5">
        <v>104</v>
      </c>
      <c r="H2676" s="5">
        <v>103.8</v>
      </c>
      <c r="I2676" s="5">
        <v>0</v>
      </c>
      <c r="J2676" s="5">
        <v>0</v>
      </c>
      <c r="K2676" s="5">
        <v>0</v>
      </c>
    </row>
    <row r="2677" spans="1:11" x14ac:dyDescent="0.25">
      <c r="A2677" s="5">
        <f>2670</f>
      </c>
      <c r="B2677" s="5" t="s">
        <v>2685</v>
      </c>
      <c r="C2677" s="5">
        <v>104.3</v>
      </c>
      <c r="D2677" s="5">
        <v>0.1</v>
      </c>
      <c r="E2677" s="5">
        <v>104.4</v>
      </c>
      <c r="F2677" s="5">
        <v>208.5</v>
      </c>
      <c r="G2677" s="5">
        <v>104</v>
      </c>
      <c r="H2677" s="5">
        <v>103.8</v>
      </c>
      <c r="I2677" s="5">
        <v>0</v>
      </c>
      <c r="J2677" s="5">
        <v>0</v>
      </c>
      <c r="K2677" s="5">
        <v>0</v>
      </c>
    </row>
    <row r="2678" spans="1:11" x14ac:dyDescent="0.25">
      <c r="A2678" s="5">
        <f>2671</f>
      </c>
      <c r="B2678" s="5" t="s">
        <v>2686</v>
      </c>
      <c r="C2678" s="5">
        <v>104.7</v>
      </c>
      <c r="D2678" s="5">
        <v>0.1</v>
      </c>
      <c r="E2678" s="5">
        <v>104.9</v>
      </c>
      <c r="F2678" s="5">
        <v>208.6</v>
      </c>
      <c r="G2678" s="5">
        <v>104.1</v>
      </c>
      <c r="H2678" s="5">
        <v>103.9</v>
      </c>
      <c r="I2678" s="5">
        <v>0</v>
      </c>
      <c r="J2678" s="5">
        <v>0</v>
      </c>
      <c r="K2678" s="5">
        <v>0</v>
      </c>
    </row>
    <row r="2679" spans="1:11" x14ac:dyDescent="0.25">
      <c r="A2679" s="5">
        <f>2672</f>
      </c>
      <c r="B2679" s="5" t="s">
        <v>2687</v>
      </c>
      <c r="C2679" s="5">
        <v>104.7</v>
      </c>
      <c r="D2679" s="5">
        <v>0.1</v>
      </c>
      <c r="E2679" s="5">
        <v>104.9</v>
      </c>
      <c r="F2679" s="5">
        <v>208.6</v>
      </c>
      <c r="G2679" s="5">
        <v>104.1</v>
      </c>
      <c r="H2679" s="5">
        <v>103.9</v>
      </c>
      <c r="I2679" s="5">
        <v>0</v>
      </c>
      <c r="J2679" s="5">
        <v>0</v>
      </c>
      <c r="K2679" s="5">
        <v>0</v>
      </c>
    </row>
    <row r="2680" spans="1:11" x14ac:dyDescent="0.25">
      <c r="A2680" s="5">
        <f>2673</f>
      </c>
      <c r="B2680" s="5" t="s">
        <v>2688</v>
      </c>
      <c r="C2680" s="5">
        <v>104.8</v>
      </c>
      <c r="D2680" s="5">
        <v>0.1</v>
      </c>
      <c r="E2680" s="5">
        <v>105</v>
      </c>
      <c r="F2680" s="5">
        <v>208.9</v>
      </c>
      <c r="G2680" s="5">
        <v>104.2</v>
      </c>
      <c r="H2680" s="5">
        <v>104.1</v>
      </c>
      <c r="I2680" s="5">
        <v>0</v>
      </c>
      <c r="J2680" s="5">
        <v>0</v>
      </c>
      <c r="K2680" s="5">
        <v>0</v>
      </c>
    </row>
    <row r="2681" spans="1:11" x14ac:dyDescent="0.25">
      <c r="A2681" s="5">
        <f>2674</f>
      </c>
      <c r="B2681" s="5" t="s">
        <v>2689</v>
      </c>
      <c r="C2681" s="5">
        <v>104.8</v>
      </c>
      <c r="D2681" s="5">
        <v>0.1</v>
      </c>
      <c r="E2681" s="5">
        <v>105</v>
      </c>
      <c r="F2681" s="5">
        <v>208.9</v>
      </c>
      <c r="G2681" s="5">
        <v>104.2</v>
      </c>
      <c r="H2681" s="5">
        <v>104.1</v>
      </c>
      <c r="I2681" s="5">
        <v>0</v>
      </c>
      <c r="J2681" s="5">
        <v>0</v>
      </c>
      <c r="K2681" s="5">
        <v>0</v>
      </c>
    </row>
    <row r="2682" spans="1:11" x14ac:dyDescent="0.25">
      <c r="A2682" s="5">
        <f>2675</f>
      </c>
      <c r="B2682" s="5" t="s">
        <v>2690</v>
      </c>
      <c r="C2682" s="5">
        <v>104.8</v>
      </c>
      <c r="D2682" s="5">
        <v>0.1</v>
      </c>
      <c r="E2682" s="5">
        <v>105</v>
      </c>
      <c r="F2682" s="5">
        <v>208.9</v>
      </c>
      <c r="G2682" s="5">
        <v>104.2</v>
      </c>
      <c r="H2682" s="5">
        <v>104.1</v>
      </c>
      <c r="I2682" s="5">
        <v>0</v>
      </c>
      <c r="J2682" s="5">
        <v>0</v>
      </c>
      <c r="K2682" s="5">
        <v>0</v>
      </c>
    </row>
    <row r="2683" spans="1:11" x14ac:dyDescent="0.25">
      <c r="A2683" s="5">
        <f>2676</f>
      </c>
      <c r="B2683" s="5" t="s">
        <v>2691</v>
      </c>
      <c r="C2683" s="5">
        <v>104.8</v>
      </c>
      <c r="D2683" s="5">
        <v>0.1</v>
      </c>
      <c r="E2683" s="5">
        <v>105</v>
      </c>
      <c r="F2683" s="5">
        <v>208.9</v>
      </c>
      <c r="G2683" s="5">
        <v>104.2</v>
      </c>
      <c r="H2683" s="5">
        <v>104.1</v>
      </c>
      <c r="I2683" s="5">
        <v>0</v>
      </c>
      <c r="J2683" s="5">
        <v>0</v>
      </c>
      <c r="K2683" s="5">
        <v>0</v>
      </c>
    </row>
    <row r="2684" spans="1:11" x14ac:dyDescent="0.25">
      <c r="A2684" s="5">
        <f>2677</f>
      </c>
      <c r="B2684" s="5" t="s">
        <v>2692</v>
      </c>
      <c r="C2684" s="5">
        <v>104.4</v>
      </c>
      <c r="D2684" s="5">
        <v>0.1</v>
      </c>
      <c r="E2684" s="5">
        <v>104.6</v>
      </c>
      <c r="F2684" s="5">
        <v>208.4</v>
      </c>
      <c r="G2684" s="5">
        <v>104</v>
      </c>
      <c r="H2684" s="5">
        <v>103.8</v>
      </c>
      <c r="I2684" s="5">
        <v>0</v>
      </c>
      <c r="J2684" s="5">
        <v>0</v>
      </c>
      <c r="K2684" s="5">
        <v>0</v>
      </c>
    </row>
    <row r="2685" spans="1:11" x14ac:dyDescent="0.25">
      <c r="A2685" s="5">
        <f>2678</f>
      </c>
      <c r="B2685" s="5" t="s">
        <v>2693</v>
      </c>
      <c r="C2685" s="5">
        <v>104.4</v>
      </c>
      <c r="D2685" s="5">
        <v>0.1</v>
      </c>
      <c r="E2685" s="5">
        <v>104.6</v>
      </c>
      <c r="F2685" s="5">
        <v>208.4</v>
      </c>
      <c r="G2685" s="5">
        <v>104</v>
      </c>
      <c r="H2685" s="5">
        <v>103.8</v>
      </c>
      <c r="I2685" s="5">
        <v>0</v>
      </c>
      <c r="J2685" s="5">
        <v>0</v>
      </c>
      <c r="K2685" s="5">
        <v>0</v>
      </c>
    </row>
    <row r="2686" spans="1:11" x14ac:dyDescent="0.25">
      <c r="A2686" s="5">
        <f>2679</f>
      </c>
      <c r="B2686" s="5" t="s">
        <v>2694</v>
      </c>
      <c r="C2686" s="5">
        <v>103.8</v>
      </c>
      <c r="D2686" s="5">
        <v>0.1</v>
      </c>
      <c r="E2686" s="5">
        <v>103.9</v>
      </c>
      <c r="F2686" s="5">
        <v>207.7</v>
      </c>
      <c r="G2686" s="5">
        <v>103.6</v>
      </c>
      <c r="H2686" s="5">
        <v>103.4</v>
      </c>
      <c r="I2686" s="5">
        <v>0</v>
      </c>
      <c r="J2686" s="5">
        <v>0</v>
      </c>
      <c r="K2686" s="5">
        <v>0</v>
      </c>
    </row>
    <row r="2687" spans="1:11" x14ac:dyDescent="0.25">
      <c r="A2687" s="5">
        <f>2680</f>
      </c>
      <c r="B2687" s="5" t="s">
        <v>2695</v>
      </c>
      <c r="C2687" s="5">
        <v>103.8</v>
      </c>
      <c r="D2687" s="5">
        <v>0.1</v>
      </c>
      <c r="E2687" s="5">
        <v>103.9</v>
      </c>
      <c r="F2687" s="5">
        <v>207.7</v>
      </c>
      <c r="G2687" s="5">
        <v>103.6</v>
      </c>
      <c r="H2687" s="5">
        <v>103.4</v>
      </c>
      <c r="I2687" s="5">
        <v>0</v>
      </c>
      <c r="J2687" s="5">
        <v>0</v>
      </c>
      <c r="K2687" s="5">
        <v>0</v>
      </c>
    </row>
    <row r="2688" spans="1:11" x14ac:dyDescent="0.25">
      <c r="A2688" s="5">
        <f>2681</f>
      </c>
      <c r="B2688" s="5" t="s">
        <v>2696</v>
      </c>
      <c r="C2688" s="5">
        <v>104</v>
      </c>
      <c r="D2688" s="5">
        <v>0.1</v>
      </c>
      <c r="E2688" s="5">
        <v>104.1</v>
      </c>
      <c r="F2688" s="5">
        <v>207.8</v>
      </c>
      <c r="G2688" s="5">
        <v>103.6</v>
      </c>
      <c r="H2688" s="5">
        <v>103.4</v>
      </c>
      <c r="I2688" s="5">
        <v>0</v>
      </c>
      <c r="J2688" s="5">
        <v>0</v>
      </c>
      <c r="K2688" s="5">
        <v>0</v>
      </c>
    </row>
    <row r="2689" spans="1:11" x14ac:dyDescent="0.25">
      <c r="A2689" s="5">
        <f>2682</f>
      </c>
      <c r="B2689" s="5" t="s">
        <v>2697</v>
      </c>
      <c r="C2689" s="5">
        <v>104</v>
      </c>
      <c r="D2689" s="5">
        <v>0.1</v>
      </c>
      <c r="E2689" s="5">
        <v>104.1</v>
      </c>
      <c r="F2689" s="5">
        <v>207.8</v>
      </c>
      <c r="G2689" s="5">
        <v>103.6</v>
      </c>
      <c r="H2689" s="5">
        <v>103.4</v>
      </c>
      <c r="I2689" s="5">
        <v>0</v>
      </c>
      <c r="J2689" s="5">
        <v>0</v>
      </c>
      <c r="K2689" s="5">
        <v>0</v>
      </c>
    </row>
    <row r="2690" spans="1:11" x14ac:dyDescent="0.25">
      <c r="A2690" s="5">
        <f>2683</f>
      </c>
      <c r="B2690" s="5" t="s">
        <v>2698</v>
      </c>
      <c r="C2690" s="5">
        <v>104.3</v>
      </c>
      <c r="D2690" s="5">
        <v>0.1</v>
      </c>
      <c r="E2690" s="5">
        <v>104.5</v>
      </c>
      <c r="F2690" s="5">
        <v>207.6</v>
      </c>
      <c r="G2690" s="5">
        <v>103.6</v>
      </c>
      <c r="H2690" s="5">
        <v>103.4</v>
      </c>
      <c r="I2690" s="5">
        <v>0</v>
      </c>
      <c r="J2690" s="5">
        <v>0</v>
      </c>
      <c r="K2690" s="5">
        <v>0</v>
      </c>
    </row>
    <row r="2691" spans="1:11" x14ac:dyDescent="0.25">
      <c r="A2691" s="5">
        <f>2684</f>
      </c>
      <c r="B2691" s="5" t="s">
        <v>2699</v>
      </c>
      <c r="C2691" s="5">
        <v>104.3</v>
      </c>
      <c r="D2691" s="5">
        <v>0.1</v>
      </c>
      <c r="E2691" s="5">
        <v>104.5</v>
      </c>
      <c r="F2691" s="5">
        <v>207.6</v>
      </c>
      <c r="G2691" s="5">
        <v>103.6</v>
      </c>
      <c r="H2691" s="5">
        <v>103.5</v>
      </c>
      <c r="I2691" s="5">
        <v>0</v>
      </c>
      <c r="J2691" s="5">
        <v>0</v>
      </c>
      <c r="K2691" s="5">
        <v>0</v>
      </c>
    </row>
    <row r="2692" spans="1:11" x14ac:dyDescent="0.25">
      <c r="A2692" s="5">
        <f>2685</f>
      </c>
      <c r="B2692" s="5" t="s">
        <v>2700</v>
      </c>
      <c r="C2692" s="5">
        <v>104.3</v>
      </c>
      <c r="D2692" s="5">
        <v>0.1</v>
      </c>
      <c r="E2692" s="5">
        <v>104.5</v>
      </c>
      <c r="F2692" s="5">
        <v>207.6</v>
      </c>
      <c r="G2692" s="5">
        <v>103.6</v>
      </c>
      <c r="H2692" s="5">
        <v>103.5</v>
      </c>
      <c r="I2692" s="5">
        <v>0</v>
      </c>
      <c r="J2692" s="5">
        <v>0</v>
      </c>
      <c r="K2692" s="5">
        <v>0</v>
      </c>
    </row>
    <row r="2693" spans="1:11" x14ac:dyDescent="0.25">
      <c r="A2693" s="5">
        <f>2686</f>
      </c>
      <c r="B2693" s="5" t="s">
        <v>2701</v>
      </c>
      <c r="C2693" s="5">
        <v>104.3</v>
      </c>
      <c r="D2693" s="5">
        <v>0.1</v>
      </c>
      <c r="E2693" s="5">
        <v>104.5</v>
      </c>
      <c r="F2693" s="5">
        <v>207.6</v>
      </c>
      <c r="G2693" s="5">
        <v>103.6</v>
      </c>
      <c r="H2693" s="5">
        <v>103.5</v>
      </c>
      <c r="I2693" s="5">
        <v>0</v>
      </c>
      <c r="J2693" s="5">
        <v>0</v>
      </c>
      <c r="K2693" s="5">
        <v>0</v>
      </c>
    </row>
    <row r="2694" spans="1:11" x14ac:dyDescent="0.25">
      <c r="A2694" s="5">
        <f>2687</f>
      </c>
      <c r="B2694" s="5" t="s">
        <v>2702</v>
      </c>
      <c r="C2694" s="5">
        <v>104.5</v>
      </c>
      <c r="D2694" s="5">
        <v>0.1</v>
      </c>
      <c r="E2694" s="5">
        <v>104.5</v>
      </c>
      <c r="F2694" s="5">
        <v>208.9</v>
      </c>
      <c r="G2694" s="5">
        <v>104.2</v>
      </c>
      <c r="H2694" s="5">
        <v>104.1</v>
      </c>
      <c r="I2694" s="5">
        <v>0</v>
      </c>
      <c r="J2694" s="5">
        <v>0</v>
      </c>
      <c r="K2694" s="5">
        <v>0</v>
      </c>
    </row>
    <row r="2695" spans="1:11" x14ac:dyDescent="0.25">
      <c r="A2695" s="5">
        <f>2688</f>
      </c>
      <c r="B2695" s="5" t="s">
        <v>2703</v>
      </c>
      <c r="C2695" s="5">
        <v>104.5</v>
      </c>
      <c r="D2695" s="5">
        <v>0.1</v>
      </c>
      <c r="E2695" s="5">
        <v>104.6</v>
      </c>
      <c r="F2695" s="5">
        <v>208.9</v>
      </c>
      <c r="G2695" s="5">
        <v>104.2</v>
      </c>
      <c r="H2695" s="5">
        <v>104.1</v>
      </c>
      <c r="I2695" s="5">
        <v>0</v>
      </c>
      <c r="J2695" s="5">
        <v>0</v>
      </c>
      <c r="K2695" s="5">
        <v>0</v>
      </c>
    </row>
    <row r="2696" spans="1:11" x14ac:dyDescent="0.25">
      <c r="A2696" s="5">
        <f>2689</f>
      </c>
      <c r="B2696" s="5" t="s">
        <v>2704</v>
      </c>
      <c r="C2696" s="5">
        <v>104.5</v>
      </c>
      <c r="D2696" s="5">
        <v>0.1</v>
      </c>
      <c r="E2696" s="5">
        <v>104.3</v>
      </c>
      <c r="F2696" s="5">
        <v>207.7</v>
      </c>
      <c r="G2696" s="5">
        <v>103.6</v>
      </c>
      <c r="H2696" s="5">
        <v>103.6</v>
      </c>
      <c r="I2696" s="5">
        <v>0</v>
      </c>
      <c r="J2696" s="5">
        <v>0</v>
      </c>
      <c r="K2696" s="5">
        <v>0</v>
      </c>
    </row>
    <row r="2697" spans="1:11" x14ac:dyDescent="0.25">
      <c r="A2697" s="5">
        <f>2690</f>
      </c>
      <c r="B2697" s="5" t="s">
        <v>2705</v>
      </c>
      <c r="C2697" s="5">
        <v>104.1</v>
      </c>
      <c r="D2697" s="5">
        <v>0.1</v>
      </c>
      <c r="E2697" s="5">
        <v>104.3</v>
      </c>
      <c r="F2697" s="5">
        <v>207.7</v>
      </c>
      <c r="G2697" s="5">
        <v>103.6</v>
      </c>
      <c r="H2697" s="5">
        <v>103.6</v>
      </c>
      <c r="I2697" s="5">
        <v>0</v>
      </c>
      <c r="J2697" s="5">
        <v>0</v>
      </c>
      <c r="K2697" s="5">
        <v>0</v>
      </c>
    </row>
    <row r="2698" spans="1:11" x14ac:dyDescent="0.25">
      <c r="A2698" s="5">
        <f>2691</f>
      </c>
      <c r="B2698" s="5" t="s">
        <v>2706</v>
      </c>
      <c r="C2698" s="5">
        <v>104.1</v>
      </c>
      <c r="D2698" s="5">
        <v>0.1</v>
      </c>
      <c r="E2698" s="5">
        <v>104.3</v>
      </c>
      <c r="F2698" s="5">
        <v>207.7</v>
      </c>
      <c r="G2698" s="5">
        <v>103.7</v>
      </c>
      <c r="H2698" s="5">
        <v>103.6</v>
      </c>
      <c r="I2698" s="5">
        <v>0</v>
      </c>
      <c r="J2698" s="5">
        <v>0</v>
      </c>
      <c r="K2698" s="5">
        <v>0</v>
      </c>
    </row>
    <row r="2699" spans="1:11" x14ac:dyDescent="0.25">
      <c r="A2699" s="5">
        <f>2692</f>
      </c>
      <c r="B2699" s="5" t="s">
        <v>2707</v>
      </c>
      <c r="C2699" s="5">
        <v>104.3</v>
      </c>
      <c r="D2699" s="5">
        <v>0.1</v>
      </c>
      <c r="E2699" s="5">
        <v>104.5</v>
      </c>
      <c r="F2699" s="5">
        <v>207.8</v>
      </c>
      <c r="G2699" s="5">
        <v>103.7</v>
      </c>
      <c r="H2699" s="5">
        <v>103.6</v>
      </c>
      <c r="I2699" s="5">
        <v>0</v>
      </c>
      <c r="J2699" s="5">
        <v>0</v>
      </c>
      <c r="K2699" s="5">
        <v>0</v>
      </c>
    </row>
    <row r="2700" spans="1:11" x14ac:dyDescent="0.25">
      <c r="A2700" s="5">
        <f>2693</f>
      </c>
      <c r="B2700" s="5" t="s">
        <v>2708</v>
      </c>
      <c r="C2700" s="5">
        <v>104.3</v>
      </c>
      <c r="D2700" s="5">
        <v>0.1</v>
      </c>
      <c r="E2700" s="5">
        <v>104.5</v>
      </c>
      <c r="F2700" s="5">
        <v>207.8</v>
      </c>
      <c r="G2700" s="5">
        <v>103.7</v>
      </c>
      <c r="H2700" s="5">
        <v>103.6</v>
      </c>
      <c r="I2700" s="5">
        <v>0</v>
      </c>
      <c r="J2700" s="5">
        <v>0</v>
      </c>
      <c r="K2700" s="5">
        <v>0</v>
      </c>
    </row>
    <row r="2701" spans="1:11" x14ac:dyDescent="0.25">
      <c r="A2701" s="5">
        <f>2694</f>
      </c>
      <c r="B2701" s="5" t="s">
        <v>2709</v>
      </c>
      <c r="C2701" s="5">
        <v>104.3</v>
      </c>
      <c r="D2701" s="5">
        <v>0.1</v>
      </c>
      <c r="E2701" s="5">
        <v>104.5</v>
      </c>
      <c r="F2701" s="5">
        <v>208.1</v>
      </c>
      <c r="G2701" s="5">
        <v>103.8</v>
      </c>
      <c r="H2701" s="5">
        <v>103.6</v>
      </c>
      <c r="I2701" s="5">
        <v>0</v>
      </c>
      <c r="J2701" s="5">
        <v>0</v>
      </c>
      <c r="K2701" s="5">
        <v>0</v>
      </c>
    </row>
    <row r="2702" spans="1:11" x14ac:dyDescent="0.25">
      <c r="A2702" s="5">
        <f>2695</f>
      </c>
      <c r="B2702" s="5" t="s">
        <v>2710</v>
      </c>
      <c r="C2702" s="5">
        <v>104.3</v>
      </c>
      <c r="D2702" s="5">
        <v>0.1</v>
      </c>
      <c r="E2702" s="5">
        <v>104.5</v>
      </c>
      <c r="F2702" s="5">
        <v>208.1</v>
      </c>
      <c r="G2702" s="5">
        <v>103.8</v>
      </c>
      <c r="H2702" s="5">
        <v>103.6</v>
      </c>
      <c r="I2702" s="5">
        <v>0</v>
      </c>
      <c r="J2702" s="5">
        <v>0</v>
      </c>
      <c r="K2702" s="5">
        <v>0</v>
      </c>
    </row>
    <row r="2703" spans="1:11" x14ac:dyDescent="0.25">
      <c r="A2703" s="5">
        <f>2696</f>
      </c>
      <c r="B2703" s="5" t="s">
        <v>2711</v>
      </c>
      <c r="C2703" s="5">
        <v>104.3</v>
      </c>
      <c r="D2703" s="5">
        <v>0.1</v>
      </c>
      <c r="E2703" s="5">
        <v>104.5</v>
      </c>
      <c r="F2703" s="5">
        <v>208.1</v>
      </c>
      <c r="G2703" s="5">
        <v>103.8</v>
      </c>
      <c r="H2703" s="5">
        <v>103.6</v>
      </c>
      <c r="I2703" s="5">
        <v>0</v>
      </c>
      <c r="J2703" s="5">
        <v>0</v>
      </c>
      <c r="K2703" s="5">
        <v>0</v>
      </c>
    </row>
    <row r="2704" spans="1:11" x14ac:dyDescent="0.25">
      <c r="A2704" s="5">
        <f>2697</f>
      </c>
      <c r="B2704" s="5" t="s">
        <v>2712</v>
      </c>
      <c r="C2704" s="5">
        <v>103.4</v>
      </c>
      <c r="D2704" s="5">
        <v>0.1</v>
      </c>
      <c r="E2704" s="5">
        <v>103.5</v>
      </c>
      <c r="F2704" s="5">
        <v>207.1</v>
      </c>
      <c r="G2704" s="5">
        <v>103.3</v>
      </c>
      <c r="H2704" s="5">
        <v>103.1</v>
      </c>
      <c r="I2704" s="5">
        <v>0</v>
      </c>
      <c r="J2704" s="5">
        <v>0</v>
      </c>
      <c r="K2704" s="5">
        <v>0</v>
      </c>
    </row>
    <row r="2705" spans="1:11" x14ac:dyDescent="0.25">
      <c r="A2705" s="5">
        <f>2698</f>
      </c>
      <c r="B2705" s="5" t="s">
        <v>2713</v>
      </c>
      <c r="C2705" s="5">
        <v>103.4</v>
      </c>
      <c r="D2705" s="5">
        <v>0.1</v>
      </c>
      <c r="E2705" s="5">
        <v>103.5</v>
      </c>
      <c r="F2705" s="5">
        <v>207.1</v>
      </c>
      <c r="G2705" s="5">
        <v>103.3</v>
      </c>
      <c r="H2705" s="5">
        <v>103.1</v>
      </c>
      <c r="I2705" s="5">
        <v>0</v>
      </c>
      <c r="J2705" s="5">
        <v>0</v>
      </c>
      <c r="K2705" s="5">
        <v>0</v>
      </c>
    </row>
    <row r="2706" spans="1:11" x14ac:dyDescent="0.25">
      <c r="A2706" s="5">
        <f>2699</f>
      </c>
      <c r="B2706" s="5" t="s">
        <v>2714</v>
      </c>
      <c r="C2706" s="5">
        <v>104.6</v>
      </c>
      <c r="D2706" s="5">
        <v>0.1</v>
      </c>
      <c r="E2706" s="5">
        <v>104.7</v>
      </c>
      <c r="F2706" s="5">
        <v>208.3</v>
      </c>
      <c r="G2706" s="5">
        <v>103.9</v>
      </c>
      <c r="H2706" s="5">
        <v>103.8</v>
      </c>
      <c r="I2706" s="5">
        <v>0</v>
      </c>
      <c r="J2706" s="5">
        <v>0</v>
      </c>
      <c r="K2706" s="5">
        <v>0</v>
      </c>
    </row>
    <row r="2707" spans="1:11" x14ac:dyDescent="0.25">
      <c r="A2707" s="5">
        <f>2700</f>
      </c>
      <c r="B2707" s="5" t="s">
        <v>2715</v>
      </c>
      <c r="C2707" s="5">
        <v>104.6</v>
      </c>
      <c r="D2707" s="5">
        <v>0.1</v>
      </c>
      <c r="E2707" s="5">
        <v>104.7</v>
      </c>
      <c r="F2707" s="5">
        <v>208.3</v>
      </c>
      <c r="G2707" s="5">
        <v>103.9</v>
      </c>
      <c r="H2707" s="5">
        <v>103.8</v>
      </c>
      <c r="I2707" s="5">
        <v>0</v>
      </c>
      <c r="J2707" s="5">
        <v>0</v>
      </c>
      <c r="K2707" s="5">
        <v>0</v>
      </c>
    </row>
    <row r="2708" spans="1:11" x14ac:dyDescent="0.25">
      <c r="A2708" s="5">
        <f>2701</f>
      </c>
      <c r="B2708" s="5" t="s">
        <v>2716</v>
      </c>
      <c r="C2708" s="5">
        <v>103.4</v>
      </c>
      <c r="D2708" s="5">
        <v>0.1</v>
      </c>
      <c r="E2708" s="5">
        <v>103.5</v>
      </c>
      <c r="F2708" s="5">
        <v>207.5</v>
      </c>
      <c r="G2708" s="5">
        <v>103.5</v>
      </c>
      <c r="H2708" s="5">
        <v>103.3</v>
      </c>
      <c r="I2708" s="5">
        <v>0</v>
      </c>
      <c r="J2708" s="5">
        <v>0</v>
      </c>
      <c r="K2708" s="5">
        <v>0</v>
      </c>
    </row>
    <row r="2709" spans="1:11" x14ac:dyDescent="0.25">
      <c r="A2709" s="5">
        <f>2702</f>
      </c>
      <c r="B2709" s="5" t="s">
        <v>2717</v>
      </c>
      <c r="C2709" s="5">
        <v>103.4</v>
      </c>
      <c r="D2709" s="5">
        <v>0.1</v>
      </c>
      <c r="E2709" s="5">
        <v>103.5</v>
      </c>
      <c r="F2709" s="5">
        <v>207.5</v>
      </c>
      <c r="G2709" s="5">
        <v>103.5</v>
      </c>
      <c r="H2709" s="5">
        <v>103.3</v>
      </c>
      <c r="I2709" s="5">
        <v>0</v>
      </c>
      <c r="J2709" s="5">
        <v>0</v>
      </c>
      <c r="K2709" s="5">
        <v>0</v>
      </c>
    </row>
    <row r="2710" spans="1:11" x14ac:dyDescent="0.25">
      <c r="A2710" s="5">
        <f>2703</f>
      </c>
      <c r="B2710" s="5" t="s">
        <v>2718</v>
      </c>
      <c r="C2710" s="5">
        <v>104.8</v>
      </c>
      <c r="D2710" s="5">
        <v>0.1</v>
      </c>
      <c r="E2710" s="5">
        <v>105</v>
      </c>
      <c r="F2710" s="5">
        <v>208.4</v>
      </c>
      <c r="G2710" s="5">
        <v>104</v>
      </c>
      <c r="H2710" s="5">
        <v>103.9</v>
      </c>
      <c r="I2710" s="5">
        <v>0</v>
      </c>
      <c r="J2710" s="5">
        <v>0</v>
      </c>
      <c r="K2710" s="5">
        <v>0</v>
      </c>
    </row>
    <row r="2711" spans="1:11" x14ac:dyDescent="0.25">
      <c r="A2711" s="5">
        <f>2704</f>
      </c>
      <c r="B2711" s="5" t="s">
        <v>2719</v>
      </c>
      <c r="C2711" s="5">
        <v>104.8</v>
      </c>
      <c r="D2711" s="5">
        <v>0.1</v>
      </c>
      <c r="E2711" s="5">
        <v>105</v>
      </c>
      <c r="F2711" s="5">
        <v>208.4</v>
      </c>
      <c r="G2711" s="5">
        <v>104</v>
      </c>
      <c r="H2711" s="5">
        <v>103.9</v>
      </c>
      <c r="I2711" s="5">
        <v>0</v>
      </c>
      <c r="J2711" s="5">
        <v>0</v>
      </c>
      <c r="K2711" s="5">
        <v>0</v>
      </c>
    </row>
    <row r="2712" spans="1:11" x14ac:dyDescent="0.25">
      <c r="A2712" s="5">
        <f>2705</f>
      </c>
      <c r="B2712" s="5" t="s">
        <v>2720</v>
      </c>
      <c r="C2712" s="5">
        <v>104.8</v>
      </c>
      <c r="D2712" s="5">
        <v>0.1</v>
      </c>
      <c r="E2712" s="5">
        <v>105</v>
      </c>
      <c r="F2712" s="5">
        <v>208.4</v>
      </c>
      <c r="G2712" s="5">
        <v>104</v>
      </c>
      <c r="H2712" s="5">
        <v>103.9</v>
      </c>
      <c r="I2712" s="5">
        <v>0</v>
      </c>
      <c r="J2712" s="5">
        <v>0</v>
      </c>
      <c r="K2712" s="5">
        <v>0</v>
      </c>
    </row>
    <row r="2713" spans="1:11" x14ac:dyDescent="0.25">
      <c r="A2713" s="5">
        <f>2706</f>
      </c>
      <c r="B2713" s="5" t="s">
        <v>2721</v>
      </c>
      <c r="C2713" s="5">
        <v>104.8</v>
      </c>
      <c r="D2713" s="5">
        <v>0.1</v>
      </c>
      <c r="E2713" s="5">
        <v>105</v>
      </c>
      <c r="F2713" s="5">
        <v>208.4</v>
      </c>
      <c r="G2713" s="5">
        <v>104</v>
      </c>
      <c r="H2713" s="5">
        <v>103.9</v>
      </c>
      <c r="I2713" s="5">
        <v>0</v>
      </c>
      <c r="J2713" s="5">
        <v>0</v>
      </c>
      <c r="K2713" s="5">
        <v>0</v>
      </c>
    </row>
    <row r="2714" spans="1:11" x14ac:dyDescent="0.25">
      <c r="A2714" s="5">
        <f>2707</f>
      </c>
      <c r="B2714" s="5" t="s">
        <v>2722</v>
      </c>
      <c r="C2714" s="5">
        <v>103.7</v>
      </c>
      <c r="D2714" s="5">
        <v>0.1</v>
      </c>
      <c r="E2714" s="5">
        <v>103.9</v>
      </c>
      <c r="F2714" s="5">
        <v>207.5</v>
      </c>
      <c r="G2714" s="5">
        <v>103.5</v>
      </c>
      <c r="H2714" s="5">
        <v>103.4</v>
      </c>
      <c r="I2714" s="5">
        <v>0</v>
      </c>
      <c r="J2714" s="5">
        <v>0</v>
      </c>
      <c r="K2714" s="5">
        <v>0</v>
      </c>
    </row>
    <row r="2715" spans="1:11" x14ac:dyDescent="0.25">
      <c r="A2715" s="5">
        <f>2708</f>
      </c>
      <c r="B2715" s="5" t="s">
        <v>2723</v>
      </c>
      <c r="C2715" s="5">
        <v>103.7</v>
      </c>
      <c r="D2715" s="5">
        <v>0.1</v>
      </c>
      <c r="E2715" s="5">
        <v>103.9</v>
      </c>
      <c r="F2715" s="5">
        <v>207.5</v>
      </c>
      <c r="G2715" s="5">
        <v>103.5</v>
      </c>
      <c r="H2715" s="5">
        <v>103.4</v>
      </c>
      <c r="I2715" s="5">
        <v>0</v>
      </c>
      <c r="J2715" s="5">
        <v>0</v>
      </c>
      <c r="K2715" s="5">
        <v>0</v>
      </c>
    </row>
    <row r="2716" spans="1:11" x14ac:dyDescent="0.25">
      <c r="A2716" s="5">
        <f>2709</f>
      </c>
      <c r="B2716" s="5" t="s">
        <v>2724</v>
      </c>
      <c r="C2716" s="5">
        <v>104.7</v>
      </c>
      <c r="D2716" s="5">
        <v>0.1</v>
      </c>
      <c r="E2716" s="5">
        <v>104.9</v>
      </c>
      <c r="F2716" s="5">
        <v>208.5</v>
      </c>
      <c r="G2716" s="5">
        <v>104</v>
      </c>
      <c r="H2716" s="5">
        <v>103.9</v>
      </c>
      <c r="I2716" s="5">
        <v>0</v>
      </c>
      <c r="J2716" s="5">
        <v>0</v>
      </c>
      <c r="K2716" s="5">
        <v>0</v>
      </c>
    </row>
    <row r="2717" spans="1:11" x14ac:dyDescent="0.25">
      <c r="A2717" s="5">
        <f>2710</f>
      </c>
      <c r="B2717" s="5" t="s">
        <v>2725</v>
      </c>
      <c r="C2717" s="5">
        <v>104.7</v>
      </c>
      <c r="D2717" s="5">
        <v>0.1</v>
      </c>
      <c r="E2717" s="5">
        <v>104.9</v>
      </c>
      <c r="F2717" s="5">
        <v>208.5</v>
      </c>
      <c r="G2717" s="5">
        <v>104</v>
      </c>
      <c r="H2717" s="5">
        <v>103.9</v>
      </c>
      <c r="I2717" s="5">
        <v>0</v>
      </c>
      <c r="J2717" s="5">
        <v>0</v>
      </c>
      <c r="K2717" s="5">
        <v>0</v>
      </c>
    </row>
    <row r="2718" spans="1:11" x14ac:dyDescent="0.25">
      <c r="A2718" s="5">
        <f>2711</f>
      </c>
      <c r="B2718" s="5" t="s">
        <v>2726</v>
      </c>
      <c r="C2718" s="5">
        <v>104</v>
      </c>
      <c r="D2718" s="5">
        <v>0.1</v>
      </c>
      <c r="E2718" s="5">
        <v>104</v>
      </c>
      <c r="F2718" s="5">
        <v>207.9</v>
      </c>
      <c r="G2718" s="5">
        <v>103.7</v>
      </c>
      <c r="H2718" s="5">
        <v>103.6</v>
      </c>
      <c r="I2718" s="5">
        <v>0</v>
      </c>
      <c r="J2718" s="5">
        <v>0</v>
      </c>
      <c r="K2718" s="5">
        <v>0</v>
      </c>
    </row>
    <row r="2719" spans="1:11" x14ac:dyDescent="0.25">
      <c r="A2719" s="5">
        <f>2712</f>
      </c>
      <c r="B2719" s="5" t="s">
        <v>2727</v>
      </c>
      <c r="C2719" s="5">
        <v>104</v>
      </c>
      <c r="D2719" s="5">
        <v>0.1</v>
      </c>
      <c r="E2719" s="5">
        <v>104</v>
      </c>
      <c r="F2719" s="5">
        <v>207.9</v>
      </c>
      <c r="G2719" s="5">
        <v>103.7</v>
      </c>
      <c r="H2719" s="5">
        <v>103.6</v>
      </c>
      <c r="I2719" s="5">
        <v>0</v>
      </c>
      <c r="J2719" s="5">
        <v>0</v>
      </c>
      <c r="K2719" s="5">
        <v>0</v>
      </c>
    </row>
    <row r="2720" spans="1:11" x14ac:dyDescent="0.25">
      <c r="A2720" s="5">
        <f>2713</f>
      </c>
      <c r="B2720" s="5" t="s">
        <v>2728</v>
      </c>
      <c r="C2720" s="5">
        <v>103.8</v>
      </c>
      <c r="D2720" s="5">
        <v>0.1</v>
      </c>
      <c r="E2720" s="5">
        <v>104</v>
      </c>
      <c r="F2720" s="5">
        <v>207</v>
      </c>
      <c r="G2720" s="5">
        <v>103.2</v>
      </c>
      <c r="H2720" s="5">
        <v>103.1</v>
      </c>
      <c r="I2720" s="5">
        <v>0</v>
      </c>
      <c r="J2720" s="5">
        <v>0</v>
      </c>
      <c r="K2720" s="5">
        <v>0</v>
      </c>
    </row>
    <row r="2721" spans="1:11" x14ac:dyDescent="0.25">
      <c r="A2721" s="5">
        <f>2714</f>
      </c>
      <c r="B2721" s="5" t="s">
        <v>2729</v>
      </c>
      <c r="C2721" s="5">
        <v>103.8</v>
      </c>
      <c r="D2721" s="5">
        <v>0.1</v>
      </c>
      <c r="E2721" s="5">
        <v>104</v>
      </c>
      <c r="F2721" s="5">
        <v>207</v>
      </c>
      <c r="G2721" s="5">
        <v>103.2</v>
      </c>
      <c r="H2721" s="5">
        <v>103.1</v>
      </c>
      <c r="I2721" s="5">
        <v>0</v>
      </c>
      <c r="J2721" s="5">
        <v>0</v>
      </c>
      <c r="K2721" s="5">
        <v>0</v>
      </c>
    </row>
    <row r="2722" spans="1:11" x14ac:dyDescent="0.25">
      <c r="A2722" s="5">
        <f>2715</f>
      </c>
      <c r="B2722" s="5" t="s">
        <v>2730</v>
      </c>
      <c r="C2722" s="5">
        <v>103.8</v>
      </c>
      <c r="D2722" s="5">
        <v>0.1</v>
      </c>
      <c r="E2722" s="5">
        <v>104</v>
      </c>
      <c r="F2722" s="5">
        <v>207</v>
      </c>
      <c r="G2722" s="5">
        <v>103.2</v>
      </c>
      <c r="H2722" s="5">
        <v>103.1</v>
      </c>
      <c r="I2722" s="5">
        <v>0</v>
      </c>
      <c r="J2722" s="5">
        <v>0</v>
      </c>
      <c r="K2722" s="5">
        <v>0</v>
      </c>
    </row>
    <row r="2723" spans="1:11" x14ac:dyDescent="0.25">
      <c r="A2723" s="5">
        <f>2716</f>
      </c>
      <c r="B2723" s="5" t="s">
        <v>2731</v>
      </c>
      <c r="C2723" s="5">
        <v>103.8</v>
      </c>
      <c r="D2723" s="5">
        <v>0.1</v>
      </c>
      <c r="E2723" s="5">
        <v>104</v>
      </c>
      <c r="F2723" s="5">
        <v>207</v>
      </c>
      <c r="G2723" s="5">
        <v>103.2</v>
      </c>
      <c r="H2723" s="5">
        <v>103.1</v>
      </c>
      <c r="I2723" s="5">
        <v>0</v>
      </c>
      <c r="J2723" s="5">
        <v>0</v>
      </c>
      <c r="K2723" s="5">
        <v>0</v>
      </c>
    </row>
    <row r="2724" spans="1:11" x14ac:dyDescent="0.25">
      <c r="A2724" s="5">
        <f>2717</f>
      </c>
      <c r="B2724" s="5" t="s">
        <v>2732</v>
      </c>
      <c r="C2724" s="5">
        <v>103.6</v>
      </c>
      <c r="D2724" s="5">
        <v>0.1</v>
      </c>
      <c r="E2724" s="5">
        <v>103.7</v>
      </c>
      <c r="F2724" s="5">
        <v>207.6</v>
      </c>
      <c r="G2724" s="5">
        <v>103.4</v>
      </c>
      <c r="H2724" s="5">
        <v>103.2</v>
      </c>
      <c r="I2724" s="5">
        <v>0</v>
      </c>
      <c r="J2724" s="5">
        <v>0</v>
      </c>
      <c r="K2724" s="5">
        <v>0</v>
      </c>
    </row>
    <row r="2725" spans="1:11" x14ac:dyDescent="0.25">
      <c r="A2725" s="5">
        <f>2718</f>
      </c>
      <c r="B2725" s="5" t="s">
        <v>2733</v>
      </c>
      <c r="C2725" s="5">
        <v>103.6</v>
      </c>
      <c r="D2725" s="5">
        <v>0.1</v>
      </c>
      <c r="E2725" s="5">
        <v>103.7</v>
      </c>
      <c r="F2725" s="5">
        <v>207.6</v>
      </c>
      <c r="G2725" s="5">
        <v>103.4</v>
      </c>
      <c r="H2725" s="5">
        <v>103.2</v>
      </c>
      <c r="I2725" s="5">
        <v>0</v>
      </c>
      <c r="J2725" s="5">
        <v>0</v>
      </c>
      <c r="K2725" s="5">
        <v>0</v>
      </c>
    </row>
    <row r="2726" spans="1:11" x14ac:dyDescent="0.25">
      <c r="A2726" s="5">
        <f>2719</f>
      </c>
      <c r="B2726" s="5" t="s">
        <v>2734</v>
      </c>
      <c r="C2726" s="5">
        <v>103.9</v>
      </c>
      <c r="D2726" s="5">
        <v>0.1</v>
      </c>
      <c r="E2726" s="5">
        <v>104</v>
      </c>
      <c r="F2726" s="5">
        <v>206.9</v>
      </c>
      <c r="G2726" s="5">
        <v>103.2</v>
      </c>
      <c r="H2726" s="5">
        <v>103.1</v>
      </c>
      <c r="I2726" s="5">
        <v>0</v>
      </c>
      <c r="J2726" s="5">
        <v>0</v>
      </c>
      <c r="K2726" s="5">
        <v>0</v>
      </c>
    </row>
    <row r="2727" spans="1:11" x14ac:dyDescent="0.25">
      <c r="A2727" s="5">
        <f>2720</f>
      </c>
      <c r="B2727" s="5" t="s">
        <v>2735</v>
      </c>
      <c r="C2727" s="5">
        <v>103.9</v>
      </c>
      <c r="D2727" s="5">
        <v>0.1</v>
      </c>
      <c r="E2727" s="5">
        <v>104</v>
      </c>
      <c r="F2727" s="5">
        <v>206.9</v>
      </c>
      <c r="G2727" s="5">
        <v>103.2</v>
      </c>
      <c r="H2727" s="5">
        <v>103.1</v>
      </c>
      <c r="I2727" s="5">
        <v>0</v>
      </c>
      <c r="J2727" s="5">
        <v>0</v>
      </c>
      <c r="K2727" s="5">
        <v>0</v>
      </c>
    </row>
    <row r="2728" spans="1:11" x14ac:dyDescent="0.25">
      <c r="A2728" s="5">
        <f>2721</f>
      </c>
      <c r="B2728" s="5" t="s">
        <v>2736</v>
      </c>
      <c r="C2728" s="5">
        <v>103.2</v>
      </c>
      <c r="D2728" s="5">
        <v>0.1</v>
      </c>
      <c r="E2728" s="5">
        <v>103.4</v>
      </c>
      <c r="F2728" s="5">
        <v>207.1</v>
      </c>
      <c r="G2728" s="5">
        <v>103.4</v>
      </c>
      <c r="H2728" s="5">
        <v>103.2</v>
      </c>
      <c r="I2728" s="5">
        <v>0</v>
      </c>
      <c r="J2728" s="5">
        <v>0</v>
      </c>
      <c r="K2728" s="5">
        <v>0</v>
      </c>
    </row>
    <row r="2729" spans="1:11" x14ac:dyDescent="0.25">
      <c r="A2729" s="5">
        <f>2722</f>
      </c>
      <c r="B2729" s="5" t="s">
        <v>2737</v>
      </c>
      <c r="C2729" s="5">
        <v>103.2</v>
      </c>
      <c r="D2729" s="5">
        <v>0.1</v>
      </c>
      <c r="E2729" s="5">
        <v>103.4</v>
      </c>
      <c r="F2729" s="5">
        <v>207.1</v>
      </c>
      <c r="G2729" s="5">
        <v>103.4</v>
      </c>
      <c r="H2729" s="5">
        <v>103.2</v>
      </c>
      <c r="I2729" s="5">
        <v>0</v>
      </c>
      <c r="J2729" s="5">
        <v>0</v>
      </c>
      <c r="K2729" s="5">
        <v>0</v>
      </c>
    </row>
    <row r="2730" spans="1:11" x14ac:dyDescent="0.25">
      <c r="A2730" s="5">
        <f>2723</f>
      </c>
      <c r="B2730" s="5" t="s">
        <v>2738</v>
      </c>
      <c r="C2730" s="5">
        <v>102.6</v>
      </c>
      <c r="D2730" s="5">
        <v>0.1</v>
      </c>
      <c r="E2730" s="5">
        <v>102.7</v>
      </c>
      <c r="F2730" s="5">
        <v>205.5</v>
      </c>
      <c r="G2730" s="5">
        <v>102.5</v>
      </c>
      <c r="H2730" s="5">
        <v>102.3</v>
      </c>
      <c r="I2730" s="5">
        <v>0</v>
      </c>
      <c r="J2730" s="5">
        <v>0</v>
      </c>
      <c r="K2730" s="5">
        <v>0</v>
      </c>
    </row>
    <row r="2731" spans="1:11" x14ac:dyDescent="0.25">
      <c r="A2731" s="5">
        <f>2724</f>
      </c>
      <c r="B2731" s="5" t="s">
        <v>2739</v>
      </c>
      <c r="C2731" s="5">
        <v>102.6</v>
      </c>
      <c r="D2731" s="5">
        <v>0.1</v>
      </c>
      <c r="E2731" s="5">
        <v>102.7</v>
      </c>
      <c r="F2731" s="5">
        <v>205.5</v>
      </c>
      <c r="G2731" s="5">
        <v>102.5</v>
      </c>
      <c r="H2731" s="5">
        <v>102.3</v>
      </c>
      <c r="I2731" s="5">
        <v>0</v>
      </c>
      <c r="J2731" s="5">
        <v>0</v>
      </c>
      <c r="K2731" s="5">
        <v>0</v>
      </c>
    </row>
    <row r="2732" spans="1:11" x14ac:dyDescent="0.25">
      <c r="A2732" s="5">
        <f>2725</f>
      </c>
      <c r="B2732" s="5" t="s">
        <v>2740</v>
      </c>
      <c r="C2732" s="5">
        <v>102.6</v>
      </c>
      <c r="D2732" s="5">
        <v>0.1</v>
      </c>
      <c r="E2732" s="5">
        <v>102.7</v>
      </c>
      <c r="F2732" s="5">
        <v>205.5</v>
      </c>
      <c r="G2732" s="5">
        <v>102.5</v>
      </c>
      <c r="H2732" s="5">
        <v>102.3</v>
      </c>
      <c r="I2732" s="5">
        <v>0</v>
      </c>
      <c r="J2732" s="5">
        <v>0</v>
      </c>
      <c r="K2732" s="5">
        <v>0</v>
      </c>
    </row>
    <row r="2733" spans="1:11" x14ac:dyDescent="0.25">
      <c r="A2733" s="5">
        <f>2726</f>
      </c>
      <c r="B2733" s="5" t="s">
        <v>2741</v>
      </c>
      <c r="C2733" s="5">
        <v>102.6</v>
      </c>
      <c r="D2733" s="5">
        <v>0.1</v>
      </c>
      <c r="E2733" s="5">
        <v>102.7</v>
      </c>
      <c r="F2733" s="5">
        <v>205.5</v>
      </c>
      <c r="G2733" s="5">
        <v>102.5</v>
      </c>
      <c r="H2733" s="5">
        <v>102.3</v>
      </c>
      <c r="I2733" s="5">
        <v>0</v>
      </c>
      <c r="J2733" s="5">
        <v>0</v>
      </c>
      <c r="K2733" s="5">
        <v>0</v>
      </c>
    </row>
    <row r="2734" spans="1:11" x14ac:dyDescent="0.25">
      <c r="A2734" s="5">
        <f>2727</f>
      </c>
      <c r="B2734" s="5" t="s">
        <v>2742</v>
      </c>
      <c r="C2734" s="5">
        <v>103.7</v>
      </c>
      <c r="D2734" s="5">
        <v>0.1</v>
      </c>
      <c r="E2734" s="5">
        <v>103.8</v>
      </c>
      <c r="F2734" s="5">
        <v>207.4</v>
      </c>
      <c r="G2734" s="5">
        <v>103.4</v>
      </c>
      <c r="H2734" s="5">
        <v>103.3</v>
      </c>
      <c r="I2734" s="5">
        <v>0</v>
      </c>
      <c r="J2734" s="5">
        <v>0</v>
      </c>
      <c r="K2734" s="5">
        <v>0</v>
      </c>
    </row>
    <row r="2735" spans="1:11" x14ac:dyDescent="0.25">
      <c r="A2735" s="5">
        <f>2728</f>
      </c>
      <c r="B2735" s="5" t="s">
        <v>2743</v>
      </c>
      <c r="C2735" s="5">
        <v>103.7</v>
      </c>
      <c r="D2735" s="5">
        <v>0.1</v>
      </c>
      <c r="E2735" s="5">
        <v>103.8</v>
      </c>
      <c r="F2735" s="5">
        <v>207.4</v>
      </c>
      <c r="G2735" s="5">
        <v>103.4</v>
      </c>
      <c r="H2735" s="5">
        <v>103.3</v>
      </c>
      <c r="I2735" s="5">
        <v>0</v>
      </c>
      <c r="J2735" s="5">
        <v>0</v>
      </c>
      <c r="K2735" s="5">
        <v>0</v>
      </c>
    </row>
    <row r="2736" spans="1:11" x14ac:dyDescent="0.25">
      <c r="A2736" s="5">
        <f>2729</f>
      </c>
      <c r="B2736" s="5" t="s">
        <v>2744</v>
      </c>
      <c r="C2736" s="5">
        <v>104</v>
      </c>
      <c r="D2736" s="5">
        <v>0.1</v>
      </c>
      <c r="E2736" s="5">
        <v>104.1</v>
      </c>
      <c r="F2736" s="5">
        <v>207.7</v>
      </c>
      <c r="G2736" s="5">
        <v>103.7</v>
      </c>
      <c r="H2736" s="5">
        <v>103.6</v>
      </c>
      <c r="I2736" s="5">
        <v>0</v>
      </c>
      <c r="J2736" s="5">
        <v>0</v>
      </c>
      <c r="K2736" s="5">
        <v>0</v>
      </c>
    </row>
    <row r="2737" spans="1:11" x14ac:dyDescent="0.25">
      <c r="A2737" s="5">
        <f>2730</f>
      </c>
      <c r="B2737" s="5" t="s">
        <v>2745</v>
      </c>
      <c r="C2737" s="5">
        <v>104</v>
      </c>
      <c r="D2737" s="5">
        <v>0.1</v>
      </c>
      <c r="E2737" s="5">
        <v>104.1</v>
      </c>
      <c r="F2737" s="5">
        <v>207.7</v>
      </c>
      <c r="G2737" s="5">
        <v>103.7</v>
      </c>
      <c r="H2737" s="5">
        <v>103.6</v>
      </c>
      <c r="I2737" s="5">
        <v>0</v>
      </c>
      <c r="J2737" s="5">
        <v>0</v>
      </c>
      <c r="K2737" s="5">
        <v>0</v>
      </c>
    </row>
    <row r="2738" spans="1:11" x14ac:dyDescent="0.25">
      <c r="A2738" s="5">
        <f>2731</f>
      </c>
      <c r="B2738" s="5" t="s">
        <v>2746</v>
      </c>
      <c r="C2738" s="5">
        <v>103.7</v>
      </c>
      <c r="D2738" s="5">
        <v>0.1</v>
      </c>
      <c r="E2738" s="5">
        <v>103.8</v>
      </c>
      <c r="F2738" s="5">
        <v>207.5</v>
      </c>
      <c r="G2738" s="5">
        <v>103.5</v>
      </c>
      <c r="H2738" s="5">
        <v>103.4</v>
      </c>
      <c r="I2738" s="5">
        <v>0</v>
      </c>
      <c r="J2738" s="5">
        <v>0</v>
      </c>
      <c r="K2738" s="5">
        <v>0</v>
      </c>
    </row>
    <row r="2739" spans="1:11" x14ac:dyDescent="0.25">
      <c r="A2739" s="5">
        <f>2732</f>
      </c>
      <c r="B2739" s="5" t="s">
        <v>2747</v>
      </c>
      <c r="C2739" s="5">
        <v>103.7</v>
      </c>
      <c r="D2739" s="5">
        <v>0.1</v>
      </c>
      <c r="E2739" s="5">
        <v>103.8</v>
      </c>
      <c r="F2739" s="5">
        <v>207.5</v>
      </c>
      <c r="G2739" s="5">
        <v>103.5</v>
      </c>
      <c r="H2739" s="5">
        <v>103.4</v>
      </c>
      <c r="I2739" s="5">
        <v>0</v>
      </c>
      <c r="J2739" s="5">
        <v>0</v>
      </c>
      <c r="K2739" s="5">
        <v>0</v>
      </c>
    </row>
    <row r="2740" spans="1:11" x14ac:dyDescent="0.25">
      <c r="A2740" s="5">
        <f>2733</f>
      </c>
      <c r="B2740" s="5" t="s">
        <v>2748</v>
      </c>
      <c r="C2740" s="5">
        <v>103.6</v>
      </c>
      <c r="D2740" s="5">
        <v>0.1</v>
      </c>
      <c r="E2740" s="5">
        <v>103.7</v>
      </c>
      <c r="F2740" s="5">
        <v>207.1</v>
      </c>
      <c r="G2740" s="5">
        <v>103.3</v>
      </c>
      <c r="H2740" s="5">
        <v>103.2</v>
      </c>
      <c r="I2740" s="5">
        <v>0</v>
      </c>
      <c r="J2740" s="5">
        <v>0</v>
      </c>
      <c r="K2740" s="5">
        <v>0</v>
      </c>
    </row>
    <row r="2741" spans="1:11" x14ac:dyDescent="0.25">
      <c r="A2741" s="5">
        <f>2734</f>
      </c>
      <c r="B2741" s="5" t="s">
        <v>2749</v>
      </c>
      <c r="C2741" s="5">
        <v>103.6</v>
      </c>
      <c r="D2741" s="5">
        <v>0.1</v>
      </c>
      <c r="E2741" s="5">
        <v>103.7</v>
      </c>
      <c r="F2741" s="5">
        <v>207.1</v>
      </c>
      <c r="G2741" s="5">
        <v>103.3</v>
      </c>
      <c r="H2741" s="5">
        <v>103.2</v>
      </c>
      <c r="I2741" s="5">
        <v>0</v>
      </c>
      <c r="J2741" s="5">
        <v>0</v>
      </c>
      <c r="K2741" s="5">
        <v>0</v>
      </c>
    </row>
    <row r="2742" spans="1:11" x14ac:dyDescent="0.25">
      <c r="A2742" s="5">
        <f>2735</f>
      </c>
      <c r="B2742" s="5" t="s">
        <v>2750</v>
      </c>
      <c r="C2742" s="5">
        <v>103.6</v>
      </c>
      <c r="D2742" s="5">
        <v>0.1</v>
      </c>
      <c r="E2742" s="5">
        <v>103.7</v>
      </c>
      <c r="F2742" s="5">
        <v>207.1</v>
      </c>
      <c r="G2742" s="5">
        <v>103.3</v>
      </c>
      <c r="H2742" s="5">
        <v>103.2</v>
      </c>
      <c r="I2742" s="5">
        <v>0</v>
      </c>
      <c r="J2742" s="5">
        <v>0</v>
      </c>
      <c r="K2742" s="5">
        <v>0</v>
      </c>
    </row>
    <row r="2743" spans="1:11" x14ac:dyDescent="0.25">
      <c r="A2743" s="5">
        <f>2736</f>
      </c>
      <c r="B2743" s="5" t="s">
        <v>2751</v>
      </c>
      <c r="C2743" s="5">
        <v>103.6</v>
      </c>
      <c r="D2743" s="5">
        <v>0.1</v>
      </c>
      <c r="E2743" s="5">
        <v>103.7</v>
      </c>
      <c r="F2743" s="5">
        <v>207.1</v>
      </c>
      <c r="G2743" s="5">
        <v>103.3</v>
      </c>
      <c r="H2743" s="5">
        <v>103.2</v>
      </c>
      <c r="I2743" s="5">
        <v>0</v>
      </c>
      <c r="J2743" s="5">
        <v>0</v>
      </c>
      <c r="K2743" s="5">
        <v>0</v>
      </c>
    </row>
    <row r="2744" spans="1:11" x14ac:dyDescent="0.25">
      <c r="A2744" s="5">
        <f>2737</f>
      </c>
      <c r="B2744" s="5" t="s">
        <v>2752</v>
      </c>
      <c r="C2744" s="5">
        <v>103.9</v>
      </c>
      <c r="D2744" s="5">
        <v>0.1</v>
      </c>
      <c r="E2744" s="5">
        <v>104</v>
      </c>
      <c r="F2744" s="5">
        <v>207.5</v>
      </c>
      <c r="G2744" s="5">
        <v>103.5</v>
      </c>
      <c r="H2744" s="5">
        <v>103.4</v>
      </c>
      <c r="I2744" s="5">
        <v>0</v>
      </c>
      <c r="J2744" s="5">
        <v>0</v>
      </c>
      <c r="K2744" s="5">
        <v>0</v>
      </c>
    </row>
    <row r="2745" spans="1:11" x14ac:dyDescent="0.25">
      <c r="A2745" s="5">
        <f>2738</f>
      </c>
      <c r="B2745" s="5" t="s">
        <v>2753</v>
      </c>
      <c r="C2745" s="5">
        <v>103.9</v>
      </c>
      <c r="D2745" s="5">
        <v>0.1</v>
      </c>
      <c r="E2745" s="5">
        <v>104</v>
      </c>
      <c r="F2745" s="5">
        <v>207.5</v>
      </c>
      <c r="G2745" s="5">
        <v>103.5</v>
      </c>
      <c r="H2745" s="5">
        <v>103.4</v>
      </c>
      <c r="I2745" s="5">
        <v>0</v>
      </c>
      <c r="J2745" s="5">
        <v>0</v>
      </c>
      <c r="K2745" s="5">
        <v>0</v>
      </c>
    </row>
    <row r="2746" spans="1:11" x14ac:dyDescent="0.25">
      <c r="A2746" s="5">
        <f>2739</f>
      </c>
      <c r="B2746" s="5" t="s">
        <v>2754</v>
      </c>
      <c r="C2746" s="5">
        <v>103.7</v>
      </c>
      <c r="D2746" s="5">
        <v>0.1</v>
      </c>
      <c r="E2746" s="5">
        <v>103.9</v>
      </c>
      <c r="F2746" s="5">
        <v>206.9</v>
      </c>
      <c r="G2746" s="5">
        <v>103.2</v>
      </c>
      <c r="H2746" s="5">
        <v>103.1</v>
      </c>
      <c r="I2746" s="5">
        <v>0</v>
      </c>
      <c r="J2746" s="5">
        <v>0</v>
      </c>
      <c r="K2746" s="5">
        <v>0</v>
      </c>
    </row>
    <row r="2747" spans="1:11" x14ac:dyDescent="0.25">
      <c r="A2747" s="5">
        <f>2740</f>
      </c>
      <c r="B2747" s="5" t="s">
        <v>2755</v>
      </c>
      <c r="C2747" s="5">
        <v>103.7</v>
      </c>
      <c r="D2747" s="5">
        <v>0.1</v>
      </c>
      <c r="E2747" s="5">
        <v>103.9</v>
      </c>
      <c r="F2747" s="5">
        <v>206.9</v>
      </c>
      <c r="G2747" s="5">
        <v>103.2</v>
      </c>
      <c r="H2747" s="5">
        <v>103.1</v>
      </c>
      <c r="I2747" s="5">
        <v>0</v>
      </c>
      <c r="J2747" s="5">
        <v>0</v>
      </c>
      <c r="K2747" s="5">
        <v>0</v>
      </c>
    </row>
    <row r="2748" spans="1:11" x14ac:dyDescent="0.25">
      <c r="A2748" s="5">
        <f>2741</f>
      </c>
      <c r="B2748" s="5" t="s">
        <v>2756</v>
      </c>
      <c r="C2748" s="5">
        <v>103.9</v>
      </c>
      <c r="D2748" s="5">
        <v>0.1</v>
      </c>
      <c r="E2748" s="5">
        <v>104</v>
      </c>
      <c r="F2748" s="5">
        <v>207.3</v>
      </c>
      <c r="G2748" s="5">
        <v>103.4</v>
      </c>
      <c r="H2748" s="5">
        <v>103.2</v>
      </c>
      <c r="I2748" s="5">
        <v>0</v>
      </c>
      <c r="J2748" s="5">
        <v>0</v>
      </c>
      <c r="K2748" s="5">
        <v>0</v>
      </c>
    </row>
    <row r="2749" spans="1:11" x14ac:dyDescent="0.25">
      <c r="A2749" s="5">
        <f>2742</f>
      </c>
      <c r="B2749" s="5" t="s">
        <v>2757</v>
      </c>
      <c r="C2749" s="5">
        <v>103.9</v>
      </c>
      <c r="D2749" s="5">
        <v>0.1</v>
      </c>
      <c r="E2749" s="5">
        <v>104</v>
      </c>
      <c r="F2749" s="5">
        <v>207.3</v>
      </c>
      <c r="G2749" s="5">
        <v>103.4</v>
      </c>
      <c r="H2749" s="5">
        <v>103.2</v>
      </c>
      <c r="I2749" s="5">
        <v>0</v>
      </c>
      <c r="J2749" s="5">
        <v>0</v>
      </c>
      <c r="K2749" s="5">
        <v>0</v>
      </c>
    </row>
    <row r="2750" spans="1:11" x14ac:dyDescent="0.25">
      <c r="A2750" s="5">
        <f>2743</f>
      </c>
      <c r="B2750" s="5" t="s">
        <v>2758</v>
      </c>
      <c r="C2750" s="5">
        <v>103.4</v>
      </c>
      <c r="D2750" s="5">
        <v>0.1</v>
      </c>
      <c r="E2750" s="5">
        <v>103.4</v>
      </c>
      <c r="F2750" s="5">
        <v>206.9</v>
      </c>
      <c r="G2750" s="5">
        <v>103.2</v>
      </c>
      <c r="H2750" s="5">
        <v>103.1</v>
      </c>
      <c r="I2750" s="5">
        <v>0</v>
      </c>
      <c r="J2750" s="5">
        <v>0</v>
      </c>
      <c r="K2750" s="5">
        <v>0</v>
      </c>
    </row>
    <row r="2751" spans="1:11" x14ac:dyDescent="0.25">
      <c r="A2751" s="5">
        <f>2744</f>
      </c>
      <c r="B2751" s="5" t="s">
        <v>2759</v>
      </c>
      <c r="C2751" s="5">
        <v>103.4</v>
      </c>
      <c r="D2751" s="5">
        <v>0.1</v>
      </c>
      <c r="E2751" s="5">
        <v>103.4</v>
      </c>
      <c r="F2751" s="5">
        <v>206.9</v>
      </c>
      <c r="G2751" s="5">
        <v>103.2</v>
      </c>
      <c r="H2751" s="5">
        <v>103.1</v>
      </c>
      <c r="I2751" s="5">
        <v>0</v>
      </c>
      <c r="J2751" s="5">
        <v>0</v>
      </c>
      <c r="K2751" s="5">
        <v>0</v>
      </c>
    </row>
    <row r="2752" spans="1:11" x14ac:dyDescent="0.25">
      <c r="A2752" s="5">
        <f>2745</f>
      </c>
      <c r="B2752" s="5" t="s">
        <v>2760</v>
      </c>
      <c r="C2752" s="5">
        <v>103.4</v>
      </c>
      <c r="D2752" s="5">
        <v>0.1</v>
      </c>
      <c r="E2752" s="5">
        <v>103.4</v>
      </c>
      <c r="F2752" s="5">
        <v>206.9</v>
      </c>
      <c r="G2752" s="5">
        <v>103.2</v>
      </c>
      <c r="H2752" s="5">
        <v>103.1</v>
      </c>
      <c r="I2752" s="5">
        <v>0</v>
      </c>
      <c r="J2752" s="5">
        <v>0</v>
      </c>
      <c r="K2752" s="5">
        <v>0</v>
      </c>
    </row>
    <row r="2753" spans="1:11" x14ac:dyDescent="0.25">
      <c r="A2753" s="5">
        <f>2746</f>
      </c>
      <c r="B2753" s="5" t="s">
        <v>2761</v>
      </c>
      <c r="C2753" s="5">
        <v>103.4</v>
      </c>
      <c r="D2753" s="5">
        <v>0.1</v>
      </c>
      <c r="E2753" s="5">
        <v>103.4</v>
      </c>
      <c r="F2753" s="5">
        <v>206.9</v>
      </c>
      <c r="G2753" s="5">
        <v>103.2</v>
      </c>
      <c r="H2753" s="5">
        <v>103.1</v>
      </c>
      <c r="I2753" s="5">
        <v>0</v>
      </c>
      <c r="J2753" s="5">
        <v>0</v>
      </c>
      <c r="K2753" s="5">
        <v>0</v>
      </c>
    </row>
    <row r="2754" spans="1:11" x14ac:dyDescent="0.25">
      <c r="A2754" s="5">
        <f>2747</f>
      </c>
      <c r="B2754" s="5" t="s">
        <v>2762</v>
      </c>
      <c r="C2754" s="5">
        <v>103.4</v>
      </c>
      <c r="D2754" s="5">
        <v>0.1</v>
      </c>
      <c r="E2754" s="5">
        <v>103.5</v>
      </c>
      <c r="F2754" s="5">
        <v>207.1</v>
      </c>
      <c r="G2754" s="5">
        <v>103.3</v>
      </c>
      <c r="H2754" s="5">
        <v>103.1</v>
      </c>
      <c r="I2754" s="5">
        <v>0</v>
      </c>
      <c r="J2754" s="5">
        <v>0</v>
      </c>
      <c r="K2754" s="5">
        <v>0</v>
      </c>
    </row>
    <row r="2755" spans="1:11" x14ac:dyDescent="0.25">
      <c r="A2755" s="5">
        <f>2748</f>
      </c>
      <c r="B2755" s="5" t="s">
        <v>2763</v>
      </c>
      <c r="C2755" s="5">
        <v>103.4</v>
      </c>
      <c r="D2755" s="5">
        <v>0.1</v>
      </c>
      <c r="E2755" s="5">
        <v>103.5</v>
      </c>
      <c r="F2755" s="5">
        <v>207.1</v>
      </c>
      <c r="G2755" s="5">
        <v>103.3</v>
      </c>
      <c r="H2755" s="5">
        <v>103.1</v>
      </c>
      <c r="I2755" s="5">
        <v>0</v>
      </c>
      <c r="J2755" s="5">
        <v>0</v>
      </c>
      <c r="K2755" s="5">
        <v>0</v>
      </c>
    </row>
    <row r="2756" spans="1:11" x14ac:dyDescent="0.25">
      <c r="A2756" s="5">
        <f>2749</f>
      </c>
      <c r="B2756" s="5" t="s">
        <v>2764</v>
      </c>
      <c r="C2756" s="5">
        <v>103.1</v>
      </c>
      <c r="D2756" s="5">
        <v>0.1</v>
      </c>
      <c r="E2756" s="5">
        <v>103.3</v>
      </c>
      <c r="F2756" s="5">
        <v>206.3</v>
      </c>
      <c r="G2756" s="5">
        <v>102.9</v>
      </c>
      <c r="H2756" s="5">
        <v>102.8</v>
      </c>
      <c r="I2756" s="5">
        <v>0</v>
      </c>
      <c r="J2756" s="5">
        <v>0</v>
      </c>
      <c r="K2756" s="5">
        <v>0</v>
      </c>
    </row>
    <row r="2757" spans="1:11" x14ac:dyDescent="0.25">
      <c r="A2757" s="5">
        <f>2750</f>
      </c>
      <c r="B2757" s="5" t="s">
        <v>2765</v>
      </c>
      <c r="C2757" s="5">
        <v>103.1</v>
      </c>
      <c r="D2757" s="5">
        <v>0.1</v>
      </c>
      <c r="E2757" s="5">
        <v>103.3</v>
      </c>
      <c r="F2757" s="5">
        <v>206.3</v>
      </c>
      <c r="G2757" s="5">
        <v>102.9</v>
      </c>
      <c r="H2757" s="5">
        <v>102.8</v>
      </c>
      <c r="I2757" s="5">
        <v>0</v>
      </c>
      <c r="J2757" s="5">
        <v>0</v>
      </c>
      <c r="K2757" s="5">
        <v>0</v>
      </c>
    </row>
    <row r="2758" spans="1:11" x14ac:dyDescent="0.25">
      <c r="A2758" s="5">
        <f>2751</f>
      </c>
      <c r="B2758" s="5" t="s">
        <v>2766</v>
      </c>
      <c r="C2758" s="5">
        <v>103.7</v>
      </c>
      <c r="D2758" s="5">
        <v>0.1</v>
      </c>
      <c r="E2758" s="5">
        <v>103.7</v>
      </c>
      <c r="F2758" s="5">
        <v>207.4</v>
      </c>
      <c r="G2758" s="5">
        <v>103.5</v>
      </c>
      <c r="H2758" s="5">
        <v>103.3</v>
      </c>
      <c r="I2758" s="5">
        <v>0</v>
      </c>
      <c r="J2758" s="5">
        <v>0</v>
      </c>
      <c r="K2758" s="5">
        <v>0</v>
      </c>
    </row>
    <row r="2759" spans="1:11" x14ac:dyDescent="0.25">
      <c r="A2759" s="5">
        <f>2752</f>
      </c>
      <c r="B2759" s="5" t="s">
        <v>2767</v>
      </c>
      <c r="C2759" s="5">
        <v>103.7</v>
      </c>
      <c r="D2759" s="5">
        <v>0.1</v>
      </c>
      <c r="E2759" s="5">
        <v>103.7</v>
      </c>
      <c r="F2759" s="5">
        <v>207.4</v>
      </c>
      <c r="G2759" s="5">
        <v>103.5</v>
      </c>
      <c r="H2759" s="5">
        <v>103.3</v>
      </c>
      <c r="I2759" s="5">
        <v>0</v>
      </c>
      <c r="J2759" s="5">
        <v>0</v>
      </c>
      <c r="K2759" s="5">
        <v>0</v>
      </c>
    </row>
    <row r="2760" spans="1:11" x14ac:dyDescent="0.25">
      <c r="A2760" s="5">
        <f>2753</f>
      </c>
      <c r="B2760" s="5" t="s">
        <v>2768</v>
      </c>
      <c r="C2760" s="5">
        <v>104.3</v>
      </c>
      <c r="D2760" s="5">
        <v>0.1</v>
      </c>
      <c r="E2760" s="5">
        <v>104.5</v>
      </c>
      <c r="F2760" s="5">
        <v>206.9</v>
      </c>
      <c r="G2760" s="5">
        <v>103.2</v>
      </c>
      <c r="H2760" s="5">
        <v>103.1</v>
      </c>
      <c r="I2760" s="5">
        <v>0</v>
      </c>
      <c r="J2760" s="5">
        <v>0</v>
      </c>
      <c r="K2760" s="5">
        <v>0</v>
      </c>
    </row>
    <row r="2761" spans="1:11" x14ac:dyDescent="0.25">
      <c r="A2761" s="5">
        <f>2754</f>
      </c>
      <c r="B2761" s="5" t="s">
        <v>2769</v>
      </c>
      <c r="C2761" s="5">
        <v>104.3</v>
      </c>
      <c r="D2761" s="5">
        <v>0.1</v>
      </c>
      <c r="E2761" s="5">
        <v>104.5</v>
      </c>
      <c r="F2761" s="5">
        <v>206.9</v>
      </c>
      <c r="G2761" s="5">
        <v>103.2</v>
      </c>
      <c r="H2761" s="5">
        <v>103.1</v>
      </c>
      <c r="I2761" s="5">
        <v>0</v>
      </c>
      <c r="J2761" s="5">
        <v>0</v>
      </c>
      <c r="K2761" s="5">
        <v>0</v>
      </c>
    </row>
    <row r="2762" spans="1:11" x14ac:dyDescent="0.25">
      <c r="A2762" s="5">
        <f>2755</f>
      </c>
      <c r="B2762" s="5" t="s">
        <v>2770</v>
      </c>
      <c r="C2762" s="5">
        <v>104.3</v>
      </c>
      <c r="D2762" s="5">
        <v>0.1</v>
      </c>
      <c r="E2762" s="5">
        <v>104.5</v>
      </c>
      <c r="F2762" s="5">
        <v>206.9</v>
      </c>
      <c r="G2762" s="5">
        <v>103.2</v>
      </c>
      <c r="H2762" s="5">
        <v>103.1</v>
      </c>
      <c r="I2762" s="5">
        <v>0</v>
      </c>
      <c r="J2762" s="5">
        <v>0</v>
      </c>
      <c r="K2762" s="5">
        <v>0</v>
      </c>
    </row>
    <row r="2763" spans="1:11" x14ac:dyDescent="0.25">
      <c r="A2763" s="5">
        <f>2756</f>
      </c>
      <c r="B2763" s="5" t="s">
        <v>2771</v>
      </c>
      <c r="C2763" s="5">
        <v>104.3</v>
      </c>
      <c r="D2763" s="5">
        <v>0.1</v>
      </c>
      <c r="E2763" s="5">
        <v>104.5</v>
      </c>
      <c r="F2763" s="5">
        <v>206.9</v>
      </c>
      <c r="G2763" s="5">
        <v>103.2</v>
      </c>
      <c r="H2763" s="5">
        <v>103.1</v>
      </c>
      <c r="I2763" s="5">
        <v>0</v>
      </c>
      <c r="J2763" s="5">
        <v>0</v>
      </c>
      <c r="K2763" s="5">
        <v>0</v>
      </c>
    </row>
    <row r="2764" spans="1:11" x14ac:dyDescent="0.25">
      <c r="A2764" s="5">
        <f>2757</f>
      </c>
      <c r="B2764" s="5" t="s">
        <v>2772</v>
      </c>
      <c r="C2764" s="5">
        <v>104.1</v>
      </c>
      <c r="D2764" s="5">
        <v>0.1</v>
      </c>
      <c r="E2764" s="5">
        <v>104.3</v>
      </c>
      <c r="F2764" s="5">
        <v>208</v>
      </c>
      <c r="G2764" s="5">
        <v>103.8</v>
      </c>
      <c r="H2764" s="5">
        <v>103.6</v>
      </c>
      <c r="I2764" s="5">
        <v>0</v>
      </c>
      <c r="J2764" s="5">
        <v>0</v>
      </c>
      <c r="K2764" s="5">
        <v>0</v>
      </c>
    </row>
    <row r="2765" spans="1:11" x14ac:dyDescent="0.25">
      <c r="A2765" s="5">
        <f>2758</f>
      </c>
      <c r="B2765" s="5" t="s">
        <v>2773</v>
      </c>
      <c r="C2765" s="5">
        <v>104.1</v>
      </c>
      <c r="D2765" s="5">
        <v>0.1</v>
      </c>
      <c r="E2765" s="5">
        <v>104.3</v>
      </c>
      <c r="F2765" s="5">
        <v>208</v>
      </c>
      <c r="G2765" s="5">
        <v>103.8</v>
      </c>
      <c r="H2765" s="5">
        <v>103.6</v>
      </c>
      <c r="I2765" s="5">
        <v>0</v>
      </c>
      <c r="J2765" s="5">
        <v>0</v>
      </c>
      <c r="K2765" s="5">
        <v>0</v>
      </c>
    </row>
    <row r="2766" spans="1:11" x14ac:dyDescent="0.25">
      <c r="A2766" s="5">
        <f>2759</f>
      </c>
      <c r="B2766" s="5" t="s">
        <v>2774</v>
      </c>
      <c r="C2766" s="5">
        <v>104</v>
      </c>
      <c r="D2766" s="5">
        <v>0.1</v>
      </c>
      <c r="E2766" s="5">
        <v>104</v>
      </c>
      <c r="F2766" s="5">
        <v>207.8</v>
      </c>
      <c r="G2766" s="5">
        <v>103.7</v>
      </c>
      <c r="H2766" s="5">
        <v>103.5</v>
      </c>
      <c r="I2766" s="5">
        <v>0</v>
      </c>
      <c r="J2766" s="5">
        <v>0</v>
      </c>
      <c r="K2766" s="5">
        <v>0</v>
      </c>
    </row>
    <row r="2767" spans="1:11" x14ac:dyDescent="0.25">
      <c r="A2767" s="5">
        <f>2760</f>
      </c>
      <c r="B2767" s="5" t="s">
        <v>2775</v>
      </c>
      <c r="C2767" s="5">
        <v>104</v>
      </c>
      <c r="D2767" s="5">
        <v>0.1</v>
      </c>
      <c r="E2767" s="5">
        <v>104</v>
      </c>
      <c r="F2767" s="5">
        <v>207.8</v>
      </c>
      <c r="G2767" s="5">
        <v>103.7</v>
      </c>
      <c r="H2767" s="5">
        <v>103.5</v>
      </c>
      <c r="I2767" s="5">
        <v>0</v>
      </c>
      <c r="J2767" s="5">
        <v>0</v>
      </c>
      <c r="K2767" s="5">
        <v>0</v>
      </c>
    </row>
    <row r="2768" spans="1:11" x14ac:dyDescent="0.25">
      <c r="A2768" s="5">
        <f>2761</f>
      </c>
      <c r="B2768" s="5" t="s">
        <v>2776</v>
      </c>
      <c r="C2768" s="5">
        <v>104</v>
      </c>
      <c r="D2768" s="5">
        <v>0.1</v>
      </c>
      <c r="E2768" s="5">
        <v>104.2</v>
      </c>
      <c r="F2768" s="5">
        <v>207.9</v>
      </c>
      <c r="G2768" s="5">
        <v>103.7</v>
      </c>
      <c r="H2768" s="5">
        <v>103.6</v>
      </c>
      <c r="I2768" s="5">
        <v>0</v>
      </c>
      <c r="J2768" s="5">
        <v>0</v>
      </c>
      <c r="K2768" s="5">
        <v>0</v>
      </c>
    </row>
    <row r="2769" spans="1:11" x14ac:dyDescent="0.25">
      <c r="A2769" s="5">
        <f>2762</f>
      </c>
      <c r="B2769" s="5" t="s">
        <v>2777</v>
      </c>
      <c r="C2769" s="5">
        <v>104</v>
      </c>
      <c r="D2769" s="5">
        <v>0.1</v>
      </c>
      <c r="E2769" s="5">
        <v>104.2</v>
      </c>
      <c r="F2769" s="5">
        <v>207.9</v>
      </c>
      <c r="G2769" s="5">
        <v>103.7</v>
      </c>
      <c r="H2769" s="5">
        <v>103.6</v>
      </c>
      <c r="I2769" s="5">
        <v>0</v>
      </c>
      <c r="J2769" s="5">
        <v>0</v>
      </c>
      <c r="K2769" s="5">
        <v>0</v>
      </c>
    </row>
    <row r="2770" spans="1:11" x14ac:dyDescent="0.25">
      <c r="A2770" s="5">
        <f>2763</f>
      </c>
      <c r="B2770" s="5" t="s">
        <v>2778</v>
      </c>
      <c r="C2770" s="5">
        <v>103.6</v>
      </c>
      <c r="D2770" s="5">
        <v>0.1</v>
      </c>
      <c r="E2770" s="5">
        <v>103.7</v>
      </c>
      <c r="F2770" s="5">
        <v>206.8</v>
      </c>
      <c r="G2770" s="5">
        <v>103.2</v>
      </c>
      <c r="H2770" s="5">
        <v>103</v>
      </c>
      <c r="I2770" s="5">
        <v>0</v>
      </c>
      <c r="J2770" s="5">
        <v>0</v>
      </c>
      <c r="K2770" s="5">
        <v>0</v>
      </c>
    </row>
    <row r="2771" spans="1:11" x14ac:dyDescent="0.25">
      <c r="A2771" s="5">
        <f>2764</f>
      </c>
      <c r="B2771" s="5" t="s">
        <v>2779</v>
      </c>
      <c r="C2771" s="5">
        <v>103.6</v>
      </c>
      <c r="D2771" s="5">
        <v>0.1</v>
      </c>
      <c r="E2771" s="5">
        <v>103.7</v>
      </c>
      <c r="F2771" s="5">
        <v>206.8</v>
      </c>
      <c r="G2771" s="5">
        <v>103.2</v>
      </c>
      <c r="H2771" s="5">
        <v>103</v>
      </c>
      <c r="I2771" s="5">
        <v>0</v>
      </c>
      <c r="J2771" s="5">
        <v>0</v>
      </c>
      <c r="K2771" s="5">
        <v>0</v>
      </c>
    </row>
    <row r="2772" spans="1:11" x14ac:dyDescent="0.25">
      <c r="A2772" s="5">
        <f>2765</f>
      </c>
      <c r="B2772" s="5" t="s">
        <v>2780</v>
      </c>
      <c r="C2772" s="5">
        <v>103.6</v>
      </c>
      <c r="D2772" s="5">
        <v>0.1</v>
      </c>
      <c r="E2772" s="5">
        <v>103.7</v>
      </c>
      <c r="F2772" s="5">
        <v>206.8</v>
      </c>
      <c r="G2772" s="5">
        <v>103.2</v>
      </c>
      <c r="H2772" s="5">
        <v>103</v>
      </c>
      <c r="I2772" s="5">
        <v>0</v>
      </c>
      <c r="J2772" s="5">
        <v>0</v>
      </c>
      <c r="K2772" s="5">
        <v>0</v>
      </c>
    </row>
    <row r="2773" spans="1:11" x14ac:dyDescent="0.25">
      <c r="A2773" s="5">
        <f>2766</f>
      </c>
      <c r="B2773" s="5" t="s">
        <v>2781</v>
      </c>
      <c r="C2773" s="5">
        <v>103.6</v>
      </c>
      <c r="D2773" s="5">
        <v>0.1</v>
      </c>
      <c r="E2773" s="5">
        <v>103.7</v>
      </c>
      <c r="F2773" s="5">
        <v>206.8</v>
      </c>
      <c r="G2773" s="5">
        <v>103.2</v>
      </c>
      <c r="H2773" s="5">
        <v>103</v>
      </c>
      <c r="I2773" s="5">
        <v>0</v>
      </c>
      <c r="J2773" s="5">
        <v>0</v>
      </c>
      <c r="K2773" s="5">
        <v>0</v>
      </c>
    </row>
    <row r="2774" spans="1:11" x14ac:dyDescent="0.25">
      <c r="A2774" s="5">
        <f>2767</f>
      </c>
      <c r="B2774" s="5" t="s">
        <v>2782</v>
      </c>
      <c r="C2774" s="5">
        <v>104</v>
      </c>
      <c r="D2774" s="5">
        <v>0.1</v>
      </c>
      <c r="E2774" s="5">
        <v>104.2</v>
      </c>
      <c r="F2774" s="5">
        <v>208.6</v>
      </c>
      <c r="G2774" s="5">
        <v>104.1</v>
      </c>
      <c r="H2774" s="5">
        <v>103.9</v>
      </c>
      <c r="I2774" s="5">
        <v>0</v>
      </c>
      <c r="J2774" s="5">
        <v>0</v>
      </c>
      <c r="K2774" s="5">
        <v>0</v>
      </c>
    </row>
    <row r="2775" spans="1:11" x14ac:dyDescent="0.25">
      <c r="A2775" s="5">
        <f>2768</f>
      </c>
      <c r="B2775" s="5" t="s">
        <v>2783</v>
      </c>
      <c r="C2775" s="5">
        <v>104</v>
      </c>
      <c r="D2775" s="5">
        <v>0.1</v>
      </c>
      <c r="E2775" s="5">
        <v>104.2</v>
      </c>
      <c r="F2775" s="5">
        <v>208.6</v>
      </c>
      <c r="G2775" s="5">
        <v>104.1</v>
      </c>
      <c r="H2775" s="5">
        <v>103.9</v>
      </c>
      <c r="I2775" s="5">
        <v>0</v>
      </c>
      <c r="J2775" s="5">
        <v>0</v>
      </c>
      <c r="K2775" s="5">
        <v>0</v>
      </c>
    </row>
    <row r="2776" spans="1:11" x14ac:dyDescent="0.25">
      <c r="A2776" s="5">
        <f>2769</f>
      </c>
      <c r="B2776" s="5" t="s">
        <v>2784</v>
      </c>
      <c r="C2776" s="5">
        <v>104</v>
      </c>
      <c r="D2776" s="5">
        <v>0.1</v>
      </c>
      <c r="E2776" s="5">
        <v>104.2</v>
      </c>
      <c r="F2776" s="5">
        <v>208.6</v>
      </c>
      <c r="G2776" s="5">
        <v>104.1</v>
      </c>
      <c r="H2776" s="5">
        <v>103.9</v>
      </c>
      <c r="I2776" s="5">
        <v>0</v>
      </c>
      <c r="J2776" s="5">
        <v>0</v>
      </c>
      <c r="K2776" s="5">
        <v>0</v>
      </c>
    </row>
    <row r="2777" spans="1:11" x14ac:dyDescent="0.25">
      <c r="A2777" s="5">
        <f>2770</f>
      </c>
      <c r="B2777" s="5" t="s">
        <v>2785</v>
      </c>
      <c r="C2777" s="5">
        <v>104</v>
      </c>
      <c r="D2777" s="5">
        <v>0.1</v>
      </c>
      <c r="E2777" s="5">
        <v>104.2</v>
      </c>
      <c r="F2777" s="5">
        <v>208.6</v>
      </c>
      <c r="G2777" s="5">
        <v>104.1</v>
      </c>
      <c r="H2777" s="5">
        <v>103.9</v>
      </c>
      <c r="I2777" s="5">
        <v>0</v>
      </c>
      <c r="J2777" s="5">
        <v>0</v>
      </c>
      <c r="K2777" s="5">
        <v>0</v>
      </c>
    </row>
    <row r="2778" spans="1:11" x14ac:dyDescent="0.25">
      <c r="A2778" s="5">
        <f>2771</f>
      </c>
      <c r="B2778" s="5" t="s">
        <v>2786</v>
      </c>
      <c r="C2778" s="5">
        <v>104</v>
      </c>
      <c r="D2778" s="5">
        <v>0.1</v>
      </c>
      <c r="E2778" s="5">
        <v>104.2</v>
      </c>
      <c r="F2778" s="5">
        <v>208.6</v>
      </c>
      <c r="G2778" s="5">
        <v>104.1</v>
      </c>
      <c r="H2778" s="5">
        <v>103.9</v>
      </c>
      <c r="I2778" s="5">
        <v>0</v>
      </c>
      <c r="J2778" s="5">
        <v>0</v>
      </c>
      <c r="K2778" s="5">
        <v>0</v>
      </c>
    </row>
    <row r="2779" spans="1:11" x14ac:dyDescent="0.25">
      <c r="A2779" s="5">
        <f>2772</f>
      </c>
      <c r="B2779" s="5" t="s">
        <v>2787</v>
      </c>
      <c r="C2779" s="5">
        <v>104</v>
      </c>
      <c r="D2779" s="5">
        <v>0.1</v>
      </c>
      <c r="E2779" s="5">
        <v>104.2</v>
      </c>
      <c r="F2779" s="5">
        <v>208.6</v>
      </c>
      <c r="G2779" s="5">
        <v>104.1</v>
      </c>
      <c r="H2779" s="5">
        <v>103.9</v>
      </c>
      <c r="I2779" s="5">
        <v>0</v>
      </c>
      <c r="J2779" s="5">
        <v>0</v>
      </c>
      <c r="K2779" s="5">
        <v>0</v>
      </c>
    </row>
    <row r="2780" spans="1:11" x14ac:dyDescent="0.25">
      <c r="A2780" s="5">
        <f>2773</f>
      </c>
      <c r="B2780" s="5" t="s">
        <v>2788</v>
      </c>
      <c r="C2780" s="5">
        <v>103.2</v>
      </c>
      <c r="D2780" s="5">
        <v>0.1</v>
      </c>
      <c r="E2780" s="5">
        <v>103.4</v>
      </c>
      <c r="F2780" s="5">
        <v>207.2</v>
      </c>
      <c r="G2780" s="5">
        <v>103.4</v>
      </c>
      <c r="H2780" s="5">
        <v>103.3</v>
      </c>
      <c r="I2780" s="5">
        <v>0</v>
      </c>
      <c r="J2780" s="5">
        <v>0</v>
      </c>
      <c r="K2780" s="5">
        <v>0</v>
      </c>
    </row>
    <row r="2781" spans="1:11" x14ac:dyDescent="0.25">
      <c r="A2781" s="5">
        <f>2774</f>
      </c>
      <c r="B2781" s="5" t="s">
        <v>2789</v>
      </c>
      <c r="C2781" s="5">
        <v>103.2</v>
      </c>
      <c r="D2781" s="5">
        <v>0.1</v>
      </c>
      <c r="E2781" s="5">
        <v>103.4</v>
      </c>
      <c r="F2781" s="5">
        <v>207.2</v>
      </c>
      <c r="G2781" s="5">
        <v>103.4</v>
      </c>
      <c r="H2781" s="5">
        <v>103.3</v>
      </c>
      <c r="I2781" s="5">
        <v>0</v>
      </c>
      <c r="J2781" s="5">
        <v>0</v>
      </c>
      <c r="K2781" s="5">
        <v>0</v>
      </c>
    </row>
    <row r="2782" spans="1:11" x14ac:dyDescent="0.25">
      <c r="A2782" s="5">
        <f>2775</f>
      </c>
      <c r="B2782" s="5" t="s">
        <v>2790</v>
      </c>
      <c r="C2782" s="5">
        <v>103.2</v>
      </c>
      <c r="D2782" s="5">
        <v>0.1</v>
      </c>
      <c r="E2782" s="5">
        <v>103.4</v>
      </c>
      <c r="F2782" s="5">
        <v>207.2</v>
      </c>
      <c r="G2782" s="5">
        <v>103.4</v>
      </c>
      <c r="H2782" s="5">
        <v>103.3</v>
      </c>
      <c r="I2782" s="5">
        <v>0</v>
      </c>
      <c r="J2782" s="5">
        <v>0</v>
      </c>
      <c r="K2782" s="5">
        <v>0</v>
      </c>
    </row>
    <row r="2783" spans="1:11" x14ac:dyDescent="0.25">
      <c r="A2783" s="5">
        <f>2776</f>
      </c>
      <c r="B2783" s="5" t="s">
        <v>2791</v>
      </c>
      <c r="C2783" s="5">
        <v>103.2</v>
      </c>
      <c r="D2783" s="5">
        <v>0.1</v>
      </c>
      <c r="E2783" s="5">
        <v>103.4</v>
      </c>
      <c r="F2783" s="5">
        <v>207.2</v>
      </c>
      <c r="G2783" s="5">
        <v>103.4</v>
      </c>
      <c r="H2783" s="5">
        <v>103.3</v>
      </c>
      <c r="I2783" s="5">
        <v>0</v>
      </c>
      <c r="J2783" s="5">
        <v>0</v>
      </c>
      <c r="K2783" s="5">
        <v>0</v>
      </c>
    </row>
    <row r="2784" spans="1:11" x14ac:dyDescent="0.25">
      <c r="A2784" s="5">
        <f>2777</f>
      </c>
      <c r="B2784" s="5" t="s">
        <v>2792</v>
      </c>
      <c r="C2784" s="5">
        <v>104.1</v>
      </c>
      <c r="D2784" s="5">
        <v>0.1</v>
      </c>
      <c r="E2784" s="5">
        <v>104.3</v>
      </c>
      <c r="F2784" s="5">
        <v>207.6</v>
      </c>
      <c r="G2784" s="5">
        <v>103.6</v>
      </c>
      <c r="H2784" s="5">
        <v>103.5</v>
      </c>
      <c r="I2784" s="5">
        <v>0</v>
      </c>
      <c r="J2784" s="5">
        <v>0</v>
      </c>
      <c r="K2784" s="5">
        <v>0</v>
      </c>
    </row>
    <row r="2785" spans="1:11" x14ac:dyDescent="0.25">
      <c r="A2785" s="5">
        <f>2778</f>
      </c>
      <c r="B2785" s="5" t="s">
        <v>2793</v>
      </c>
      <c r="C2785" s="5">
        <v>104.1</v>
      </c>
      <c r="D2785" s="5">
        <v>0.1</v>
      </c>
      <c r="E2785" s="5">
        <v>104.3</v>
      </c>
      <c r="F2785" s="5">
        <v>207.6</v>
      </c>
      <c r="G2785" s="5">
        <v>103.6</v>
      </c>
      <c r="H2785" s="5">
        <v>103.5</v>
      </c>
      <c r="I2785" s="5">
        <v>0</v>
      </c>
      <c r="J2785" s="5">
        <v>0</v>
      </c>
      <c r="K2785" s="5">
        <v>0</v>
      </c>
    </row>
    <row r="2786" spans="1:11" x14ac:dyDescent="0.25">
      <c r="A2786" s="5">
        <f>2779</f>
      </c>
      <c r="B2786" s="5" t="s">
        <v>2794</v>
      </c>
      <c r="C2786" s="5">
        <v>103.4</v>
      </c>
      <c r="D2786" s="5">
        <v>0.1</v>
      </c>
      <c r="E2786" s="5">
        <v>103.6</v>
      </c>
      <c r="F2786" s="5">
        <v>206.8</v>
      </c>
      <c r="G2786" s="5">
        <v>103.1</v>
      </c>
      <c r="H2786" s="5">
        <v>103</v>
      </c>
      <c r="I2786" s="5">
        <v>0</v>
      </c>
      <c r="J2786" s="5">
        <v>0</v>
      </c>
      <c r="K2786" s="5">
        <v>0</v>
      </c>
    </row>
    <row r="2787" spans="1:11" x14ac:dyDescent="0.25">
      <c r="A2787" s="5">
        <f>2780</f>
      </c>
      <c r="B2787" s="5" t="s">
        <v>2795</v>
      </c>
      <c r="C2787" s="5">
        <v>103.4</v>
      </c>
      <c r="D2787" s="5">
        <v>0.1</v>
      </c>
      <c r="E2787" s="5">
        <v>103.6</v>
      </c>
      <c r="F2787" s="5">
        <v>206.8</v>
      </c>
      <c r="G2787" s="5">
        <v>103.1</v>
      </c>
      <c r="H2787" s="5">
        <v>103</v>
      </c>
      <c r="I2787" s="5">
        <v>0</v>
      </c>
      <c r="J2787" s="5">
        <v>0</v>
      </c>
      <c r="K2787" s="5">
        <v>0</v>
      </c>
    </row>
    <row r="2788" spans="1:11" x14ac:dyDescent="0.25">
      <c r="A2788" s="5">
        <f>2781</f>
      </c>
      <c r="B2788" s="5" t="s">
        <v>2796</v>
      </c>
      <c r="C2788" s="5">
        <v>103.4</v>
      </c>
      <c r="D2788" s="5">
        <v>0.1</v>
      </c>
      <c r="E2788" s="5">
        <v>103.5</v>
      </c>
      <c r="F2788" s="5">
        <v>205.9</v>
      </c>
      <c r="G2788" s="5">
        <v>102.7</v>
      </c>
      <c r="H2788" s="5">
        <v>102.6</v>
      </c>
      <c r="I2788" s="5">
        <v>0</v>
      </c>
      <c r="J2788" s="5">
        <v>0</v>
      </c>
      <c r="K2788" s="5">
        <v>0</v>
      </c>
    </row>
    <row r="2789" spans="1:11" x14ac:dyDescent="0.25">
      <c r="A2789" s="5">
        <f>2782</f>
      </c>
      <c r="B2789" s="5" t="s">
        <v>2797</v>
      </c>
      <c r="C2789" s="5">
        <v>103.4</v>
      </c>
      <c r="D2789" s="5">
        <v>0.1</v>
      </c>
      <c r="E2789" s="5">
        <v>103.5</v>
      </c>
      <c r="F2789" s="5">
        <v>205.9</v>
      </c>
      <c r="G2789" s="5">
        <v>102.7</v>
      </c>
      <c r="H2789" s="5">
        <v>102.6</v>
      </c>
      <c r="I2789" s="5">
        <v>0</v>
      </c>
      <c r="J2789" s="5">
        <v>0</v>
      </c>
      <c r="K2789" s="5">
        <v>0</v>
      </c>
    </row>
    <row r="2790" spans="1:11" x14ac:dyDescent="0.25">
      <c r="A2790" s="5">
        <f>2783</f>
      </c>
      <c r="B2790" s="5" t="s">
        <v>2798</v>
      </c>
      <c r="C2790" s="5">
        <v>103.4</v>
      </c>
      <c r="D2790" s="5">
        <v>0.1</v>
      </c>
      <c r="E2790" s="5">
        <v>103.5</v>
      </c>
      <c r="F2790" s="5">
        <v>206.9</v>
      </c>
      <c r="G2790" s="5">
        <v>103.2</v>
      </c>
      <c r="H2790" s="5">
        <v>103.1</v>
      </c>
      <c r="I2790" s="5">
        <v>0</v>
      </c>
      <c r="J2790" s="5">
        <v>0</v>
      </c>
      <c r="K2790" s="5">
        <v>0</v>
      </c>
    </row>
    <row r="2791" spans="1:11" x14ac:dyDescent="0.25">
      <c r="A2791" s="5">
        <f>2784</f>
      </c>
      <c r="B2791" s="5" t="s">
        <v>2799</v>
      </c>
      <c r="C2791" s="5">
        <v>103.4</v>
      </c>
      <c r="D2791" s="5">
        <v>0.1</v>
      </c>
      <c r="E2791" s="5">
        <v>103.5</v>
      </c>
      <c r="F2791" s="5">
        <v>206.9</v>
      </c>
      <c r="G2791" s="5">
        <v>103.2</v>
      </c>
      <c r="H2791" s="5">
        <v>103.1</v>
      </c>
      <c r="I2791" s="5">
        <v>0</v>
      </c>
      <c r="J2791" s="5">
        <v>0</v>
      </c>
      <c r="K2791" s="5">
        <v>0</v>
      </c>
    </row>
    <row r="2792" spans="1:11" x14ac:dyDescent="0.25">
      <c r="A2792" s="5">
        <f>2785</f>
      </c>
      <c r="B2792" s="5" t="s">
        <v>2800</v>
      </c>
      <c r="C2792" s="5">
        <v>103.4</v>
      </c>
      <c r="D2792" s="5">
        <v>0.1</v>
      </c>
      <c r="E2792" s="5">
        <v>103.5</v>
      </c>
      <c r="F2792" s="5">
        <v>206.9</v>
      </c>
      <c r="G2792" s="5">
        <v>103.2</v>
      </c>
      <c r="H2792" s="5">
        <v>103.1</v>
      </c>
      <c r="I2792" s="5">
        <v>0</v>
      </c>
      <c r="J2792" s="5">
        <v>0</v>
      </c>
      <c r="K2792" s="5">
        <v>0</v>
      </c>
    </row>
    <row r="2793" spans="1:11" x14ac:dyDescent="0.25">
      <c r="A2793" s="5">
        <f>2786</f>
      </c>
      <c r="B2793" s="5" t="s">
        <v>2801</v>
      </c>
      <c r="C2793" s="5">
        <v>103.4</v>
      </c>
      <c r="D2793" s="5">
        <v>0.1</v>
      </c>
      <c r="E2793" s="5">
        <v>103.5</v>
      </c>
      <c r="F2793" s="5">
        <v>206.6</v>
      </c>
      <c r="G2793" s="5">
        <v>103</v>
      </c>
      <c r="H2793" s="5">
        <v>102.9</v>
      </c>
      <c r="I2793" s="5">
        <v>0</v>
      </c>
      <c r="J2793" s="5">
        <v>0</v>
      </c>
      <c r="K2793" s="5">
        <v>0</v>
      </c>
    </row>
    <row r="2794" spans="1:11" x14ac:dyDescent="0.25">
      <c r="A2794" s="5">
        <f>2787</f>
      </c>
      <c r="B2794" s="5" t="s">
        <v>2802</v>
      </c>
      <c r="C2794" s="5">
        <v>103.4</v>
      </c>
      <c r="D2794" s="5">
        <v>0.1</v>
      </c>
      <c r="E2794" s="5">
        <v>103.5</v>
      </c>
      <c r="F2794" s="5">
        <v>206.6</v>
      </c>
      <c r="G2794" s="5">
        <v>103</v>
      </c>
      <c r="H2794" s="5">
        <v>102.9</v>
      </c>
      <c r="I2794" s="5">
        <v>0</v>
      </c>
      <c r="J2794" s="5">
        <v>0</v>
      </c>
      <c r="K2794" s="5">
        <v>0</v>
      </c>
    </row>
    <row r="2795" spans="1:11" x14ac:dyDescent="0.25">
      <c r="A2795" s="5">
        <f>2788</f>
      </c>
      <c r="B2795" s="5" t="s">
        <v>2803</v>
      </c>
      <c r="C2795" s="5">
        <v>103.4</v>
      </c>
      <c r="D2795" s="5">
        <v>0.1</v>
      </c>
      <c r="E2795" s="5">
        <v>103.5</v>
      </c>
      <c r="F2795" s="5">
        <v>206.4</v>
      </c>
      <c r="G2795" s="5">
        <v>103</v>
      </c>
      <c r="H2795" s="5">
        <v>102.9</v>
      </c>
      <c r="I2795" s="5">
        <v>0</v>
      </c>
      <c r="J2795" s="5">
        <v>0</v>
      </c>
      <c r="K2795" s="5">
        <v>0</v>
      </c>
    </row>
    <row r="2796" spans="1:11" x14ac:dyDescent="0.25">
      <c r="A2796" s="5">
        <f>2789</f>
      </c>
      <c r="B2796" s="5" t="s">
        <v>2804</v>
      </c>
      <c r="C2796" s="5">
        <v>103.9</v>
      </c>
      <c r="D2796" s="5">
        <v>0.1</v>
      </c>
      <c r="E2796" s="5">
        <v>104</v>
      </c>
      <c r="F2796" s="5">
        <v>206.4</v>
      </c>
      <c r="G2796" s="5">
        <v>103</v>
      </c>
      <c r="H2796" s="5">
        <v>102.9</v>
      </c>
      <c r="I2796" s="5">
        <v>0</v>
      </c>
      <c r="J2796" s="5">
        <v>0</v>
      </c>
      <c r="K2796" s="5">
        <v>0</v>
      </c>
    </row>
    <row r="2797" spans="1:11" x14ac:dyDescent="0.25">
      <c r="A2797" s="5">
        <f>2790</f>
      </c>
      <c r="B2797" s="5" t="s">
        <v>2805</v>
      </c>
      <c r="C2797" s="5">
        <v>103.9</v>
      </c>
      <c r="D2797" s="5">
        <v>0.1</v>
      </c>
      <c r="E2797" s="5">
        <v>104</v>
      </c>
      <c r="F2797" s="5">
        <v>207.2</v>
      </c>
      <c r="G2797" s="5">
        <v>103.3</v>
      </c>
      <c r="H2797" s="5">
        <v>103.2</v>
      </c>
      <c r="I2797" s="5">
        <v>0</v>
      </c>
      <c r="J2797" s="5">
        <v>0</v>
      </c>
      <c r="K2797" s="5">
        <v>0</v>
      </c>
    </row>
    <row r="2798" spans="1:11" x14ac:dyDescent="0.25">
      <c r="A2798" s="5">
        <f>2791</f>
      </c>
      <c r="B2798" s="5" t="s">
        <v>2806</v>
      </c>
      <c r="C2798" s="5">
        <v>103.6</v>
      </c>
      <c r="D2798" s="5">
        <v>0.1</v>
      </c>
      <c r="E2798" s="5">
        <v>103.7</v>
      </c>
      <c r="F2798" s="5">
        <v>207.2</v>
      </c>
      <c r="G2798" s="5">
        <v>103.3</v>
      </c>
      <c r="H2798" s="5">
        <v>103.2</v>
      </c>
      <c r="I2798" s="5">
        <v>0</v>
      </c>
      <c r="J2798" s="5">
        <v>0</v>
      </c>
      <c r="K2798" s="5">
        <v>0</v>
      </c>
    </row>
    <row r="2799" spans="1:11" x14ac:dyDescent="0.25">
      <c r="A2799" s="5">
        <f>2792</f>
      </c>
      <c r="B2799" s="5" t="s">
        <v>2807</v>
      </c>
      <c r="C2799" s="5">
        <v>103.6</v>
      </c>
      <c r="D2799" s="5">
        <v>0.1</v>
      </c>
      <c r="E2799" s="5">
        <v>103.7</v>
      </c>
      <c r="F2799" s="5">
        <v>207.2</v>
      </c>
      <c r="G2799" s="5">
        <v>103.3</v>
      </c>
      <c r="H2799" s="5">
        <v>102.9</v>
      </c>
      <c r="I2799" s="5">
        <v>0</v>
      </c>
      <c r="J2799" s="5">
        <v>0</v>
      </c>
      <c r="K2799" s="5">
        <v>0</v>
      </c>
    </row>
    <row r="2800" spans="1:11" x14ac:dyDescent="0.25">
      <c r="A2800" s="5">
        <f>2793</f>
      </c>
      <c r="B2800" s="5" t="s">
        <v>2808</v>
      </c>
      <c r="C2800" s="5">
        <v>103.4</v>
      </c>
      <c r="D2800" s="5">
        <v>0.1</v>
      </c>
      <c r="E2800" s="5">
        <v>103.5</v>
      </c>
      <c r="F2800" s="5">
        <v>206.4</v>
      </c>
      <c r="G2800" s="5">
        <v>103</v>
      </c>
      <c r="H2800" s="5">
        <v>102.9</v>
      </c>
      <c r="I2800" s="5">
        <v>0</v>
      </c>
      <c r="J2800" s="5">
        <v>0</v>
      </c>
      <c r="K2800" s="5">
        <v>0</v>
      </c>
    </row>
    <row r="2801" spans="1:11" x14ac:dyDescent="0.25">
      <c r="A2801" s="5">
        <f>2794</f>
      </c>
      <c r="B2801" s="5" t="s">
        <v>2809</v>
      </c>
      <c r="C2801" s="5">
        <v>103.4</v>
      </c>
      <c r="D2801" s="5">
        <v>0.1</v>
      </c>
      <c r="E2801" s="5">
        <v>103.5</v>
      </c>
      <c r="F2801" s="5">
        <v>206.4</v>
      </c>
      <c r="G2801" s="5">
        <v>103</v>
      </c>
      <c r="H2801" s="5">
        <v>102.9</v>
      </c>
      <c r="I2801" s="5">
        <v>0</v>
      </c>
      <c r="J2801" s="5">
        <v>0</v>
      </c>
      <c r="K2801" s="5">
        <v>0</v>
      </c>
    </row>
    <row r="2802" spans="1:11" x14ac:dyDescent="0.25">
      <c r="A2802" s="5">
        <f>2795</f>
      </c>
      <c r="B2802" s="5" t="s">
        <v>2810</v>
      </c>
      <c r="C2802" s="5">
        <v>103.4</v>
      </c>
      <c r="D2802" s="5">
        <v>0.1</v>
      </c>
      <c r="E2802" s="5">
        <v>103.5</v>
      </c>
      <c r="F2802" s="5">
        <v>206.4</v>
      </c>
      <c r="G2802" s="5">
        <v>103</v>
      </c>
      <c r="H2802" s="5">
        <v>102.9</v>
      </c>
      <c r="I2802" s="5">
        <v>0</v>
      </c>
      <c r="J2802" s="5">
        <v>0</v>
      </c>
      <c r="K2802" s="5">
        <v>0</v>
      </c>
    </row>
    <row r="2803" spans="1:11" x14ac:dyDescent="0.25">
      <c r="A2803" s="5">
        <f>2796</f>
      </c>
      <c r="B2803" s="5" t="s">
        <v>2811</v>
      </c>
      <c r="C2803" s="5">
        <v>103.9</v>
      </c>
      <c r="D2803" s="5">
        <v>0.1</v>
      </c>
      <c r="E2803" s="5">
        <v>104</v>
      </c>
      <c r="F2803" s="5">
        <v>208</v>
      </c>
      <c r="G2803" s="5">
        <v>103.7</v>
      </c>
      <c r="H2803" s="5">
        <v>103.5</v>
      </c>
      <c r="I2803" s="5">
        <v>0</v>
      </c>
      <c r="J2803" s="5">
        <v>0</v>
      </c>
      <c r="K2803" s="5">
        <v>0</v>
      </c>
    </row>
    <row r="2804" spans="1:11" x14ac:dyDescent="0.25">
      <c r="A2804" s="5">
        <f>2797</f>
      </c>
      <c r="B2804" s="5" t="s">
        <v>2812</v>
      </c>
      <c r="C2804" s="5">
        <v>103.9</v>
      </c>
      <c r="D2804" s="5">
        <v>0.1</v>
      </c>
      <c r="E2804" s="5">
        <v>104</v>
      </c>
      <c r="F2804" s="5">
        <v>208</v>
      </c>
      <c r="G2804" s="5">
        <v>103.7</v>
      </c>
      <c r="H2804" s="5">
        <v>103.5</v>
      </c>
      <c r="I2804" s="5">
        <v>0</v>
      </c>
      <c r="J2804" s="5">
        <v>0</v>
      </c>
      <c r="K2804" s="5">
        <v>0</v>
      </c>
    </row>
    <row r="2805" spans="1:11" x14ac:dyDescent="0.25">
      <c r="A2805" s="5">
        <f>2798</f>
      </c>
      <c r="B2805" s="5" t="s">
        <v>2813</v>
      </c>
      <c r="C2805" s="5">
        <v>103.4</v>
      </c>
      <c r="D2805" s="5">
        <v>0.1</v>
      </c>
      <c r="E2805" s="5">
        <v>103.6</v>
      </c>
      <c r="F2805" s="5">
        <v>206.8</v>
      </c>
      <c r="G2805" s="5">
        <v>103.1</v>
      </c>
      <c r="H2805" s="5">
        <v>103</v>
      </c>
      <c r="I2805" s="5">
        <v>0</v>
      </c>
      <c r="J2805" s="5">
        <v>0</v>
      </c>
      <c r="K2805" s="5">
        <v>0</v>
      </c>
    </row>
    <row r="2806" spans="1:11" x14ac:dyDescent="0.25">
      <c r="A2806" s="5">
        <f>2799</f>
      </c>
      <c r="B2806" s="5" t="s">
        <v>2814</v>
      </c>
      <c r="C2806" s="5">
        <v>103.4</v>
      </c>
      <c r="D2806" s="5">
        <v>0.1</v>
      </c>
      <c r="E2806" s="5">
        <v>103.6</v>
      </c>
      <c r="F2806" s="5">
        <v>206.8</v>
      </c>
      <c r="G2806" s="5">
        <v>103.1</v>
      </c>
      <c r="H2806" s="5">
        <v>103</v>
      </c>
      <c r="I2806" s="5">
        <v>0</v>
      </c>
      <c r="J2806" s="5">
        <v>0</v>
      </c>
      <c r="K2806" s="5">
        <v>0</v>
      </c>
    </row>
    <row r="2807" spans="1:11" x14ac:dyDescent="0.25">
      <c r="A2807" s="5">
        <f>2800</f>
      </c>
      <c r="B2807" s="5" t="s">
        <v>2815</v>
      </c>
      <c r="C2807" s="5">
        <v>104.3</v>
      </c>
      <c r="D2807" s="5">
        <v>0.1</v>
      </c>
      <c r="E2807" s="5">
        <v>104.4</v>
      </c>
      <c r="F2807" s="5">
        <v>208.1</v>
      </c>
      <c r="G2807" s="5">
        <v>103.8</v>
      </c>
      <c r="H2807" s="5">
        <v>103.7</v>
      </c>
      <c r="I2807" s="5">
        <v>0</v>
      </c>
      <c r="J2807" s="5">
        <v>0</v>
      </c>
      <c r="K2807" s="5">
        <v>0</v>
      </c>
    </row>
    <row r="2808" spans="1:11" x14ac:dyDescent="0.25">
      <c r="A2808" s="5">
        <f>2801</f>
      </c>
      <c r="B2808" s="5" t="s">
        <v>2816</v>
      </c>
      <c r="C2808" s="5">
        <v>104.3</v>
      </c>
      <c r="D2808" s="5">
        <v>0.1</v>
      </c>
      <c r="E2808" s="5">
        <v>104.4</v>
      </c>
      <c r="F2808" s="5">
        <v>208.1</v>
      </c>
      <c r="G2808" s="5">
        <v>103.8</v>
      </c>
      <c r="H2808" s="5">
        <v>103.7</v>
      </c>
      <c r="I2808" s="5">
        <v>0</v>
      </c>
      <c r="J2808" s="5">
        <v>0</v>
      </c>
      <c r="K2808" s="5">
        <v>0</v>
      </c>
    </row>
    <row r="2809" spans="1:11" x14ac:dyDescent="0.25">
      <c r="A2809" s="5">
        <f>2802</f>
      </c>
      <c r="B2809" s="5" t="s">
        <v>2817</v>
      </c>
      <c r="C2809" s="5">
        <v>103.9</v>
      </c>
      <c r="D2809" s="5">
        <v>0.1</v>
      </c>
      <c r="E2809" s="5">
        <v>104</v>
      </c>
      <c r="F2809" s="5">
        <v>207.2</v>
      </c>
      <c r="G2809" s="5">
        <v>103.8</v>
      </c>
      <c r="H2809" s="5">
        <v>103.7</v>
      </c>
      <c r="I2809" s="5">
        <v>0</v>
      </c>
      <c r="J2809" s="5">
        <v>0</v>
      </c>
      <c r="K2809" s="5">
        <v>0</v>
      </c>
    </row>
    <row r="2810" spans="1:11" x14ac:dyDescent="0.25">
      <c r="A2810" s="5">
        <f>2803</f>
      </c>
      <c r="B2810" s="5" t="s">
        <v>2818</v>
      </c>
      <c r="C2810" s="5">
        <v>103.9</v>
      </c>
      <c r="D2810" s="5">
        <v>0.1</v>
      </c>
      <c r="E2810" s="5">
        <v>104</v>
      </c>
      <c r="F2810" s="5">
        <v>207.2</v>
      </c>
      <c r="G2810" s="5">
        <v>103.4</v>
      </c>
      <c r="H2810" s="5">
        <v>103.2</v>
      </c>
      <c r="I2810" s="5">
        <v>0</v>
      </c>
      <c r="J2810" s="5">
        <v>0</v>
      </c>
      <c r="K2810" s="5">
        <v>0</v>
      </c>
    </row>
    <row r="2811" spans="1:11" x14ac:dyDescent="0.25">
      <c r="A2811" s="5">
        <f>2804</f>
      </c>
      <c r="B2811" s="5" t="s">
        <v>2819</v>
      </c>
      <c r="C2811" s="5">
        <v>103.9</v>
      </c>
      <c r="D2811" s="5">
        <v>0.1</v>
      </c>
      <c r="E2811" s="5">
        <v>104</v>
      </c>
      <c r="F2811" s="5">
        <v>207.2</v>
      </c>
      <c r="G2811" s="5">
        <v>103.4</v>
      </c>
      <c r="H2811" s="5">
        <v>103.2</v>
      </c>
      <c r="I2811" s="5">
        <v>0</v>
      </c>
      <c r="J2811" s="5">
        <v>0</v>
      </c>
      <c r="K2811" s="5">
        <v>0</v>
      </c>
    </row>
    <row r="2812" spans="1:11" x14ac:dyDescent="0.25">
      <c r="A2812" s="5">
        <f>2805</f>
      </c>
      <c r="B2812" s="5" t="s">
        <v>2820</v>
      </c>
      <c r="C2812" s="5">
        <v>103.9</v>
      </c>
      <c r="D2812" s="5">
        <v>0.1</v>
      </c>
      <c r="E2812" s="5">
        <v>104</v>
      </c>
      <c r="F2812" s="5">
        <v>207.2</v>
      </c>
      <c r="G2812" s="5">
        <v>103.4</v>
      </c>
      <c r="H2812" s="5">
        <v>103.2</v>
      </c>
      <c r="I2812" s="5">
        <v>0</v>
      </c>
      <c r="J2812" s="5">
        <v>0</v>
      </c>
      <c r="K2812" s="5">
        <v>0</v>
      </c>
    </row>
    <row r="2813" spans="1:11" x14ac:dyDescent="0.25">
      <c r="A2813" s="5">
        <f>2806</f>
      </c>
      <c r="B2813" s="5" t="s">
        <v>2821</v>
      </c>
      <c r="C2813" s="5">
        <v>104.3</v>
      </c>
      <c r="D2813" s="5">
        <v>0.1</v>
      </c>
      <c r="E2813" s="5">
        <v>104</v>
      </c>
      <c r="F2813" s="5">
        <v>207.2</v>
      </c>
      <c r="G2813" s="5">
        <v>103.4</v>
      </c>
      <c r="H2813" s="5">
        <v>103.2</v>
      </c>
      <c r="I2813" s="5">
        <v>0</v>
      </c>
      <c r="J2813" s="5">
        <v>0</v>
      </c>
      <c r="K2813" s="5">
        <v>0</v>
      </c>
    </row>
    <row r="2814" spans="1:11" x14ac:dyDescent="0.25">
      <c r="A2814" s="5">
        <f>2807</f>
      </c>
      <c r="B2814" s="5" t="s">
        <v>2822</v>
      </c>
      <c r="C2814" s="5">
        <v>104.3</v>
      </c>
      <c r="D2814" s="5">
        <v>0.1</v>
      </c>
      <c r="E2814" s="5">
        <v>104.5</v>
      </c>
      <c r="F2814" s="5">
        <v>208.1</v>
      </c>
      <c r="G2814" s="5">
        <v>103.9</v>
      </c>
      <c r="H2814" s="5">
        <v>103.8</v>
      </c>
      <c r="I2814" s="5">
        <v>0</v>
      </c>
      <c r="J2814" s="5">
        <v>0</v>
      </c>
      <c r="K2814" s="5">
        <v>0</v>
      </c>
    </row>
    <row r="2815" spans="1:11" x14ac:dyDescent="0.25">
      <c r="A2815" s="5">
        <f>2808</f>
      </c>
      <c r="B2815" s="5" t="s">
        <v>2823</v>
      </c>
      <c r="C2815" s="5">
        <v>104.3</v>
      </c>
      <c r="D2815" s="5">
        <v>0.1</v>
      </c>
      <c r="E2815" s="5">
        <v>104.5</v>
      </c>
      <c r="F2815" s="5">
        <v>208.1</v>
      </c>
      <c r="G2815" s="5">
        <v>103.9</v>
      </c>
      <c r="H2815" s="5">
        <v>103.8</v>
      </c>
      <c r="I2815" s="5">
        <v>0</v>
      </c>
      <c r="J2815" s="5">
        <v>0</v>
      </c>
      <c r="K2815" s="5">
        <v>0</v>
      </c>
    </row>
    <row r="2816" spans="1:11" x14ac:dyDescent="0.25">
      <c r="A2816" s="5">
        <f>2809</f>
      </c>
      <c r="B2816" s="5" t="s">
        <v>2824</v>
      </c>
      <c r="C2816" s="5">
        <v>104</v>
      </c>
      <c r="D2816" s="5">
        <v>0.1</v>
      </c>
      <c r="E2816" s="5">
        <v>104.1</v>
      </c>
      <c r="F2816" s="5">
        <v>206.5</v>
      </c>
      <c r="G2816" s="5">
        <v>103.1</v>
      </c>
      <c r="H2816" s="5">
        <v>103</v>
      </c>
      <c r="I2816" s="5">
        <v>0</v>
      </c>
      <c r="J2816" s="5">
        <v>0</v>
      </c>
      <c r="K2816" s="5">
        <v>0</v>
      </c>
    </row>
    <row r="2817" spans="1:11" x14ac:dyDescent="0.25">
      <c r="A2817" s="5">
        <f>2810</f>
      </c>
      <c r="B2817" s="5" t="s">
        <v>2825</v>
      </c>
      <c r="C2817" s="5">
        <v>104</v>
      </c>
      <c r="D2817" s="5">
        <v>0.1</v>
      </c>
      <c r="E2817" s="5">
        <v>104.1</v>
      </c>
      <c r="F2817" s="5">
        <v>206.5</v>
      </c>
      <c r="G2817" s="5">
        <v>103.1</v>
      </c>
      <c r="H2817" s="5">
        <v>103</v>
      </c>
      <c r="I2817" s="5">
        <v>0</v>
      </c>
      <c r="J2817" s="5">
        <v>0</v>
      </c>
      <c r="K2817" s="5">
        <v>0</v>
      </c>
    </row>
    <row r="2818" spans="1:11" x14ac:dyDescent="0.25">
      <c r="A2818" s="5">
        <f>2811</f>
      </c>
      <c r="B2818" s="5" t="s">
        <v>2826</v>
      </c>
      <c r="C2818" s="5">
        <v>104</v>
      </c>
      <c r="D2818" s="5">
        <v>0.1</v>
      </c>
      <c r="E2818" s="5">
        <v>104.1</v>
      </c>
      <c r="F2818" s="5">
        <v>207.3</v>
      </c>
      <c r="G2818" s="5">
        <v>103.5</v>
      </c>
      <c r="H2818" s="5">
        <v>103.4</v>
      </c>
      <c r="I2818" s="5">
        <v>0</v>
      </c>
      <c r="J2818" s="5">
        <v>0</v>
      </c>
      <c r="K2818" s="5">
        <v>0</v>
      </c>
    </row>
    <row r="2819" spans="1:11" x14ac:dyDescent="0.25">
      <c r="A2819" s="5">
        <f>2812</f>
      </c>
      <c r="B2819" s="5" t="s">
        <v>2827</v>
      </c>
      <c r="C2819" s="5">
        <v>104</v>
      </c>
      <c r="D2819" s="5">
        <v>0.1</v>
      </c>
      <c r="E2819" s="5">
        <v>104.1</v>
      </c>
      <c r="F2819" s="5">
        <v>207.3</v>
      </c>
      <c r="G2819" s="5">
        <v>103.5</v>
      </c>
      <c r="H2819" s="5">
        <v>103.4</v>
      </c>
      <c r="I2819" s="5">
        <v>0</v>
      </c>
      <c r="J2819" s="5">
        <v>0</v>
      </c>
      <c r="K2819" s="5">
        <v>0</v>
      </c>
    </row>
    <row r="2820" spans="1:11" x14ac:dyDescent="0.25">
      <c r="A2820" s="5">
        <f>2813</f>
      </c>
      <c r="B2820" s="5" t="s">
        <v>2828</v>
      </c>
      <c r="C2820" s="5">
        <v>103.7</v>
      </c>
      <c r="D2820" s="5">
        <v>0.1</v>
      </c>
      <c r="E2820" s="5">
        <v>103.8</v>
      </c>
      <c r="F2820" s="5">
        <v>207.4</v>
      </c>
      <c r="G2820" s="5">
        <v>103.5</v>
      </c>
      <c r="H2820" s="5">
        <v>103.4</v>
      </c>
      <c r="I2820" s="5">
        <v>0</v>
      </c>
      <c r="J2820" s="5">
        <v>0</v>
      </c>
      <c r="K2820" s="5">
        <v>0</v>
      </c>
    </row>
    <row r="2821" spans="1:11" x14ac:dyDescent="0.25">
      <c r="A2821" s="5">
        <f>2814</f>
      </c>
      <c r="B2821" s="5" t="s">
        <v>2829</v>
      </c>
      <c r="C2821" s="5">
        <v>103.7</v>
      </c>
      <c r="D2821" s="5">
        <v>0.1</v>
      </c>
      <c r="E2821" s="5">
        <v>103.8</v>
      </c>
      <c r="F2821" s="5">
        <v>207.4</v>
      </c>
      <c r="G2821" s="5">
        <v>103.5</v>
      </c>
      <c r="H2821" s="5">
        <v>103.4</v>
      </c>
      <c r="I2821" s="5">
        <v>0</v>
      </c>
      <c r="J2821" s="5">
        <v>0</v>
      </c>
      <c r="K2821" s="5">
        <v>0</v>
      </c>
    </row>
    <row r="2822" spans="1:11" x14ac:dyDescent="0.25">
      <c r="A2822" s="5">
        <f>2815</f>
      </c>
      <c r="B2822" s="5" t="s">
        <v>2830</v>
      </c>
      <c r="C2822" s="5">
        <v>103.7</v>
      </c>
      <c r="D2822" s="5">
        <v>0.1</v>
      </c>
      <c r="E2822" s="5">
        <v>103.8</v>
      </c>
      <c r="F2822" s="5">
        <v>207.4</v>
      </c>
      <c r="G2822" s="5">
        <v>103.5</v>
      </c>
      <c r="H2822" s="5">
        <v>103.4</v>
      </c>
      <c r="I2822" s="5">
        <v>0</v>
      </c>
      <c r="J2822" s="5">
        <v>0</v>
      </c>
      <c r="K2822" s="5">
        <v>0</v>
      </c>
    </row>
    <row r="2823" spans="1:11" x14ac:dyDescent="0.25">
      <c r="A2823" s="5">
        <f>2816</f>
      </c>
      <c r="B2823" s="5" t="s">
        <v>2831</v>
      </c>
      <c r="C2823" s="5">
        <v>103.7</v>
      </c>
      <c r="D2823" s="5">
        <v>0.1</v>
      </c>
      <c r="E2823" s="5">
        <v>105</v>
      </c>
      <c r="F2823" s="5">
        <v>208.8</v>
      </c>
      <c r="G2823" s="5">
        <v>104.2</v>
      </c>
      <c r="H2823" s="5">
        <v>104.1</v>
      </c>
      <c r="I2823" s="5">
        <v>0</v>
      </c>
      <c r="J2823" s="5">
        <v>0</v>
      </c>
      <c r="K2823" s="5">
        <v>0</v>
      </c>
    </row>
    <row r="2824" spans="1:11" x14ac:dyDescent="0.25">
      <c r="A2824" s="5">
        <f>2817</f>
      </c>
      <c r="B2824" s="5" t="s">
        <v>2832</v>
      </c>
      <c r="C2824" s="5">
        <v>104.9</v>
      </c>
      <c r="D2824" s="5">
        <v>0.1</v>
      </c>
      <c r="E2824" s="5">
        <v>105</v>
      </c>
      <c r="F2824" s="5">
        <v>208.8</v>
      </c>
      <c r="G2824" s="5">
        <v>104.2</v>
      </c>
      <c r="H2824" s="5">
        <v>104.1</v>
      </c>
      <c r="I2824" s="5">
        <v>0</v>
      </c>
      <c r="J2824" s="5">
        <v>0</v>
      </c>
      <c r="K2824" s="5">
        <v>0</v>
      </c>
    </row>
    <row r="2825" spans="1:11" x14ac:dyDescent="0.25">
      <c r="A2825" s="5">
        <f>2818</f>
      </c>
      <c r="B2825" s="5" t="s">
        <v>2833</v>
      </c>
      <c r="C2825" s="5">
        <v>104.9</v>
      </c>
      <c r="D2825" s="5">
        <v>0.1</v>
      </c>
      <c r="E2825" s="5">
        <v>104.3</v>
      </c>
      <c r="F2825" s="5">
        <v>208.1</v>
      </c>
      <c r="G2825" s="5">
        <v>103.8</v>
      </c>
      <c r="H2825" s="5">
        <v>103.6</v>
      </c>
      <c r="I2825" s="5">
        <v>0</v>
      </c>
      <c r="J2825" s="5">
        <v>0</v>
      </c>
      <c r="K2825" s="5">
        <v>0</v>
      </c>
    </row>
    <row r="2826" spans="1:11" x14ac:dyDescent="0.25">
      <c r="A2826" s="5">
        <f>2819</f>
      </c>
      <c r="B2826" s="5" t="s">
        <v>2834</v>
      </c>
      <c r="C2826" s="5">
        <v>104.2</v>
      </c>
      <c r="D2826" s="5">
        <v>0.1</v>
      </c>
      <c r="E2826" s="5">
        <v>104.3</v>
      </c>
      <c r="F2826" s="5">
        <v>208.1</v>
      </c>
      <c r="G2826" s="5">
        <v>103.8</v>
      </c>
      <c r="H2826" s="5">
        <v>103.6</v>
      </c>
      <c r="I2826" s="5">
        <v>0</v>
      </c>
      <c r="J2826" s="5">
        <v>0</v>
      </c>
      <c r="K2826" s="5">
        <v>0</v>
      </c>
    </row>
    <row r="2827" spans="1:11" x14ac:dyDescent="0.25">
      <c r="A2827" s="5">
        <f>2820</f>
      </c>
      <c r="B2827" s="5" t="s">
        <v>2835</v>
      </c>
      <c r="C2827" s="5">
        <v>104.2</v>
      </c>
      <c r="D2827" s="5">
        <v>0.1</v>
      </c>
      <c r="E2827" s="5">
        <v>104.3</v>
      </c>
      <c r="F2827" s="5">
        <v>208.1</v>
      </c>
      <c r="G2827" s="5">
        <v>103.7</v>
      </c>
      <c r="H2827" s="5">
        <v>103.5</v>
      </c>
      <c r="I2827" s="5">
        <v>0</v>
      </c>
      <c r="J2827" s="5">
        <v>0</v>
      </c>
      <c r="K2827" s="5">
        <v>0</v>
      </c>
    </row>
    <row r="2828" spans="1:11" x14ac:dyDescent="0.25">
      <c r="A2828" s="5">
        <f>2821</f>
      </c>
      <c r="B2828" s="5" t="s">
        <v>2836</v>
      </c>
      <c r="C2828" s="5">
        <v>104</v>
      </c>
      <c r="D2828" s="5">
        <v>0.1</v>
      </c>
      <c r="E2828" s="5">
        <v>104.1</v>
      </c>
      <c r="F2828" s="5">
        <v>207.8</v>
      </c>
      <c r="G2828" s="5">
        <v>103.7</v>
      </c>
      <c r="H2828" s="5">
        <v>103.5</v>
      </c>
      <c r="I2828" s="5">
        <v>0</v>
      </c>
      <c r="J2828" s="5">
        <v>0</v>
      </c>
      <c r="K2828" s="5">
        <v>0</v>
      </c>
    </row>
    <row r="2829" spans="1:11" x14ac:dyDescent="0.25">
      <c r="A2829" s="5">
        <f>2822</f>
      </c>
      <c r="B2829" s="5" t="s">
        <v>2837</v>
      </c>
      <c r="C2829" s="5">
        <v>104</v>
      </c>
      <c r="D2829" s="5">
        <v>0.1</v>
      </c>
      <c r="E2829" s="5">
        <v>104.1</v>
      </c>
      <c r="F2829" s="5">
        <v>207.8</v>
      </c>
      <c r="G2829" s="5">
        <v>103.7</v>
      </c>
      <c r="H2829" s="5">
        <v>103.5</v>
      </c>
      <c r="I2829" s="5">
        <v>0</v>
      </c>
      <c r="J2829" s="5">
        <v>0</v>
      </c>
      <c r="K2829" s="5">
        <v>0</v>
      </c>
    </row>
    <row r="2830" spans="1:11" x14ac:dyDescent="0.25">
      <c r="A2830" s="5">
        <f>2823</f>
      </c>
      <c r="B2830" s="5" t="s">
        <v>2838</v>
      </c>
      <c r="C2830" s="5">
        <v>104.2</v>
      </c>
      <c r="D2830" s="5">
        <v>0.1</v>
      </c>
      <c r="E2830" s="5">
        <v>104.3</v>
      </c>
      <c r="F2830" s="5">
        <v>208.2</v>
      </c>
      <c r="G2830" s="5">
        <v>103.9</v>
      </c>
      <c r="H2830" s="5">
        <v>103.7</v>
      </c>
      <c r="I2830" s="5">
        <v>0</v>
      </c>
      <c r="J2830" s="5">
        <v>0</v>
      </c>
      <c r="K2830" s="5">
        <v>0</v>
      </c>
    </row>
    <row r="2831" spans="1:11" x14ac:dyDescent="0.25">
      <c r="A2831" s="5">
        <f>2824</f>
      </c>
      <c r="B2831" s="5" t="s">
        <v>2839</v>
      </c>
      <c r="C2831" s="5">
        <v>104.2</v>
      </c>
      <c r="D2831" s="5">
        <v>0.1</v>
      </c>
      <c r="E2831" s="5">
        <v>104.3</v>
      </c>
      <c r="F2831" s="5">
        <v>208.2</v>
      </c>
      <c r="G2831" s="5">
        <v>103.9</v>
      </c>
      <c r="H2831" s="5">
        <v>103.7</v>
      </c>
      <c r="I2831" s="5">
        <v>0</v>
      </c>
      <c r="J2831" s="5">
        <v>0</v>
      </c>
      <c r="K2831" s="5">
        <v>0</v>
      </c>
    </row>
    <row r="2832" spans="1:11" x14ac:dyDescent="0.25">
      <c r="A2832" s="5">
        <f>2825</f>
      </c>
      <c r="B2832" s="5" t="s">
        <v>2840</v>
      </c>
      <c r="C2832" s="5">
        <v>104.2</v>
      </c>
      <c r="D2832" s="5">
        <v>0.1</v>
      </c>
      <c r="E2832" s="5">
        <v>104.3</v>
      </c>
      <c r="F2832" s="5">
        <v>208.2</v>
      </c>
      <c r="G2832" s="5">
        <v>103.9</v>
      </c>
      <c r="H2832" s="5">
        <v>103.7</v>
      </c>
      <c r="I2832" s="5">
        <v>0</v>
      </c>
      <c r="J2832" s="5">
        <v>0</v>
      </c>
      <c r="K2832" s="5">
        <v>0</v>
      </c>
    </row>
    <row r="2833" spans="1:11" x14ac:dyDescent="0.25">
      <c r="A2833" s="5">
        <f>2826</f>
      </c>
      <c r="B2833" s="5" t="s">
        <v>2841</v>
      </c>
      <c r="C2833" s="5">
        <v>104.7</v>
      </c>
      <c r="D2833" s="5">
        <v>0.1</v>
      </c>
      <c r="E2833" s="5">
        <v>104.9</v>
      </c>
      <c r="F2833" s="5">
        <v>209.8</v>
      </c>
      <c r="G2833" s="5">
        <v>104.6</v>
      </c>
      <c r="H2833" s="5">
        <v>104.4</v>
      </c>
      <c r="I2833" s="5">
        <v>0</v>
      </c>
      <c r="J2833" s="5">
        <v>0</v>
      </c>
      <c r="K2833" s="5">
        <v>0</v>
      </c>
    </row>
    <row r="2834" spans="1:11" x14ac:dyDescent="0.25">
      <c r="A2834" s="5">
        <f>2827</f>
      </c>
      <c r="B2834" s="5" t="s">
        <v>2842</v>
      </c>
      <c r="C2834" s="5">
        <v>104.7</v>
      </c>
      <c r="D2834" s="5">
        <v>0.1</v>
      </c>
      <c r="E2834" s="5">
        <v>104.9</v>
      </c>
      <c r="F2834" s="5">
        <v>209.8</v>
      </c>
      <c r="G2834" s="5">
        <v>104.6</v>
      </c>
      <c r="H2834" s="5">
        <v>104.4</v>
      </c>
      <c r="I2834" s="5">
        <v>0</v>
      </c>
      <c r="J2834" s="5">
        <v>0</v>
      </c>
      <c r="K2834" s="5">
        <v>0</v>
      </c>
    </row>
    <row r="2835" spans="1:11" x14ac:dyDescent="0.25">
      <c r="A2835" s="5">
        <f>2828</f>
      </c>
      <c r="B2835" s="5" t="s">
        <v>2843</v>
      </c>
      <c r="C2835" s="5">
        <v>104.6</v>
      </c>
      <c r="D2835" s="5">
        <v>0.1</v>
      </c>
      <c r="E2835" s="5">
        <v>104.7</v>
      </c>
      <c r="F2835" s="5">
        <v>208.3</v>
      </c>
      <c r="G2835" s="5">
        <v>104</v>
      </c>
      <c r="H2835" s="5">
        <v>103.8</v>
      </c>
      <c r="I2835" s="5">
        <v>0</v>
      </c>
      <c r="J2835" s="5">
        <v>0</v>
      </c>
      <c r="K2835" s="5">
        <v>0</v>
      </c>
    </row>
    <row r="2836" spans="1:11" x14ac:dyDescent="0.25">
      <c r="A2836" s="5">
        <f>2829</f>
      </c>
      <c r="B2836" s="5" t="s">
        <v>2844</v>
      </c>
      <c r="C2836" s="5">
        <v>104.6</v>
      </c>
      <c r="D2836" s="5">
        <v>0.1</v>
      </c>
      <c r="E2836" s="5">
        <v>104.7</v>
      </c>
      <c r="F2836" s="5">
        <v>208.3</v>
      </c>
      <c r="G2836" s="5">
        <v>104</v>
      </c>
      <c r="H2836" s="5">
        <v>103.8</v>
      </c>
      <c r="I2836" s="5">
        <v>0</v>
      </c>
      <c r="J2836" s="5">
        <v>0</v>
      </c>
      <c r="K2836" s="5">
        <v>0</v>
      </c>
    </row>
    <row r="2837" spans="1:11" x14ac:dyDescent="0.25">
      <c r="A2837" s="5">
        <f>2830</f>
      </c>
      <c r="B2837" s="5" t="s">
        <v>2845</v>
      </c>
      <c r="C2837" s="5">
        <v>104</v>
      </c>
      <c r="D2837" s="5">
        <v>0.1</v>
      </c>
      <c r="E2837" s="5">
        <v>104.2</v>
      </c>
      <c r="F2837" s="5">
        <v>208</v>
      </c>
      <c r="G2837" s="5">
        <v>103.8</v>
      </c>
      <c r="H2837" s="5">
        <v>103.6</v>
      </c>
      <c r="I2837" s="5">
        <v>0</v>
      </c>
      <c r="J2837" s="5">
        <v>0</v>
      </c>
      <c r="K2837" s="5">
        <v>0</v>
      </c>
    </row>
    <row r="2838" spans="1:11" x14ac:dyDescent="0.25">
      <c r="A2838" s="5">
        <f>2831</f>
      </c>
      <c r="B2838" s="5" t="s">
        <v>2846</v>
      </c>
      <c r="C2838" s="5">
        <v>104</v>
      </c>
      <c r="D2838" s="5">
        <v>0.1</v>
      </c>
      <c r="E2838" s="5">
        <v>104.2</v>
      </c>
      <c r="F2838" s="5">
        <v>208</v>
      </c>
      <c r="G2838" s="5">
        <v>103.8</v>
      </c>
      <c r="H2838" s="5">
        <v>103.6</v>
      </c>
      <c r="I2838" s="5">
        <v>0</v>
      </c>
      <c r="J2838" s="5">
        <v>0</v>
      </c>
      <c r="K2838" s="5">
        <v>0</v>
      </c>
    </row>
    <row r="2839" spans="1:11" x14ac:dyDescent="0.25">
      <c r="A2839" s="5">
        <f>2832</f>
      </c>
      <c r="B2839" s="5" t="s">
        <v>2847</v>
      </c>
      <c r="C2839" s="5">
        <v>105</v>
      </c>
      <c r="D2839" s="5">
        <v>0.1</v>
      </c>
      <c r="E2839" s="5">
        <v>105.1</v>
      </c>
      <c r="F2839" s="5">
        <v>209</v>
      </c>
      <c r="G2839" s="5">
        <v>104.3</v>
      </c>
      <c r="H2839" s="5">
        <v>104.1</v>
      </c>
      <c r="I2839" s="5">
        <v>0</v>
      </c>
      <c r="J2839" s="5">
        <v>0</v>
      </c>
      <c r="K2839" s="5">
        <v>0</v>
      </c>
    </row>
    <row r="2840" spans="1:11" x14ac:dyDescent="0.25">
      <c r="A2840" s="5">
        <f>2833</f>
      </c>
      <c r="B2840" s="5" t="s">
        <v>2848</v>
      </c>
      <c r="C2840" s="5">
        <v>105</v>
      </c>
      <c r="D2840" s="5">
        <v>0.1</v>
      </c>
      <c r="E2840" s="5">
        <v>105.1</v>
      </c>
      <c r="F2840" s="5">
        <v>209</v>
      </c>
      <c r="G2840" s="5">
        <v>104.3</v>
      </c>
      <c r="H2840" s="5">
        <v>104.1</v>
      </c>
      <c r="I2840" s="5">
        <v>0</v>
      </c>
      <c r="J2840" s="5">
        <v>0</v>
      </c>
      <c r="K2840" s="5">
        <v>0</v>
      </c>
    </row>
    <row r="2841" spans="1:11" x14ac:dyDescent="0.25">
      <c r="A2841" s="5">
        <f>2834</f>
      </c>
      <c r="B2841" s="5" t="s">
        <v>2849</v>
      </c>
      <c r="C2841" s="5">
        <v>105</v>
      </c>
      <c r="D2841" s="5">
        <v>0.1</v>
      </c>
      <c r="E2841" s="5">
        <v>105.1</v>
      </c>
      <c r="F2841" s="5">
        <v>209</v>
      </c>
      <c r="G2841" s="5">
        <v>104.3</v>
      </c>
      <c r="H2841" s="5">
        <v>104.1</v>
      </c>
      <c r="I2841" s="5">
        <v>0</v>
      </c>
      <c r="J2841" s="5">
        <v>0</v>
      </c>
      <c r="K2841" s="5">
        <v>0</v>
      </c>
    </row>
    <row r="2842" spans="1:11" x14ac:dyDescent="0.25">
      <c r="A2842" s="5">
        <f>2835</f>
      </c>
      <c r="B2842" s="5" t="s">
        <v>2850</v>
      </c>
      <c r="C2842" s="5">
        <v>105</v>
      </c>
      <c r="D2842" s="5">
        <v>0.1</v>
      </c>
      <c r="E2842" s="5">
        <v>105.1</v>
      </c>
      <c r="F2842" s="5">
        <v>209</v>
      </c>
      <c r="G2842" s="5">
        <v>104.3</v>
      </c>
      <c r="H2842" s="5">
        <v>104.1</v>
      </c>
      <c r="I2842" s="5">
        <v>0</v>
      </c>
      <c r="J2842" s="5">
        <v>0</v>
      </c>
      <c r="K2842" s="5">
        <v>0</v>
      </c>
    </row>
    <row r="2843" spans="1:11" x14ac:dyDescent="0.25">
      <c r="A2843" s="5">
        <f>2836</f>
      </c>
      <c r="B2843" s="5" t="s">
        <v>2851</v>
      </c>
      <c r="C2843" s="5">
        <v>104.8</v>
      </c>
      <c r="D2843" s="5">
        <v>0.1</v>
      </c>
      <c r="E2843" s="5">
        <v>104.9</v>
      </c>
      <c r="F2843" s="5">
        <v>209.1</v>
      </c>
      <c r="G2843" s="5">
        <v>104.3</v>
      </c>
      <c r="H2843" s="5">
        <v>104.1</v>
      </c>
      <c r="I2843" s="5">
        <v>0</v>
      </c>
      <c r="J2843" s="5">
        <v>0</v>
      </c>
      <c r="K2843" s="5">
        <v>0</v>
      </c>
    </row>
    <row r="2844" spans="1:11" x14ac:dyDescent="0.25">
      <c r="A2844" s="5">
        <f>2837</f>
      </c>
      <c r="B2844" s="5" t="s">
        <v>2852</v>
      </c>
      <c r="C2844" s="5">
        <v>104.8</v>
      </c>
      <c r="D2844" s="5">
        <v>0.1</v>
      </c>
      <c r="E2844" s="5">
        <v>104.9</v>
      </c>
      <c r="F2844" s="5">
        <v>209.1</v>
      </c>
      <c r="G2844" s="5">
        <v>104.3</v>
      </c>
      <c r="H2844" s="5">
        <v>104.1</v>
      </c>
      <c r="I2844" s="5">
        <v>0</v>
      </c>
      <c r="J2844" s="5">
        <v>0</v>
      </c>
      <c r="K2844" s="5">
        <v>0</v>
      </c>
    </row>
    <row r="2845" spans="1:11" x14ac:dyDescent="0.25">
      <c r="A2845" s="5">
        <f>2838</f>
      </c>
      <c r="B2845" s="5" t="s">
        <v>2853</v>
      </c>
      <c r="C2845" s="5">
        <v>104.6</v>
      </c>
      <c r="D2845" s="5">
        <v>0.1</v>
      </c>
      <c r="E2845" s="5">
        <v>104.7</v>
      </c>
      <c r="F2845" s="5">
        <v>209</v>
      </c>
      <c r="G2845" s="5">
        <v>104.4</v>
      </c>
      <c r="H2845" s="5">
        <v>104.2</v>
      </c>
      <c r="I2845" s="5">
        <v>0</v>
      </c>
      <c r="J2845" s="5">
        <v>0</v>
      </c>
      <c r="K2845" s="5">
        <v>0</v>
      </c>
    </row>
    <row r="2846" spans="1:11" x14ac:dyDescent="0.25">
      <c r="A2846" s="5">
        <f>2839</f>
      </c>
      <c r="B2846" s="5" t="s">
        <v>2854</v>
      </c>
      <c r="C2846" s="5">
        <v>104.6</v>
      </c>
      <c r="D2846" s="5">
        <v>0.1</v>
      </c>
      <c r="E2846" s="5">
        <v>104.7</v>
      </c>
      <c r="F2846" s="5">
        <v>209</v>
      </c>
      <c r="G2846" s="5">
        <v>104.4</v>
      </c>
      <c r="H2846" s="5">
        <v>104.2</v>
      </c>
      <c r="I2846" s="5">
        <v>0</v>
      </c>
      <c r="J2846" s="5">
        <v>0</v>
      </c>
      <c r="K2846" s="5">
        <v>0</v>
      </c>
    </row>
    <row r="2847" spans="1:11" x14ac:dyDescent="0.25">
      <c r="A2847" s="5">
        <f>2840</f>
      </c>
      <c r="B2847" s="5" t="s">
        <v>2855</v>
      </c>
      <c r="C2847" s="5">
        <v>104.2</v>
      </c>
      <c r="D2847" s="5">
        <v>0.1</v>
      </c>
      <c r="E2847" s="5">
        <v>104.3</v>
      </c>
      <c r="F2847" s="5">
        <v>208.3</v>
      </c>
      <c r="G2847" s="5">
        <v>103.9</v>
      </c>
      <c r="H2847" s="5">
        <v>103.8</v>
      </c>
      <c r="I2847" s="5">
        <v>0</v>
      </c>
      <c r="J2847" s="5">
        <v>0</v>
      </c>
      <c r="K2847" s="5">
        <v>0</v>
      </c>
    </row>
    <row r="2848" spans="1:11" x14ac:dyDescent="0.25">
      <c r="A2848" s="5">
        <f>2841</f>
      </c>
      <c r="B2848" s="5" t="s">
        <v>2856</v>
      </c>
      <c r="C2848" s="5">
        <v>104.2</v>
      </c>
      <c r="D2848" s="5">
        <v>0.1</v>
      </c>
      <c r="E2848" s="5">
        <v>104.3</v>
      </c>
      <c r="F2848" s="5">
        <v>208.3</v>
      </c>
      <c r="G2848" s="5">
        <v>103.9</v>
      </c>
      <c r="H2848" s="5">
        <v>103.8</v>
      </c>
      <c r="I2848" s="5">
        <v>0</v>
      </c>
      <c r="J2848" s="5">
        <v>0</v>
      </c>
      <c r="K2848" s="5">
        <v>0</v>
      </c>
    </row>
    <row r="2849" spans="1:11" x14ac:dyDescent="0.25">
      <c r="A2849" s="5">
        <f>2842</f>
      </c>
      <c r="B2849" s="5" t="s">
        <v>2857</v>
      </c>
      <c r="C2849" s="5">
        <v>104.1</v>
      </c>
      <c r="D2849" s="5">
        <v>0.1</v>
      </c>
      <c r="E2849" s="5">
        <v>104.3</v>
      </c>
      <c r="F2849" s="5">
        <v>207.9</v>
      </c>
      <c r="G2849" s="5">
        <v>103.7</v>
      </c>
      <c r="H2849" s="5">
        <v>103.6</v>
      </c>
      <c r="I2849" s="5">
        <v>0</v>
      </c>
      <c r="J2849" s="5">
        <v>0</v>
      </c>
      <c r="K2849" s="5">
        <v>0</v>
      </c>
    </row>
    <row r="2850" spans="1:11" x14ac:dyDescent="0.25">
      <c r="A2850" s="5">
        <f>2843</f>
      </c>
      <c r="B2850" s="5" t="s">
        <v>2858</v>
      </c>
      <c r="C2850" s="5">
        <v>104.1</v>
      </c>
      <c r="D2850" s="5">
        <v>0.1</v>
      </c>
      <c r="E2850" s="5">
        <v>104.3</v>
      </c>
      <c r="F2850" s="5">
        <v>207.9</v>
      </c>
      <c r="G2850" s="5">
        <v>103.7</v>
      </c>
      <c r="H2850" s="5">
        <v>103.6</v>
      </c>
      <c r="I2850" s="5">
        <v>0</v>
      </c>
      <c r="J2850" s="5">
        <v>0</v>
      </c>
      <c r="K2850" s="5">
        <v>0</v>
      </c>
    </row>
    <row r="2851" spans="1:11" x14ac:dyDescent="0.25">
      <c r="A2851" s="5">
        <f>2844</f>
      </c>
      <c r="B2851" s="5" t="s">
        <v>2859</v>
      </c>
      <c r="C2851" s="5">
        <v>104.1</v>
      </c>
      <c r="D2851" s="5">
        <v>0.1</v>
      </c>
      <c r="E2851" s="5">
        <v>104.3</v>
      </c>
      <c r="F2851" s="5">
        <v>207.9</v>
      </c>
      <c r="G2851" s="5">
        <v>103.7</v>
      </c>
      <c r="H2851" s="5">
        <v>103.6</v>
      </c>
      <c r="I2851" s="5">
        <v>0</v>
      </c>
      <c r="J2851" s="5">
        <v>0</v>
      </c>
      <c r="K2851" s="5">
        <v>0</v>
      </c>
    </row>
    <row r="2852" spans="1:11" x14ac:dyDescent="0.25">
      <c r="A2852" s="5">
        <f>2845</f>
      </c>
      <c r="B2852" s="5" t="s">
        <v>2860</v>
      </c>
      <c r="C2852" s="5">
        <v>104.1</v>
      </c>
      <c r="D2852" s="5">
        <v>0.1</v>
      </c>
      <c r="E2852" s="5">
        <v>104.3</v>
      </c>
      <c r="F2852" s="5">
        <v>207.9</v>
      </c>
      <c r="G2852" s="5">
        <v>103.7</v>
      </c>
      <c r="H2852" s="5">
        <v>103.6</v>
      </c>
      <c r="I2852" s="5">
        <v>0</v>
      </c>
      <c r="J2852" s="5">
        <v>0</v>
      </c>
      <c r="K2852" s="5">
        <v>0</v>
      </c>
    </row>
    <row r="2853" spans="1:11" x14ac:dyDescent="0.25">
      <c r="A2853" s="5">
        <f>2846</f>
      </c>
      <c r="B2853" s="5" t="s">
        <v>2861</v>
      </c>
      <c r="C2853" s="5">
        <v>103.7</v>
      </c>
      <c r="D2853" s="5">
        <v>0.1</v>
      </c>
      <c r="E2853" s="5">
        <v>103.8</v>
      </c>
      <c r="F2853" s="5">
        <v>207.9</v>
      </c>
      <c r="G2853" s="5">
        <v>103.6</v>
      </c>
      <c r="H2853" s="5">
        <v>103.4</v>
      </c>
      <c r="I2853" s="5">
        <v>0</v>
      </c>
      <c r="J2853" s="5">
        <v>0</v>
      </c>
      <c r="K2853" s="5">
        <v>0</v>
      </c>
    </row>
    <row r="2854" spans="1:11" x14ac:dyDescent="0.25">
      <c r="A2854" s="5">
        <f>2847</f>
      </c>
      <c r="B2854" s="5" t="s">
        <v>2862</v>
      </c>
      <c r="C2854" s="5">
        <v>103.7</v>
      </c>
      <c r="D2854" s="5">
        <v>0.1</v>
      </c>
      <c r="E2854" s="5">
        <v>103.8</v>
      </c>
      <c r="F2854" s="5">
        <v>207.9</v>
      </c>
      <c r="G2854" s="5">
        <v>103.6</v>
      </c>
      <c r="H2854" s="5">
        <v>103.4</v>
      </c>
      <c r="I2854" s="5">
        <v>0</v>
      </c>
      <c r="J2854" s="5">
        <v>0</v>
      </c>
      <c r="K2854" s="5">
        <v>0</v>
      </c>
    </row>
    <row r="2855" spans="1:11" x14ac:dyDescent="0.25">
      <c r="A2855" s="5">
        <f>2848</f>
      </c>
      <c r="B2855" s="5" t="s">
        <v>2863</v>
      </c>
      <c r="C2855" s="5">
        <v>103.7</v>
      </c>
      <c r="D2855" s="5">
        <v>0.1</v>
      </c>
      <c r="E2855" s="5">
        <v>103.8</v>
      </c>
      <c r="F2855" s="5">
        <v>207.1</v>
      </c>
      <c r="G2855" s="5">
        <v>103.3</v>
      </c>
      <c r="H2855" s="5">
        <v>103.2</v>
      </c>
      <c r="I2855" s="5">
        <v>0</v>
      </c>
      <c r="J2855" s="5">
        <v>0</v>
      </c>
      <c r="K2855" s="5">
        <v>0</v>
      </c>
    </row>
    <row r="2856" spans="1:11" x14ac:dyDescent="0.25">
      <c r="A2856" s="5">
        <f>2849</f>
      </c>
      <c r="B2856" s="5" t="s">
        <v>2864</v>
      </c>
      <c r="C2856" s="5">
        <v>103.7</v>
      </c>
      <c r="D2856" s="5">
        <v>0.1</v>
      </c>
      <c r="E2856" s="5">
        <v>103.8</v>
      </c>
      <c r="F2856" s="5">
        <v>207.1</v>
      </c>
      <c r="G2856" s="5">
        <v>103.3</v>
      </c>
      <c r="H2856" s="5">
        <v>103.2</v>
      </c>
      <c r="I2856" s="5">
        <v>0</v>
      </c>
      <c r="J2856" s="5">
        <v>0</v>
      </c>
      <c r="K2856" s="5">
        <v>0</v>
      </c>
    </row>
    <row r="2857" spans="1:11" x14ac:dyDescent="0.25">
      <c r="A2857" s="5">
        <f>2850</f>
      </c>
      <c r="B2857" s="5" t="s">
        <v>2865</v>
      </c>
      <c r="C2857" s="5">
        <v>104.5</v>
      </c>
      <c r="D2857" s="5">
        <v>0.1</v>
      </c>
      <c r="E2857" s="5">
        <v>104.6</v>
      </c>
      <c r="F2857" s="5">
        <v>207.1</v>
      </c>
      <c r="G2857" s="5">
        <v>103.3</v>
      </c>
      <c r="H2857" s="5">
        <v>104</v>
      </c>
      <c r="I2857" s="5">
        <v>0</v>
      </c>
      <c r="J2857" s="5">
        <v>0</v>
      </c>
      <c r="K2857" s="5">
        <v>0</v>
      </c>
    </row>
    <row r="2858" spans="1:11" x14ac:dyDescent="0.25">
      <c r="A2858" s="5">
        <f>2851</f>
      </c>
      <c r="B2858" s="5" t="s">
        <v>2866</v>
      </c>
      <c r="C2858" s="5">
        <v>104.5</v>
      </c>
      <c r="D2858" s="5">
        <v>0.1</v>
      </c>
      <c r="E2858" s="5">
        <v>104.6</v>
      </c>
      <c r="F2858" s="5">
        <v>208.8</v>
      </c>
      <c r="G2858" s="5">
        <v>104.2</v>
      </c>
      <c r="H2858" s="5">
        <v>104</v>
      </c>
      <c r="I2858" s="5">
        <v>0</v>
      </c>
      <c r="J2858" s="5">
        <v>0</v>
      </c>
      <c r="K2858" s="5">
        <v>0</v>
      </c>
    </row>
    <row r="2859" spans="1:11" x14ac:dyDescent="0.25">
      <c r="A2859" s="5">
        <f>2852</f>
      </c>
      <c r="B2859" s="5" t="s">
        <v>2867</v>
      </c>
      <c r="C2859" s="5">
        <v>104.5</v>
      </c>
      <c r="D2859" s="5">
        <v>0.1</v>
      </c>
      <c r="E2859" s="5">
        <v>104.6</v>
      </c>
      <c r="F2859" s="5">
        <v>208.8</v>
      </c>
      <c r="G2859" s="5">
        <v>104.2</v>
      </c>
      <c r="H2859" s="5">
        <v>104</v>
      </c>
      <c r="I2859" s="5">
        <v>0</v>
      </c>
      <c r="J2859" s="5">
        <v>0</v>
      </c>
      <c r="K2859" s="5">
        <v>0</v>
      </c>
    </row>
    <row r="2860" spans="1:11" x14ac:dyDescent="0.25">
      <c r="A2860" s="5">
        <f>2853</f>
      </c>
      <c r="B2860" s="5" t="s">
        <v>2868</v>
      </c>
      <c r="C2860" s="5">
        <v>104.5</v>
      </c>
      <c r="D2860" s="5">
        <v>0.1</v>
      </c>
      <c r="E2860" s="5">
        <v>104.6</v>
      </c>
      <c r="F2860" s="5">
        <v>209</v>
      </c>
      <c r="G2860" s="5">
        <v>104.3</v>
      </c>
      <c r="H2860" s="5">
        <v>104.1</v>
      </c>
      <c r="I2860" s="5">
        <v>0</v>
      </c>
      <c r="J2860" s="5">
        <v>0</v>
      </c>
      <c r="K2860" s="5">
        <v>0</v>
      </c>
    </row>
    <row r="2861" spans="1:11" x14ac:dyDescent="0.25">
      <c r="A2861" s="5">
        <f>2854</f>
      </c>
      <c r="B2861" s="5" t="s">
        <v>2869</v>
      </c>
      <c r="C2861" s="5">
        <v>104.5</v>
      </c>
      <c r="D2861" s="5">
        <v>0.1</v>
      </c>
      <c r="E2861" s="5">
        <v>104.6</v>
      </c>
      <c r="F2861" s="5">
        <v>209</v>
      </c>
      <c r="G2861" s="5">
        <v>104.3</v>
      </c>
      <c r="H2861" s="5">
        <v>104.1</v>
      </c>
      <c r="I2861" s="5">
        <v>0</v>
      </c>
      <c r="J2861" s="5">
        <v>0</v>
      </c>
      <c r="K2861" s="5">
        <v>0</v>
      </c>
    </row>
    <row r="2862" spans="1:11" x14ac:dyDescent="0.25">
      <c r="A2862" s="5">
        <f>2855</f>
      </c>
      <c r="B2862" s="5" t="s">
        <v>2870</v>
      </c>
      <c r="C2862" s="5">
        <v>104.5</v>
      </c>
      <c r="D2862" s="5">
        <v>0.1</v>
      </c>
      <c r="E2862" s="5">
        <v>104.6</v>
      </c>
      <c r="F2862" s="5">
        <v>209</v>
      </c>
      <c r="G2862" s="5">
        <v>104.3</v>
      </c>
      <c r="H2862" s="5">
        <v>104.1</v>
      </c>
      <c r="I2862" s="5">
        <v>0</v>
      </c>
      <c r="J2862" s="5">
        <v>0</v>
      </c>
      <c r="K2862" s="5">
        <v>0</v>
      </c>
    </row>
    <row r="2863" spans="1:11" x14ac:dyDescent="0.25">
      <c r="A2863" s="5">
        <f>2856</f>
      </c>
      <c r="B2863" s="5" t="s">
        <v>2871</v>
      </c>
      <c r="C2863" s="5">
        <v>103.9</v>
      </c>
      <c r="D2863" s="5">
        <v>0.1</v>
      </c>
      <c r="E2863" s="5">
        <v>104</v>
      </c>
      <c r="F2863" s="5">
        <v>208.4</v>
      </c>
      <c r="G2863" s="5">
        <v>104</v>
      </c>
      <c r="H2863" s="5">
        <v>103.8</v>
      </c>
      <c r="I2863" s="5">
        <v>0</v>
      </c>
      <c r="J2863" s="5">
        <v>0</v>
      </c>
      <c r="K2863" s="5">
        <v>0</v>
      </c>
    </row>
    <row r="2864" spans="1:11" x14ac:dyDescent="0.25">
      <c r="A2864" s="5">
        <f>2857</f>
      </c>
      <c r="B2864" s="5" t="s">
        <v>2872</v>
      </c>
      <c r="C2864" s="5">
        <v>103.9</v>
      </c>
      <c r="D2864" s="5">
        <v>0.1</v>
      </c>
      <c r="E2864" s="5">
        <v>104</v>
      </c>
      <c r="F2864" s="5">
        <v>208.4</v>
      </c>
      <c r="G2864" s="5">
        <v>104</v>
      </c>
      <c r="H2864" s="5">
        <v>103.8</v>
      </c>
      <c r="I2864" s="5">
        <v>0</v>
      </c>
      <c r="J2864" s="5">
        <v>0</v>
      </c>
      <c r="K2864" s="5">
        <v>0</v>
      </c>
    </row>
    <row r="2865" spans="1:11" x14ac:dyDescent="0.25">
      <c r="A2865" s="5">
        <f>2858</f>
      </c>
      <c r="B2865" s="5" t="s">
        <v>2873</v>
      </c>
      <c r="C2865" s="5">
        <v>103.6</v>
      </c>
      <c r="D2865" s="5">
        <v>0.1</v>
      </c>
      <c r="E2865" s="5">
        <v>103.7</v>
      </c>
      <c r="F2865" s="5">
        <v>208.2</v>
      </c>
      <c r="G2865" s="5">
        <v>103.9</v>
      </c>
      <c r="H2865" s="5">
        <v>103.8</v>
      </c>
      <c r="I2865" s="5">
        <v>0</v>
      </c>
      <c r="J2865" s="5">
        <v>0</v>
      </c>
      <c r="K2865" s="5">
        <v>0</v>
      </c>
    </row>
    <row r="2866" spans="1:11" x14ac:dyDescent="0.25">
      <c r="A2866" s="5">
        <f>2859</f>
      </c>
      <c r="B2866" s="5" t="s">
        <v>2874</v>
      </c>
      <c r="C2866" s="5">
        <v>103.6</v>
      </c>
      <c r="D2866" s="5">
        <v>0.1</v>
      </c>
      <c r="E2866" s="5">
        <v>103.7</v>
      </c>
      <c r="F2866" s="5">
        <v>208.2</v>
      </c>
      <c r="G2866" s="5">
        <v>103.9</v>
      </c>
      <c r="H2866" s="5">
        <v>103.8</v>
      </c>
      <c r="I2866" s="5">
        <v>0</v>
      </c>
      <c r="J2866" s="5">
        <v>0</v>
      </c>
      <c r="K2866" s="5">
        <v>0</v>
      </c>
    </row>
    <row r="2867" spans="1:11" x14ac:dyDescent="0.25">
      <c r="A2867" s="5">
        <f>2860</f>
      </c>
      <c r="B2867" s="5" t="s">
        <v>2875</v>
      </c>
      <c r="C2867" s="5">
        <v>103.5</v>
      </c>
      <c r="D2867" s="5">
        <v>0.1</v>
      </c>
      <c r="E2867" s="5">
        <v>103.7</v>
      </c>
      <c r="F2867" s="5">
        <v>207</v>
      </c>
      <c r="G2867" s="5">
        <v>103.3</v>
      </c>
      <c r="H2867" s="5">
        <v>103.2</v>
      </c>
      <c r="I2867" s="5">
        <v>0</v>
      </c>
      <c r="J2867" s="5">
        <v>0</v>
      </c>
      <c r="K2867" s="5">
        <v>0</v>
      </c>
    </row>
    <row r="2868" spans="1:11" x14ac:dyDescent="0.25">
      <c r="A2868" s="5">
        <f>2861</f>
      </c>
      <c r="B2868" s="5" t="s">
        <v>2876</v>
      </c>
      <c r="C2868" s="5">
        <v>103.5</v>
      </c>
      <c r="D2868" s="5">
        <v>0.1</v>
      </c>
      <c r="E2868" s="5">
        <v>103.7</v>
      </c>
      <c r="F2868" s="5">
        <v>207</v>
      </c>
      <c r="G2868" s="5">
        <v>103.3</v>
      </c>
      <c r="H2868" s="5">
        <v>103.2</v>
      </c>
      <c r="I2868" s="5">
        <v>0</v>
      </c>
      <c r="J2868" s="5">
        <v>0</v>
      </c>
      <c r="K2868" s="5">
        <v>0</v>
      </c>
    </row>
    <row r="2869" spans="1:11" x14ac:dyDescent="0.25">
      <c r="A2869" s="5">
        <f>2862</f>
      </c>
      <c r="B2869" s="5" t="s">
        <v>2877</v>
      </c>
      <c r="C2869" s="5">
        <v>104.4</v>
      </c>
      <c r="D2869" s="5">
        <v>0.1</v>
      </c>
      <c r="E2869" s="5">
        <v>104.6</v>
      </c>
      <c r="F2869" s="5">
        <v>208.8</v>
      </c>
      <c r="G2869" s="5">
        <v>104.2</v>
      </c>
      <c r="H2869" s="5">
        <v>104.1</v>
      </c>
      <c r="I2869" s="5">
        <v>0</v>
      </c>
      <c r="J2869" s="5">
        <v>0</v>
      </c>
      <c r="K2869" s="5">
        <v>0</v>
      </c>
    </row>
    <row r="2870" spans="1:11" x14ac:dyDescent="0.25">
      <c r="A2870" s="5">
        <f>2863</f>
      </c>
      <c r="B2870" s="5" t="s">
        <v>2878</v>
      </c>
      <c r="C2870" s="5">
        <v>104.4</v>
      </c>
      <c r="D2870" s="5">
        <v>0.1</v>
      </c>
      <c r="E2870" s="5">
        <v>104.6</v>
      </c>
      <c r="F2870" s="5">
        <v>208.8</v>
      </c>
      <c r="G2870" s="5">
        <v>104.2</v>
      </c>
      <c r="H2870" s="5">
        <v>104.1</v>
      </c>
      <c r="I2870" s="5">
        <v>0</v>
      </c>
      <c r="J2870" s="5">
        <v>0</v>
      </c>
      <c r="K2870" s="5">
        <v>0</v>
      </c>
    </row>
    <row r="2871" spans="1:11" x14ac:dyDescent="0.25">
      <c r="A2871" s="5">
        <f>2864</f>
      </c>
      <c r="B2871" s="5" t="s">
        <v>2879</v>
      </c>
      <c r="C2871" s="5">
        <v>104.4</v>
      </c>
      <c r="D2871" s="5">
        <v>0.1</v>
      </c>
      <c r="E2871" s="5">
        <v>104.6</v>
      </c>
      <c r="F2871" s="5">
        <v>208.8</v>
      </c>
      <c r="G2871" s="5">
        <v>104.2</v>
      </c>
      <c r="H2871" s="5">
        <v>104.1</v>
      </c>
      <c r="I2871" s="5">
        <v>0</v>
      </c>
      <c r="J2871" s="5">
        <v>0</v>
      </c>
      <c r="K2871" s="5">
        <v>0</v>
      </c>
    </row>
    <row r="2872" spans="1:11" x14ac:dyDescent="0.25">
      <c r="A2872" s="5">
        <f>2865</f>
      </c>
      <c r="B2872" s="5" t="s">
        <v>2880</v>
      </c>
      <c r="C2872" s="5">
        <v>104.4</v>
      </c>
      <c r="D2872" s="5">
        <v>0.1</v>
      </c>
      <c r="E2872" s="5">
        <v>104.6</v>
      </c>
      <c r="F2872" s="5">
        <v>208.8</v>
      </c>
      <c r="G2872" s="5">
        <v>104.2</v>
      </c>
      <c r="H2872" s="5">
        <v>104.1</v>
      </c>
      <c r="I2872" s="5">
        <v>0</v>
      </c>
      <c r="J2872" s="5">
        <v>0</v>
      </c>
      <c r="K2872" s="5">
        <v>0</v>
      </c>
    </row>
    <row r="2873" spans="1:11" x14ac:dyDescent="0.25">
      <c r="A2873" s="5">
        <f>2866</f>
      </c>
      <c r="B2873" s="5" t="s">
        <v>2881</v>
      </c>
      <c r="C2873" s="5">
        <v>103.8</v>
      </c>
      <c r="D2873" s="5">
        <v>0.1</v>
      </c>
      <c r="E2873" s="5">
        <v>104</v>
      </c>
      <c r="F2873" s="5">
        <v>207.2</v>
      </c>
      <c r="G2873" s="5">
        <v>103.4</v>
      </c>
      <c r="H2873" s="5">
        <v>103.2</v>
      </c>
      <c r="I2873" s="5">
        <v>0</v>
      </c>
      <c r="J2873" s="5">
        <v>0</v>
      </c>
      <c r="K2873" s="5">
        <v>0</v>
      </c>
    </row>
    <row r="2874" spans="1:11" x14ac:dyDescent="0.25">
      <c r="A2874" s="5">
        <f>2867</f>
      </c>
      <c r="B2874" s="5" t="s">
        <v>2882</v>
      </c>
      <c r="C2874" s="5">
        <v>103.8</v>
      </c>
      <c r="D2874" s="5">
        <v>0.1</v>
      </c>
      <c r="E2874" s="5">
        <v>104</v>
      </c>
      <c r="F2874" s="5">
        <v>207.2</v>
      </c>
      <c r="G2874" s="5">
        <v>103.4</v>
      </c>
      <c r="H2874" s="5">
        <v>103.2</v>
      </c>
      <c r="I2874" s="5">
        <v>0</v>
      </c>
      <c r="J2874" s="5">
        <v>0</v>
      </c>
      <c r="K2874" s="5">
        <v>0</v>
      </c>
    </row>
    <row r="2875" spans="1:11" x14ac:dyDescent="0.25">
      <c r="A2875" s="5">
        <f>2868</f>
      </c>
      <c r="B2875" s="5" t="s">
        <v>2883</v>
      </c>
      <c r="C2875" s="5">
        <v>103.5</v>
      </c>
      <c r="D2875" s="5">
        <v>0.1</v>
      </c>
      <c r="E2875" s="5">
        <v>103.7</v>
      </c>
      <c r="F2875" s="5">
        <v>206.7</v>
      </c>
      <c r="G2875" s="5">
        <v>103.1</v>
      </c>
      <c r="H2875" s="5">
        <v>103</v>
      </c>
      <c r="I2875" s="5">
        <v>0</v>
      </c>
      <c r="J2875" s="5">
        <v>0</v>
      </c>
      <c r="K2875" s="5">
        <v>0</v>
      </c>
    </row>
    <row r="2876" spans="1:11" x14ac:dyDescent="0.25">
      <c r="A2876" s="5">
        <f>2869</f>
      </c>
      <c r="B2876" s="5" t="s">
        <v>2884</v>
      </c>
      <c r="C2876" s="5">
        <v>103.5</v>
      </c>
      <c r="D2876" s="5">
        <v>0.1</v>
      </c>
      <c r="E2876" s="5">
        <v>103.7</v>
      </c>
      <c r="F2876" s="5">
        <v>206.7</v>
      </c>
      <c r="G2876" s="5">
        <v>103.1</v>
      </c>
      <c r="H2876" s="5">
        <v>103</v>
      </c>
      <c r="I2876" s="5">
        <v>0</v>
      </c>
      <c r="J2876" s="5">
        <v>0</v>
      </c>
      <c r="K2876" s="5">
        <v>0</v>
      </c>
    </row>
    <row r="2877" spans="1:11" x14ac:dyDescent="0.25">
      <c r="A2877" s="5">
        <f>2870</f>
      </c>
      <c r="B2877" s="5" t="s">
        <v>2885</v>
      </c>
      <c r="C2877" s="5">
        <v>103.4</v>
      </c>
      <c r="D2877" s="5">
        <v>0.1</v>
      </c>
      <c r="E2877" s="5">
        <v>103.6</v>
      </c>
      <c r="F2877" s="5">
        <v>206.4</v>
      </c>
      <c r="G2877" s="5">
        <v>103</v>
      </c>
      <c r="H2877" s="5">
        <v>102.9</v>
      </c>
      <c r="I2877" s="5">
        <v>0</v>
      </c>
      <c r="J2877" s="5">
        <v>0</v>
      </c>
      <c r="K2877" s="5">
        <v>0</v>
      </c>
    </row>
    <row r="2878" spans="1:11" x14ac:dyDescent="0.25">
      <c r="A2878" s="5">
        <f>2871</f>
      </c>
      <c r="B2878" s="5" t="s">
        <v>2886</v>
      </c>
      <c r="C2878" s="5">
        <v>103.4</v>
      </c>
      <c r="D2878" s="5">
        <v>0.1</v>
      </c>
      <c r="E2878" s="5">
        <v>103.6</v>
      </c>
      <c r="F2878" s="5">
        <v>206.4</v>
      </c>
      <c r="G2878" s="5">
        <v>103</v>
      </c>
      <c r="H2878" s="5">
        <v>102.9</v>
      </c>
      <c r="I2878" s="5">
        <v>0</v>
      </c>
      <c r="J2878" s="5">
        <v>0</v>
      </c>
      <c r="K2878" s="5">
        <v>0</v>
      </c>
    </row>
    <row r="2879" spans="1:11" x14ac:dyDescent="0.25">
      <c r="A2879" s="5">
        <f>2872</f>
      </c>
      <c r="B2879" s="5" t="s">
        <v>2887</v>
      </c>
      <c r="C2879" s="5">
        <v>103.1</v>
      </c>
      <c r="D2879" s="5">
        <v>0.1</v>
      </c>
      <c r="E2879" s="5">
        <v>103.1</v>
      </c>
      <c r="F2879" s="5">
        <v>206.2</v>
      </c>
      <c r="G2879" s="5">
        <v>102.9</v>
      </c>
      <c r="H2879" s="5">
        <v>102.7</v>
      </c>
      <c r="I2879" s="5">
        <v>0</v>
      </c>
      <c r="J2879" s="5">
        <v>0</v>
      </c>
      <c r="K2879" s="5">
        <v>0</v>
      </c>
    </row>
    <row r="2880" spans="1:11" x14ac:dyDescent="0.25">
      <c r="A2880" s="5">
        <f>2873</f>
      </c>
      <c r="B2880" s="5" t="s">
        <v>2888</v>
      </c>
      <c r="C2880" s="5">
        <v>103.1</v>
      </c>
      <c r="D2880" s="5">
        <v>0.1</v>
      </c>
      <c r="E2880" s="5">
        <v>103.1</v>
      </c>
      <c r="F2880" s="5">
        <v>206.2</v>
      </c>
      <c r="G2880" s="5">
        <v>102.9</v>
      </c>
      <c r="H2880" s="5">
        <v>102.7</v>
      </c>
      <c r="I2880" s="5">
        <v>0</v>
      </c>
      <c r="J2880" s="5">
        <v>0</v>
      </c>
      <c r="K2880" s="5">
        <v>0</v>
      </c>
    </row>
    <row r="2881" spans="1:11" x14ac:dyDescent="0.25">
      <c r="A2881" s="5">
        <f>2874</f>
      </c>
      <c r="B2881" s="5" t="s">
        <v>2889</v>
      </c>
      <c r="C2881" s="5">
        <v>103.1</v>
      </c>
      <c r="D2881" s="5">
        <v>0.1</v>
      </c>
      <c r="E2881" s="5">
        <v>103.1</v>
      </c>
      <c r="F2881" s="5">
        <v>206.2</v>
      </c>
      <c r="G2881" s="5">
        <v>102.9</v>
      </c>
      <c r="H2881" s="5">
        <v>102.7</v>
      </c>
      <c r="I2881" s="5">
        <v>0</v>
      </c>
      <c r="J2881" s="5">
        <v>0</v>
      </c>
      <c r="K2881" s="5">
        <v>0</v>
      </c>
    </row>
    <row r="2882" spans="1:11" x14ac:dyDescent="0.25">
      <c r="A2882" s="5">
        <f>2875</f>
      </c>
      <c r="B2882" s="5" t="s">
        <v>2890</v>
      </c>
      <c r="C2882" s="5">
        <v>103.1</v>
      </c>
      <c r="D2882" s="5">
        <v>0.1</v>
      </c>
      <c r="E2882" s="5">
        <v>103.1</v>
      </c>
      <c r="F2882" s="5">
        <v>206.2</v>
      </c>
      <c r="G2882" s="5">
        <v>102.9</v>
      </c>
      <c r="H2882" s="5">
        <v>102.7</v>
      </c>
      <c r="I2882" s="5">
        <v>0</v>
      </c>
      <c r="J2882" s="5">
        <v>0</v>
      </c>
      <c r="K2882" s="5">
        <v>0</v>
      </c>
    </row>
    <row r="2883" spans="1:11" x14ac:dyDescent="0.25">
      <c r="A2883" s="5">
        <f>2876</f>
      </c>
      <c r="B2883" s="5" t="s">
        <v>2891</v>
      </c>
      <c r="C2883" s="5">
        <v>103.3</v>
      </c>
      <c r="D2883" s="5">
        <v>0.1</v>
      </c>
      <c r="E2883" s="5">
        <v>103.4</v>
      </c>
      <c r="F2883" s="5">
        <v>205.5</v>
      </c>
      <c r="G2883" s="5">
        <v>102.5</v>
      </c>
      <c r="H2883" s="5">
        <v>102.4</v>
      </c>
      <c r="I2883" s="5">
        <v>0</v>
      </c>
      <c r="J2883" s="5">
        <v>0</v>
      </c>
      <c r="K2883" s="5">
        <v>0</v>
      </c>
    </row>
    <row r="2884" spans="1:11" x14ac:dyDescent="0.25">
      <c r="A2884" s="5">
        <f>2877</f>
      </c>
      <c r="B2884" s="5" t="s">
        <v>2892</v>
      </c>
      <c r="C2884" s="5">
        <v>103.3</v>
      </c>
      <c r="D2884" s="5">
        <v>0.1</v>
      </c>
      <c r="E2884" s="5">
        <v>103.4</v>
      </c>
      <c r="F2884" s="5">
        <v>205.5</v>
      </c>
      <c r="G2884" s="5">
        <v>102.5</v>
      </c>
      <c r="H2884" s="5">
        <v>102.4</v>
      </c>
      <c r="I2884" s="5">
        <v>0</v>
      </c>
      <c r="J2884" s="5">
        <v>0</v>
      </c>
      <c r="K2884" s="5">
        <v>0</v>
      </c>
    </row>
    <row r="2885" spans="1:11" x14ac:dyDescent="0.25">
      <c r="A2885" s="5">
        <f>2878</f>
      </c>
      <c r="B2885" s="5" t="s">
        <v>2893</v>
      </c>
      <c r="C2885" s="5">
        <v>102.8</v>
      </c>
      <c r="D2885" s="5">
        <v>0.1</v>
      </c>
      <c r="E2885" s="5">
        <v>103</v>
      </c>
      <c r="F2885" s="5">
        <v>205.4</v>
      </c>
      <c r="G2885" s="5">
        <v>102.4</v>
      </c>
      <c r="H2885" s="5">
        <v>102.3</v>
      </c>
      <c r="I2885" s="5">
        <v>0</v>
      </c>
      <c r="J2885" s="5">
        <v>0</v>
      </c>
      <c r="K2885" s="5">
        <v>0</v>
      </c>
    </row>
    <row r="2886" spans="1:11" x14ac:dyDescent="0.25">
      <c r="A2886" s="5">
        <f>2879</f>
      </c>
      <c r="B2886" s="5" t="s">
        <v>2894</v>
      </c>
      <c r="C2886" s="5">
        <v>102.8</v>
      </c>
      <c r="D2886" s="5">
        <v>0.1</v>
      </c>
      <c r="E2886" s="5">
        <v>103</v>
      </c>
      <c r="F2886" s="5">
        <v>205.4</v>
      </c>
      <c r="G2886" s="5">
        <v>102.4</v>
      </c>
      <c r="H2886" s="5">
        <v>102.3</v>
      </c>
      <c r="I2886" s="5">
        <v>0</v>
      </c>
      <c r="J2886" s="5">
        <v>0</v>
      </c>
      <c r="K2886" s="5">
        <v>0</v>
      </c>
    </row>
    <row r="2887" spans="1:11" x14ac:dyDescent="0.25">
      <c r="A2887" s="5">
        <f>2880</f>
      </c>
      <c r="B2887" s="5" t="s">
        <v>2895</v>
      </c>
      <c r="C2887" s="5">
        <v>103.7</v>
      </c>
      <c r="D2887" s="5">
        <v>0.1</v>
      </c>
      <c r="E2887" s="5">
        <v>103.9</v>
      </c>
      <c r="F2887" s="5">
        <v>206.6</v>
      </c>
      <c r="G2887" s="5">
        <v>103.1</v>
      </c>
      <c r="H2887" s="5">
        <v>103</v>
      </c>
      <c r="I2887" s="5">
        <v>0</v>
      </c>
      <c r="J2887" s="5">
        <v>0</v>
      </c>
      <c r="K2887" s="5">
        <v>0</v>
      </c>
    </row>
    <row r="2888" spans="1:11" x14ac:dyDescent="0.25">
      <c r="A2888" s="5">
        <f>2881</f>
      </c>
      <c r="B2888" s="5" t="s">
        <v>2896</v>
      </c>
      <c r="C2888" s="5">
        <v>103.7</v>
      </c>
      <c r="D2888" s="5">
        <v>0.1</v>
      </c>
      <c r="E2888" s="5">
        <v>103.9</v>
      </c>
      <c r="F2888" s="5">
        <v>206.6</v>
      </c>
      <c r="G2888" s="5">
        <v>103.1</v>
      </c>
      <c r="H2888" s="5">
        <v>103</v>
      </c>
      <c r="I2888" s="5">
        <v>0</v>
      </c>
      <c r="J2888" s="5">
        <v>0</v>
      </c>
      <c r="K2888" s="5">
        <v>0</v>
      </c>
    </row>
    <row r="2889" spans="1:11" x14ac:dyDescent="0.25">
      <c r="A2889" s="5">
        <f>2882</f>
      </c>
      <c r="B2889" s="5" t="s">
        <v>2897</v>
      </c>
      <c r="C2889" s="5">
        <v>103.1</v>
      </c>
      <c r="D2889" s="5">
        <v>0.1</v>
      </c>
      <c r="E2889" s="5">
        <v>103.2</v>
      </c>
      <c r="F2889" s="5">
        <v>205.9</v>
      </c>
      <c r="G2889" s="5">
        <v>102.8</v>
      </c>
      <c r="H2889" s="5">
        <v>102.6</v>
      </c>
      <c r="I2889" s="5">
        <v>0</v>
      </c>
      <c r="J2889" s="5">
        <v>0</v>
      </c>
      <c r="K2889" s="5">
        <v>0</v>
      </c>
    </row>
    <row r="2890" spans="1:11" x14ac:dyDescent="0.25">
      <c r="A2890" s="5">
        <f>2883</f>
      </c>
      <c r="B2890" s="5" t="s">
        <v>2898</v>
      </c>
      <c r="C2890" s="5">
        <v>103.1</v>
      </c>
      <c r="D2890" s="5">
        <v>0.1</v>
      </c>
      <c r="E2890" s="5">
        <v>103.2</v>
      </c>
      <c r="F2890" s="5">
        <v>205.9</v>
      </c>
      <c r="G2890" s="5">
        <v>102.8</v>
      </c>
      <c r="H2890" s="5">
        <v>102.6</v>
      </c>
      <c r="I2890" s="5">
        <v>0</v>
      </c>
      <c r="J2890" s="5">
        <v>0</v>
      </c>
      <c r="K2890" s="5">
        <v>0</v>
      </c>
    </row>
    <row r="2891" spans="1:11" x14ac:dyDescent="0.25">
      <c r="A2891" s="5">
        <f>2884</f>
      </c>
      <c r="B2891" s="5" t="s">
        <v>2899</v>
      </c>
      <c r="C2891" s="5">
        <v>103.1</v>
      </c>
      <c r="D2891" s="5">
        <v>0.1</v>
      </c>
      <c r="E2891" s="5">
        <v>103.2</v>
      </c>
      <c r="F2891" s="5">
        <v>205.9</v>
      </c>
      <c r="G2891" s="5">
        <v>102.8</v>
      </c>
      <c r="H2891" s="5">
        <v>102.6</v>
      </c>
      <c r="I2891" s="5">
        <v>0</v>
      </c>
      <c r="J2891" s="5">
        <v>0</v>
      </c>
      <c r="K2891" s="5">
        <v>0</v>
      </c>
    </row>
    <row r="2892" spans="1:11" x14ac:dyDescent="0.25">
      <c r="A2892" s="5">
        <f>2885</f>
      </c>
      <c r="B2892" s="5" t="s">
        <v>2900</v>
      </c>
      <c r="C2892" s="5">
        <v>103.1</v>
      </c>
      <c r="D2892" s="5">
        <v>0.1</v>
      </c>
      <c r="E2892" s="5">
        <v>103.2</v>
      </c>
      <c r="F2892" s="5">
        <v>205.9</v>
      </c>
      <c r="G2892" s="5">
        <v>102.8</v>
      </c>
      <c r="H2892" s="5">
        <v>102.6</v>
      </c>
      <c r="I2892" s="5">
        <v>0</v>
      </c>
      <c r="J2892" s="5">
        <v>0</v>
      </c>
      <c r="K2892" s="5">
        <v>0</v>
      </c>
    </row>
    <row r="2893" spans="1:11" x14ac:dyDescent="0.25">
      <c r="A2893" s="5">
        <f>2886</f>
      </c>
      <c r="B2893" s="5" t="s">
        <v>2901</v>
      </c>
      <c r="C2893" s="5">
        <v>102.1</v>
      </c>
      <c r="D2893" s="5">
        <v>0.1</v>
      </c>
      <c r="E2893" s="5">
        <v>102.3</v>
      </c>
      <c r="F2893" s="5">
        <v>203.6</v>
      </c>
      <c r="G2893" s="5">
        <v>101.6</v>
      </c>
      <c r="H2893" s="5">
        <v>101.5</v>
      </c>
      <c r="I2893" s="5">
        <v>0</v>
      </c>
      <c r="J2893" s="5">
        <v>0</v>
      </c>
      <c r="K2893" s="5">
        <v>0</v>
      </c>
    </row>
    <row r="2894" spans="1:11" x14ac:dyDescent="0.25">
      <c r="A2894" s="5">
        <f>2887</f>
      </c>
      <c r="B2894" s="5" t="s">
        <v>2902</v>
      </c>
      <c r="C2894" s="5">
        <v>102.1</v>
      </c>
      <c r="D2894" s="5">
        <v>0.1</v>
      </c>
      <c r="E2894" s="5">
        <v>102.3</v>
      </c>
      <c r="F2894" s="5">
        <v>203.6</v>
      </c>
      <c r="G2894" s="5">
        <v>101.6</v>
      </c>
      <c r="H2894" s="5">
        <v>101.5</v>
      </c>
      <c r="I2894" s="5">
        <v>0</v>
      </c>
      <c r="J2894" s="5">
        <v>0</v>
      </c>
      <c r="K2894" s="5">
        <v>0</v>
      </c>
    </row>
    <row r="2895" spans="1:11" x14ac:dyDescent="0.25">
      <c r="A2895" s="5">
        <f>2888</f>
      </c>
      <c r="B2895" s="5" t="s">
        <v>2903</v>
      </c>
      <c r="C2895" s="5">
        <v>101.7</v>
      </c>
      <c r="D2895" s="5">
        <v>0.1</v>
      </c>
      <c r="E2895" s="5">
        <v>101.8</v>
      </c>
      <c r="F2895" s="5">
        <v>203.5</v>
      </c>
      <c r="G2895" s="5">
        <v>101.5</v>
      </c>
      <c r="H2895" s="5">
        <v>101.4</v>
      </c>
      <c r="I2895" s="5">
        <v>0</v>
      </c>
      <c r="J2895" s="5">
        <v>0</v>
      </c>
      <c r="K2895" s="5">
        <v>0</v>
      </c>
    </row>
    <row r="2896" spans="1:11" x14ac:dyDescent="0.25">
      <c r="A2896" s="5">
        <f>2889</f>
      </c>
      <c r="B2896" s="5" t="s">
        <v>2904</v>
      </c>
      <c r="C2896" s="5">
        <v>101.7</v>
      </c>
      <c r="D2896" s="5">
        <v>0.1</v>
      </c>
      <c r="E2896" s="5">
        <v>101.8</v>
      </c>
      <c r="F2896" s="5">
        <v>203.5</v>
      </c>
      <c r="G2896" s="5">
        <v>101.5</v>
      </c>
      <c r="H2896" s="5">
        <v>101.4</v>
      </c>
      <c r="I2896" s="5">
        <v>0</v>
      </c>
      <c r="J2896" s="5">
        <v>0</v>
      </c>
      <c r="K2896" s="5">
        <v>0</v>
      </c>
    </row>
    <row r="2897" spans="1:11" x14ac:dyDescent="0.25">
      <c r="A2897" s="5">
        <f>2890</f>
      </c>
      <c r="B2897" s="5" t="s">
        <v>2905</v>
      </c>
      <c r="C2897" s="5">
        <v>102</v>
      </c>
      <c r="D2897" s="5">
        <v>0.1</v>
      </c>
      <c r="E2897" s="5">
        <v>102.1</v>
      </c>
      <c r="F2897" s="5">
        <v>204.6</v>
      </c>
      <c r="G2897" s="5">
        <v>102</v>
      </c>
      <c r="H2897" s="5">
        <v>101.8</v>
      </c>
      <c r="I2897" s="5">
        <v>0</v>
      </c>
      <c r="J2897" s="5">
        <v>0</v>
      </c>
      <c r="K2897" s="5">
        <v>0</v>
      </c>
    </row>
    <row r="2898" spans="1:11" x14ac:dyDescent="0.25">
      <c r="A2898" s="5">
        <f>2891</f>
      </c>
      <c r="B2898" s="5" t="s">
        <v>2906</v>
      </c>
      <c r="C2898" s="5">
        <v>102</v>
      </c>
      <c r="D2898" s="5">
        <v>0.1</v>
      </c>
      <c r="E2898" s="5">
        <v>102.1</v>
      </c>
      <c r="F2898" s="5">
        <v>204.6</v>
      </c>
      <c r="G2898" s="5">
        <v>102</v>
      </c>
      <c r="H2898" s="5">
        <v>101.8</v>
      </c>
      <c r="I2898" s="5">
        <v>0</v>
      </c>
      <c r="J2898" s="5">
        <v>0</v>
      </c>
      <c r="K2898" s="5">
        <v>0</v>
      </c>
    </row>
    <row r="2899" spans="1:11" x14ac:dyDescent="0.25">
      <c r="A2899" s="5">
        <f>2892</f>
      </c>
      <c r="B2899" s="5" t="s">
        <v>2907</v>
      </c>
      <c r="C2899" s="5">
        <v>102.8</v>
      </c>
      <c r="D2899" s="5">
        <v>0.1</v>
      </c>
      <c r="E2899" s="5">
        <v>103</v>
      </c>
      <c r="F2899" s="5">
        <v>205.8</v>
      </c>
      <c r="G2899" s="5">
        <v>102.7</v>
      </c>
      <c r="H2899" s="5">
        <v>102.5</v>
      </c>
      <c r="I2899" s="5">
        <v>0</v>
      </c>
      <c r="J2899" s="5">
        <v>0</v>
      </c>
      <c r="K2899" s="5">
        <v>0</v>
      </c>
    </row>
    <row r="2900" spans="1:11" x14ac:dyDescent="0.25">
      <c r="A2900" s="5">
        <f>2893</f>
      </c>
      <c r="B2900" s="5" t="s">
        <v>2908</v>
      </c>
      <c r="C2900" s="5">
        <v>102.8</v>
      </c>
      <c r="D2900" s="5">
        <v>0.1</v>
      </c>
      <c r="E2900" s="5">
        <v>103</v>
      </c>
      <c r="F2900" s="5">
        <v>205.8</v>
      </c>
      <c r="G2900" s="5">
        <v>102.7</v>
      </c>
      <c r="H2900" s="5">
        <v>102.5</v>
      </c>
      <c r="I2900" s="5">
        <v>0</v>
      </c>
      <c r="J2900" s="5">
        <v>0</v>
      </c>
      <c r="K2900" s="5">
        <v>0</v>
      </c>
    </row>
    <row r="2901" spans="1:11" x14ac:dyDescent="0.25">
      <c r="A2901" s="5">
        <f>2894</f>
      </c>
      <c r="B2901" s="5" t="s">
        <v>2909</v>
      </c>
      <c r="C2901" s="5">
        <v>102.8</v>
      </c>
      <c r="D2901" s="5">
        <v>0.1</v>
      </c>
      <c r="E2901" s="5">
        <v>103</v>
      </c>
      <c r="F2901" s="5">
        <v>205.8</v>
      </c>
      <c r="G2901" s="5">
        <v>102.7</v>
      </c>
      <c r="H2901" s="5">
        <v>102.5</v>
      </c>
      <c r="I2901" s="5">
        <v>0</v>
      </c>
      <c r="J2901" s="5">
        <v>0</v>
      </c>
      <c r="K2901" s="5">
        <v>0</v>
      </c>
    </row>
    <row r="2902" spans="1:11" x14ac:dyDescent="0.25">
      <c r="A2902" s="5">
        <f>2895</f>
      </c>
      <c r="B2902" s="5" t="s">
        <v>2910</v>
      </c>
      <c r="C2902" s="5">
        <v>102.8</v>
      </c>
      <c r="D2902" s="5">
        <v>0.1</v>
      </c>
      <c r="E2902" s="5">
        <v>103</v>
      </c>
      <c r="F2902" s="5">
        <v>205.8</v>
      </c>
      <c r="G2902" s="5">
        <v>102.7</v>
      </c>
      <c r="H2902" s="5">
        <v>102.5</v>
      </c>
      <c r="I2902" s="5">
        <v>0</v>
      </c>
      <c r="J2902" s="5">
        <v>0</v>
      </c>
      <c r="K2902" s="5">
        <v>0</v>
      </c>
    </row>
    <row r="2903" spans="1:11" x14ac:dyDescent="0.25">
      <c r="A2903" s="5">
        <f>2896</f>
      </c>
      <c r="B2903" s="5" t="s">
        <v>2911</v>
      </c>
      <c r="C2903" s="5">
        <v>102.8</v>
      </c>
      <c r="D2903" s="5">
        <v>0.1</v>
      </c>
      <c r="E2903" s="5">
        <v>103</v>
      </c>
      <c r="F2903" s="5">
        <v>205.8</v>
      </c>
      <c r="G2903" s="5">
        <v>102.7</v>
      </c>
      <c r="H2903" s="5">
        <v>102.5</v>
      </c>
      <c r="I2903" s="5">
        <v>0</v>
      </c>
      <c r="J2903" s="5">
        <v>0</v>
      </c>
      <c r="K2903" s="5">
        <v>0</v>
      </c>
    </row>
    <row r="2904" spans="1:11" x14ac:dyDescent="0.25">
      <c r="A2904" s="5">
        <f>2897</f>
      </c>
      <c r="B2904" s="5" t="s">
        <v>2912</v>
      </c>
      <c r="C2904" s="5">
        <v>102.8</v>
      </c>
      <c r="D2904" s="5">
        <v>0.1</v>
      </c>
      <c r="E2904" s="5">
        <v>103</v>
      </c>
      <c r="F2904" s="5">
        <v>205.8</v>
      </c>
      <c r="G2904" s="5">
        <v>102.7</v>
      </c>
      <c r="H2904" s="5">
        <v>102.5</v>
      </c>
      <c r="I2904" s="5">
        <v>0</v>
      </c>
      <c r="J2904" s="5">
        <v>0</v>
      </c>
      <c r="K2904" s="5">
        <v>0</v>
      </c>
    </row>
    <row r="2905" spans="1:11" x14ac:dyDescent="0.25">
      <c r="A2905" s="5">
        <f>2898</f>
      </c>
      <c r="B2905" s="5" t="s">
        <v>2913</v>
      </c>
      <c r="C2905" s="5">
        <v>103.1</v>
      </c>
      <c r="D2905" s="5">
        <v>0.1</v>
      </c>
      <c r="E2905" s="5">
        <v>103.3</v>
      </c>
      <c r="F2905" s="5">
        <v>206</v>
      </c>
      <c r="G2905" s="5">
        <v>102.7</v>
      </c>
      <c r="H2905" s="5">
        <v>102.6</v>
      </c>
      <c r="I2905" s="5">
        <v>0</v>
      </c>
      <c r="J2905" s="5">
        <v>0</v>
      </c>
      <c r="K2905" s="5">
        <v>0</v>
      </c>
    </row>
    <row r="2906" spans="1:11" x14ac:dyDescent="0.25">
      <c r="A2906" s="5">
        <f>2899</f>
      </c>
      <c r="B2906" s="5" t="s">
        <v>2914</v>
      </c>
      <c r="C2906" s="5">
        <v>103.1</v>
      </c>
      <c r="D2906" s="5">
        <v>0.1</v>
      </c>
      <c r="E2906" s="5">
        <v>103.3</v>
      </c>
      <c r="F2906" s="5">
        <v>206</v>
      </c>
      <c r="G2906" s="5">
        <v>102.7</v>
      </c>
      <c r="H2906" s="5">
        <v>102.6</v>
      </c>
      <c r="I2906" s="5">
        <v>0</v>
      </c>
      <c r="J2906" s="5">
        <v>0</v>
      </c>
      <c r="K2906" s="5">
        <v>0</v>
      </c>
    </row>
    <row r="2907" spans="1:11" x14ac:dyDescent="0.25">
      <c r="A2907" s="5">
        <f>2900</f>
      </c>
      <c r="B2907" s="5" t="s">
        <v>2915</v>
      </c>
      <c r="C2907" s="5">
        <v>102.2</v>
      </c>
      <c r="D2907" s="5">
        <v>0.1</v>
      </c>
      <c r="E2907" s="5">
        <v>102.4</v>
      </c>
      <c r="F2907" s="5">
        <v>204.3</v>
      </c>
      <c r="G2907" s="5">
        <v>102</v>
      </c>
      <c r="H2907" s="5">
        <v>101.8</v>
      </c>
      <c r="I2907" s="5">
        <v>0</v>
      </c>
      <c r="J2907" s="5">
        <v>0</v>
      </c>
      <c r="K2907" s="5">
        <v>0</v>
      </c>
    </row>
    <row r="2908" spans="1:11" x14ac:dyDescent="0.25">
      <c r="A2908" s="5">
        <f>2901</f>
      </c>
      <c r="B2908" s="5" t="s">
        <v>2916</v>
      </c>
      <c r="C2908" s="5">
        <v>102.2</v>
      </c>
      <c r="D2908" s="5">
        <v>0.1</v>
      </c>
      <c r="E2908" s="5">
        <v>102.4</v>
      </c>
      <c r="F2908" s="5">
        <v>204.3</v>
      </c>
      <c r="G2908" s="5">
        <v>102</v>
      </c>
      <c r="H2908" s="5">
        <v>101.8</v>
      </c>
      <c r="I2908" s="5">
        <v>0</v>
      </c>
      <c r="J2908" s="5">
        <v>0</v>
      </c>
      <c r="K2908" s="5">
        <v>0</v>
      </c>
    </row>
    <row r="2909" spans="1:11" x14ac:dyDescent="0.25">
      <c r="A2909" s="5">
        <f>2902</f>
      </c>
      <c r="B2909" s="5" t="s">
        <v>2917</v>
      </c>
      <c r="C2909" s="5">
        <v>102.4</v>
      </c>
      <c r="D2909" s="5">
        <v>0.1</v>
      </c>
      <c r="E2909" s="5">
        <v>102.6</v>
      </c>
      <c r="F2909" s="5">
        <v>204.9</v>
      </c>
      <c r="G2909" s="5">
        <v>102.2</v>
      </c>
      <c r="H2909" s="5">
        <v>102</v>
      </c>
      <c r="I2909" s="5">
        <v>0</v>
      </c>
      <c r="J2909" s="5">
        <v>0</v>
      </c>
      <c r="K2909" s="5">
        <v>0</v>
      </c>
    </row>
    <row r="2910" spans="1:11" x14ac:dyDescent="0.25">
      <c r="A2910" s="5">
        <f>2903</f>
      </c>
      <c r="B2910" s="5" t="s">
        <v>2918</v>
      </c>
      <c r="C2910" s="5">
        <v>102.4</v>
      </c>
      <c r="D2910" s="5">
        <v>0.1</v>
      </c>
      <c r="E2910" s="5">
        <v>102.6</v>
      </c>
      <c r="F2910" s="5">
        <v>204.9</v>
      </c>
      <c r="G2910" s="5">
        <v>102.2</v>
      </c>
      <c r="H2910" s="5">
        <v>102</v>
      </c>
      <c r="I2910" s="5">
        <v>0</v>
      </c>
      <c r="J2910" s="5">
        <v>0</v>
      </c>
      <c r="K2910" s="5">
        <v>0</v>
      </c>
    </row>
    <row r="2911" spans="1:11" x14ac:dyDescent="0.25">
      <c r="A2911" s="5">
        <f>2904</f>
      </c>
      <c r="B2911" s="5" t="s">
        <v>2919</v>
      </c>
      <c r="C2911" s="5">
        <v>102.4</v>
      </c>
      <c r="D2911" s="5">
        <v>0.1</v>
      </c>
      <c r="E2911" s="5">
        <v>102.6</v>
      </c>
      <c r="F2911" s="5">
        <v>204.9</v>
      </c>
      <c r="G2911" s="5">
        <v>102.2</v>
      </c>
      <c r="H2911" s="5">
        <v>102</v>
      </c>
      <c r="I2911" s="5">
        <v>0</v>
      </c>
      <c r="J2911" s="5">
        <v>0</v>
      </c>
      <c r="K2911" s="5">
        <v>0</v>
      </c>
    </row>
    <row r="2912" spans="1:11" x14ac:dyDescent="0.25">
      <c r="A2912" s="5">
        <f>2905</f>
      </c>
      <c r="B2912" s="5" t="s">
        <v>2920</v>
      </c>
      <c r="C2912" s="5">
        <v>102.4</v>
      </c>
      <c r="D2912" s="5">
        <v>0.1</v>
      </c>
      <c r="E2912" s="5">
        <v>102.6</v>
      </c>
      <c r="F2912" s="5">
        <v>204.9</v>
      </c>
      <c r="G2912" s="5">
        <v>102.2</v>
      </c>
      <c r="H2912" s="5">
        <v>102</v>
      </c>
      <c r="I2912" s="5">
        <v>0</v>
      </c>
      <c r="J2912" s="5">
        <v>0</v>
      </c>
      <c r="K2912" s="5">
        <v>0</v>
      </c>
    </row>
    <row r="2913" spans="1:11" x14ac:dyDescent="0.25">
      <c r="A2913" s="5">
        <f>2906</f>
      </c>
      <c r="B2913" s="5" t="s">
        <v>2921</v>
      </c>
      <c r="C2913" s="5">
        <v>103.5</v>
      </c>
      <c r="D2913" s="5">
        <v>0.1</v>
      </c>
      <c r="E2913" s="5">
        <v>103.7</v>
      </c>
      <c r="F2913" s="5">
        <v>206</v>
      </c>
      <c r="G2913" s="5">
        <v>102.8</v>
      </c>
      <c r="H2913" s="5">
        <v>102.6</v>
      </c>
      <c r="I2913" s="5">
        <v>0</v>
      </c>
      <c r="J2913" s="5">
        <v>0</v>
      </c>
      <c r="K2913" s="5">
        <v>0</v>
      </c>
    </row>
    <row r="2914" spans="1:11" x14ac:dyDescent="0.25">
      <c r="A2914" s="5">
        <f>2907</f>
      </c>
      <c r="B2914" s="5" t="s">
        <v>2922</v>
      </c>
      <c r="C2914" s="5">
        <v>103.5</v>
      </c>
      <c r="D2914" s="5">
        <v>0.1</v>
      </c>
      <c r="E2914" s="5">
        <v>103.7</v>
      </c>
      <c r="F2914" s="5">
        <v>206</v>
      </c>
      <c r="G2914" s="5">
        <v>102.8</v>
      </c>
      <c r="H2914" s="5">
        <v>102.6</v>
      </c>
      <c r="I2914" s="5">
        <v>0</v>
      </c>
      <c r="J2914" s="5">
        <v>0</v>
      </c>
      <c r="K2914" s="5">
        <v>0</v>
      </c>
    </row>
    <row r="2915" spans="1:11" x14ac:dyDescent="0.25">
      <c r="A2915" s="5">
        <f>2908</f>
      </c>
      <c r="B2915" s="5" t="s">
        <v>2923</v>
      </c>
      <c r="C2915" s="5">
        <v>102.7</v>
      </c>
      <c r="D2915" s="5">
        <v>0.1</v>
      </c>
      <c r="E2915" s="5">
        <v>102.8</v>
      </c>
      <c r="F2915" s="5">
        <v>204.6</v>
      </c>
      <c r="G2915" s="5">
        <v>102.1</v>
      </c>
      <c r="H2915" s="5">
        <v>101.9</v>
      </c>
      <c r="I2915" s="5">
        <v>0</v>
      </c>
      <c r="J2915" s="5">
        <v>0</v>
      </c>
      <c r="K2915" s="5">
        <v>0</v>
      </c>
    </row>
    <row r="2916" spans="1:11" x14ac:dyDescent="0.25">
      <c r="A2916" s="5">
        <f>2909</f>
      </c>
      <c r="B2916" s="5" t="s">
        <v>2924</v>
      </c>
      <c r="C2916" s="5">
        <v>102.7</v>
      </c>
      <c r="D2916" s="5">
        <v>0.1</v>
      </c>
      <c r="E2916" s="5">
        <v>102.8</v>
      </c>
      <c r="F2916" s="5">
        <v>204.6</v>
      </c>
      <c r="G2916" s="5">
        <v>102.1</v>
      </c>
      <c r="H2916" s="5">
        <v>101.9</v>
      </c>
      <c r="I2916" s="5">
        <v>0</v>
      </c>
      <c r="J2916" s="5">
        <v>0</v>
      </c>
      <c r="K2916" s="5">
        <v>0</v>
      </c>
    </row>
    <row r="2917" spans="1:11" x14ac:dyDescent="0.25">
      <c r="A2917" s="5">
        <f>2910</f>
      </c>
      <c r="B2917" s="5" t="s">
        <v>2925</v>
      </c>
      <c r="C2917" s="5">
        <v>103.5</v>
      </c>
      <c r="D2917" s="5">
        <v>0.1</v>
      </c>
      <c r="E2917" s="5">
        <v>103.7</v>
      </c>
      <c r="F2917" s="5">
        <v>206.7</v>
      </c>
      <c r="G2917" s="5">
        <v>103.1</v>
      </c>
      <c r="H2917" s="5">
        <v>103</v>
      </c>
      <c r="I2917" s="5">
        <v>0</v>
      </c>
      <c r="J2917" s="5">
        <v>0</v>
      </c>
      <c r="K2917" s="5">
        <v>0</v>
      </c>
    </row>
    <row r="2918" spans="1:11" x14ac:dyDescent="0.25">
      <c r="A2918" s="5">
        <f>2911</f>
      </c>
      <c r="B2918" s="5" t="s">
        <v>2926</v>
      </c>
      <c r="C2918" s="5">
        <v>103.5</v>
      </c>
      <c r="D2918" s="5">
        <v>0.1</v>
      </c>
      <c r="E2918" s="5">
        <v>103.7</v>
      </c>
      <c r="F2918" s="5">
        <v>206.7</v>
      </c>
      <c r="G2918" s="5">
        <v>103.1</v>
      </c>
      <c r="H2918" s="5">
        <v>103</v>
      </c>
      <c r="I2918" s="5">
        <v>0</v>
      </c>
      <c r="J2918" s="5">
        <v>0</v>
      </c>
      <c r="K2918" s="5">
        <v>0</v>
      </c>
    </row>
    <row r="2919" spans="1:11" x14ac:dyDescent="0.25">
      <c r="A2919" s="5">
        <f>2912</f>
      </c>
      <c r="B2919" s="5" t="s">
        <v>2927</v>
      </c>
      <c r="C2919" s="5">
        <v>103.7</v>
      </c>
      <c r="D2919" s="5">
        <v>0.1</v>
      </c>
      <c r="E2919" s="5">
        <v>103.8</v>
      </c>
      <c r="F2919" s="5">
        <v>206.8</v>
      </c>
      <c r="G2919" s="5">
        <v>103.2</v>
      </c>
      <c r="H2919" s="5">
        <v>103.1</v>
      </c>
      <c r="I2919" s="5">
        <v>0</v>
      </c>
      <c r="J2919" s="5">
        <v>0</v>
      </c>
      <c r="K2919" s="5">
        <v>0</v>
      </c>
    </row>
    <row r="2920" spans="1:11" x14ac:dyDescent="0.25">
      <c r="A2920" s="5">
        <f>2913</f>
      </c>
      <c r="B2920" s="5" t="s">
        <v>2928</v>
      </c>
      <c r="C2920" s="5">
        <v>103.7</v>
      </c>
      <c r="D2920" s="5">
        <v>0.1</v>
      </c>
      <c r="E2920" s="5">
        <v>103.8</v>
      </c>
      <c r="F2920" s="5">
        <v>206.8</v>
      </c>
      <c r="G2920" s="5">
        <v>103.2</v>
      </c>
      <c r="H2920" s="5">
        <v>103.1</v>
      </c>
      <c r="I2920" s="5">
        <v>0</v>
      </c>
      <c r="J2920" s="5">
        <v>0</v>
      </c>
      <c r="K2920" s="5">
        <v>0</v>
      </c>
    </row>
    <row r="2921" spans="1:11" x14ac:dyDescent="0.25">
      <c r="A2921" s="5">
        <f>2914</f>
      </c>
      <c r="B2921" s="5" t="s">
        <v>2929</v>
      </c>
      <c r="C2921" s="5">
        <v>103.7</v>
      </c>
      <c r="D2921" s="5">
        <v>0.1</v>
      </c>
      <c r="E2921" s="5">
        <v>103.8</v>
      </c>
      <c r="F2921" s="5">
        <v>206.8</v>
      </c>
      <c r="G2921" s="5">
        <v>103.2</v>
      </c>
      <c r="H2921" s="5">
        <v>103.1</v>
      </c>
      <c r="I2921" s="5">
        <v>0</v>
      </c>
      <c r="J2921" s="5">
        <v>0</v>
      </c>
      <c r="K2921" s="5">
        <v>0</v>
      </c>
    </row>
    <row r="2922" spans="1:11" x14ac:dyDescent="0.25">
      <c r="A2922" s="5">
        <f>2915</f>
      </c>
      <c r="B2922" s="5" t="s">
        <v>2930</v>
      </c>
      <c r="C2922" s="5">
        <v>103.7</v>
      </c>
      <c r="D2922" s="5">
        <v>0.1</v>
      </c>
      <c r="E2922" s="5">
        <v>103.8</v>
      </c>
      <c r="F2922" s="5">
        <v>206.8</v>
      </c>
      <c r="G2922" s="5">
        <v>103.2</v>
      </c>
      <c r="H2922" s="5">
        <v>102.2</v>
      </c>
      <c r="I2922" s="5">
        <v>0</v>
      </c>
      <c r="J2922" s="5">
        <v>0</v>
      </c>
      <c r="K2922" s="5">
        <v>0</v>
      </c>
    </row>
    <row r="2923" spans="1:11" x14ac:dyDescent="0.25">
      <c r="A2923" s="5">
        <f>2916</f>
      </c>
      <c r="B2923" s="5" t="s">
        <v>2931</v>
      </c>
      <c r="C2923" s="5">
        <v>102.8</v>
      </c>
      <c r="D2923" s="5">
        <v>0.1</v>
      </c>
      <c r="E2923" s="5">
        <v>102.9</v>
      </c>
      <c r="F2923" s="5">
        <v>205.1</v>
      </c>
      <c r="G2923" s="5">
        <v>102.3</v>
      </c>
      <c r="H2923" s="5">
        <v>102.2</v>
      </c>
      <c r="I2923" s="5">
        <v>0</v>
      </c>
      <c r="J2923" s="5">
        <v>0</v>
      </c>
      <c r="K2923" s="5">
        <v>0</v>
      </c>
    </row>
    <row r="2924" spans="1:11" x14ac:dyDescent="0.25">
      <c r="A2924" s="5">
        <f>2917</f>
      </c>
      <c r="B2924" s="5" t="s">
        <v>2932</v>
      </c>
      <c r="C2924" s="5">
        <v>102.8</v>
      </c>
      <c r="D2924" s="5">
        <v>0.1</v>
      </c>
      <c r="E2924" s="5">
        <v>102.9</v>
      </c>
      <c r="F2924" s="5">
        <v>205.1</v>
      </c>
      <c r="G2924" s="5">
        <v>102.3</v>
      </c>
      <c r="H2924" s="5">
        <v>102.2</v>
      </c>
      <c r="I2924" s="5">
        <v>0</v>
      </c>
      <c r="J2924" s="5">
        <v>0</v>
      </c>
      <c r="K2924" s="5">
        <v>0</v>
      </c>
    </row>
    <row r="2925" spans="1:11" x14ac:dyDescent="0.25">
      <c r="A2925" s="5">
        <f>2918</f>
      </c>
      <c r="B2925" s="5" t="s">
        <v>2933</v>
      </c>
      <c r="C2925" s="5">
        <v>103.3</v>
      </c>
      <c r="D2925" s="5">
        <v>0.1</v>
      </c>
      <c r="E2925" s="5">
        <v>103.4</v>
      </c>
      <c r="F2925" s="5">
        <v>206.4</v>
      </c>
      <c r="G2925" s="5">
        <v>103</v>
      </c>
      <c r="H2925" s="5">
        <v>102.8</v>
      </c>
      <c r="I2925" s="5">
        <v>0</v>
      </c>
      <c r="J2925" s="5">
        <v>0</v>
      </c>
      <c r="K2925" s="5">
        <v>0</v>
      </c>
    </row>
    <row r="2926" spans="1:11" x14ac:dyDescent="0.25">
      <c r="A2926" s="5">
        <f>2919</f>
      </c>
      <c r="B2926" s="5" t="s">
        <v>2934</v>
      </c>
      <c r="C2926" s="5">
        <v>103.3</v>
      </c>
      <c r="D2926" s="5">
        <v>0.1</v>
      </c>
      <c r="E2926" s="5">
        <v>103.4</v>
      </c>
      <c r="F2926" s="5">
        <v>206.4</v>
      </c>
      <c r="G2926" s="5">
        <v>103</v>
      </c>
      <c r="H2926" s="5">
        <v>102.8</v>
      </c>
      <c r="I2926" s="5">
        <v>0</v>
      </c>
      <c r="J2926" s="5">
        <v>0</v>
      </c>
      <c r="K2926" s="5">
        <v>0</v>
      </c>
    </row>
    <row r="2927" spans="1:11" x14ac:dyDescent="0.25">
      <c r="A2927" s="5">
        <f>2920</f>
      </c>
      <c r="B2927" s="5" t="s">
        <v>2935</v>
      </c>
      <c r="C2927" s="5">
        <v>102.5</v>
      </c>
      <c r="D2927" s="5">
        <v>0.1</v>
      </c>
      <c r="E2927" s="5">
        <v>102.6</v>
      </c>
      <c r="F2927" s="5">
        <v>205.5</v>
      </c>
      <c r="G2927" s="5">
        <v>102.5</v>
      </c>
      <c r="H2927" s="5">
        <v>102.3</v>
      </c>
      <c r="I2927" s="5">
        <v>0</v>
      </c>
      <c r="J2927" s="5">
        <v>0</v>
      </c>
      <c r="K2927" s="5">
        <v>0</v>
      </c>
    </row>
    <row r="2928" spans="1:11" x14ac:dyDescent="0.25">
      <c r="A2928" s="5">
        <f>2921</f>
      </c>
      <c r="B2928" s="5" t="s">
        <v>2936</v>
      </c>
      <c r="C2928" s="5">
        <v>102.5</v>
      </c>
      <c r="D2928" s="5">
        <v>0.1</v>
      </c>
      <c r="E2928" s="5">
        <v>102.6</v>
      </c>
      <c r="F2928" s="5">
        <v>205.5</v>
      </c>
      <c r="G2928" s="5">
        <v>102.5</v>
      </c>
      <c r="H2928" s="5">
        <v>102.3</v>
      </c>
      <c r="I2928" s="5">
        <v>0</v>
      </c>
      <c r="J2928" s="5">
        <v>0</v>
      </c>
      <c r="K2928" s="5">
        <v>0</v>
      </c>
    </row>
    <row r="2929" spans="1:11" x14ac:dyDescent="0.25">
      <c r="A2929" s="5">
        <f>2922</f>
      </c>
      <c r="B2929" s="5" t="s">
        <v>2937</v>
      </c>
      <c r="C2929" s="5">
        <v>102.5</v>
      </c>
      <c r="D2929" s="5">
        <v>0.1</v>
      </c>
      <c r="E2929" s="5">
        <v>102.7</v>
      </c>
      <c r="F2929" s="5">
        <v>205.9</v>
      </c>
      <c r="G2929" s="5">
        <v>102.7</v>
      </c>
      <c r="H2929" s="5">
        <v>102.5</v>
      </c>
      <c r="I2929" s="5">
        <v>0</v>
      </c>
      <c r="J2929" s="5">
        <v>0</v>
      </c>
      <c r="K2929" s="5">
        <v>0</v>
      </c>
    </row>
    <row r="2930" spans="1:11" x14ac:dyDescent="0.25">
      <c r="A2930" s="5">
        <f>2923</f>
      </c>
      <c r="B2930" s="5" t="s">
        <v>2938</v>
      </c>
      <c r="C2930" s="5">
        <v>102.5</v>
      </c>
      <c r="D2930" s="5">
        <v>0.1</v>
      </c>
      <c r="E2930" s="5">
        <v>102.7</v>
      </c>
      <c r="F2930" s="5">
        <v>205.9</v>
      </c>
      <c r="G2930" s="5">
        <v>102.7</v>
      </c>
      <c r="H2930" s="5">
        <v>102.5</v>
      </c>
      <c r="I2930" s="5">
        <v>0</v>
      </c>
      <c r="J2930" s="5">
        <v>0</v>
      </c>
      <c r="K2930" s="5">
        <v>0</v>
      </c>
    </row>
    <row r="2931" spans="1:11" x14ac:dyDescent="0.25">
      <c r="A2931" s="5">
        <f>2924</f>
      </c>
      <c r="B2931" s="5" t="s">
        <v>2939</v>
      </c>
      <c r="C2931" s="5">
        <v>102.5</v>
      </c>
      <c r="D2931" s="5">
        <v>0.1</v>
      </c>
      <c r="E2931" s="5">
        <v>102.7</v>
      </c>
      <c r="F2931" s="5">
        <v>205.9</v>
      </c>
      <c r="G2931" s="5">
        <v>102.7</v>
      </c>
      <c r="H2931" s="5">
        <v>102.5</v>
      </c>
      <c r="I2931" s="5">
        <v>0</v>
      </c>
      <c r="J2931" s="5">
        <v>0</v>
      </c>
      <c r="K2931" s="5">
        <v>0</v>
      </c>
    </row>
    <row r="2932" spans="1:11" x14ac:dyDescent="0.25">
      <c r="A2932" s="5">
        <f>2925</f>
      </c>
      <c r="B2932" s="5" t="s">
        <v>2940</v>
      </c>
      <c r="C2932" s="5">
        <v>102.9</v>
      </c>
      <c r="D2932" s="5">
        <v>0.1</v>
      </c>
      <c r="E2932" s="5">
        <v>103.1</v>
      </c>
      <c r="F2932" s="5">
        <v>205.8</v>
      </c>
      <c r="G2932" s="5">
        <v>102.6</v>
      </c>
      <c r="H2932" s="5">
        <v>102.4</v>
      </c>
      <c r="I2932" s="5">
        <v>0</v>
      </c>
      <c r="J2932" s="5">
        <v>0</v>
      </c>
      <c r="K2932" s="5">
        <v>0</v>
      </c>
    </row>
    <row r="2933" spans="1:11" x14ac:dyDescent="0.25">
      <c r="A2933" s="5">
        <f>2926</f>
      </c>
      <c r="B2933" s="5" t="s">
        <v>2941</v>
      </c>
      <c r="C2933" s="5">
        <v>102.9</v>
      </c>
      <c r="D2933" s="5">
        <v>0.1</v>
      </c>
      <c r="E2933" s="5">
        <v>103.1</v>
      </c>
      <c r="F2933" s="5">
        <v>205.8</v>
      </c>
      <c r="G2933" s="5">
        <v>102.6</v>
      </c>
      <c r="H2933" s="5">
        <v>102.4</v>
      </c>
      <c r="I2933" s="5">
        <v>0</v>
      </c>
      <c r="J2933" s="5">
        <v>0</v>
      </c>
      <c r="K2933" s="5">
        <v>0</v>
      </c>
    </row>
    <row r="2934" spans="1:11" x14ac:dyDescent="0.25">
      <c r="A2934" s="5">
        <f>2927</f>
      </c>
      <c r="B2934" s="5" t="s">
        <v>2942</v>
      </c>
      <c r="C2934" s="5">
        <v>103.1</v>
      </c>
      <c r="D2934" s="5">
        <v>0.1</v>
      </c>
      <c r="E2934" s="5">
        <v>103.3</v>
      </c>
      <c r="F2934" s="5">
        <v>206.3</v>
      </c>
      <c r="G2934" s="5">
        <v>102.6</v>
      </c>
      <c r="H2934" s="5">
        <v>102.4</v>
      </c>
      <c r="I2934" s="5">
        <v>0</v>
      </c>
      <c r="J2934" s="5">
        <v>0</v>
      </c>
      <c r="K2934" s="5">
        <v>0</v>
      </c>
    </row>
    <row r="2935" spans="1:11" x14ac:dyDescent="0.25">
      <c r="A2935" s="5">
        <f>2928</f>
      </c>
      <c r="B2935" s="5" t="s">
        <v>2943</v>
      </c>
      <c r="C2935" s="5">
        <v>103.1</v>
      </c>
      <c r="D2935" s="5">
        <v>0.1</v>
      </c>
      <c r="E2935" s="5">
        <v>103.3</v>
      </c>
      <c r="F2935" s="5">
        <v>206.3</v>
      </c>
      <c r="G2935" s="5">
        <v>102.9</v>
      </c>
      <c r="H2935" s="5">
        <v>102.7</v>
      </c>
      <c r="I2935" s="5">
        <v>0</v>
      </c>
      <c r="J2935" s="5">
        <v>0</v>
      </c>
      <c r="K2935" s="5">
        <v>0</v>
      </c>
    </row>
    <row r="2936" spans="1:11" x14ac:dyDescent="0.25">
      <c r="A2936" s="5">
        <f>2929</f>
      </c>
      <c r="B2936" s="5" t="s">
        <v>2944</v>
      </c>
      <c r="C2936" s="5">
        <v>102.8</v>
      </c>
      <c r="D2936" s="5">
        <v>0.1</v>
      </c>
      <c r="E2936" s="5">
        <v>103</v>
      </c>
      <c r="F2936" s="5">
        <v>206.3</v>
      </c>
      <c r="G2936" s="5">
        <v>102.9</v>
      </c>
      <c r="H2936" s="5">
        <v>102.7</v>
      </c>
      <c r="I2936" s="5">
        <v>0</v>
      </c>
      <c r="J2936" s="5">
        <v>0</v>
      </c>
      <c r="K2936" s="5">
        <v>0</v>
      </c>
    </row>
    <row r="2937" spans="1:11" x14ac:dyDescent="0.25">
      <c r="A2937" s="5">
        <f>2930</f>
      </c>
      <c r="B2937" s="5" t="s">
        <v>2945</v>
      </c>
      <c r="C2937" s="5">
        <v>102.8</v>
      </c>
      <c r="D2937" s="5">
        <v>0.1</v>
      </c>
      <c r="E2937" s="5">
        <v>103</v>
      </c>
      <c r="F2937" s="5">
        <v>206.3</v>
      </c>
      <c r="G2937" s="5">
        <v>102.9</v>
      </c>
      <c r="H2937" s="5">
        <v>102.7</v>
      </c>
      <c r="I2937" s="5">
        <v>0</v>
      </c>
      <c r="J2937" s="5">
        <v>0</v>
      </c>
      <c r="K2937" s="5">
        <v>0</v>
      </c>
    </row>
    <row r="2938" spans="1:11" x14ac:dyDescent="0.25">
      <c r="A2938" s="5">
        <f>2931</f>
      </c>
      <c r="B2938" s="5" t="s">
        <v>2946</v>
      </c>
      <c r="C2938" s="5">
        <v>103.4</v>
      </c>
      <c r="D2938" s="5">
        <v>0.1</v>
      </c>
      <c r="E2938" s="5">
        <v>103</v>
      </c>
      <c r="F2938" s="5">
        <v>206.3</v>
      </c>
      <c r="G2938" s="5">
        <v>102.9</v>
      </c>
      <c r="H2938" s="5">
        <v>102.7</v>
      </c>
      <c r="I2938" s="5">
        <v>0</v>
      </c>
      <c r="J2938" s="5">
        <v>0</v>
      </c>
      <c r="K2938" s="5">
        <v>0</v>
      </c>
    </row>
    <row r="2939" spans="1:11" x14ac:dyDescent="0.25">
      <c r="A2939" s="5">
        <f>2932</f>
      </c>
      <c r="B2939" s="5" t="s">
        <v>2947</v>
      </c>
      <c r="C2939" s="5">
        <v>103.4</v>
      </c>
      <c r="D2939" s="5">
        <v>0.1</v>
      </c>
      <c r="E2939" s="5">
        <v>103.5</v>
      </c>
      <c r="F2939" s="5">
        <v>207.1</v>
      </c>
      <c r="G2939" s="5">
        <v>103.3</v>
      </c>
      <c r="H2939" s="5">
        <v>103.2</v>
      </c>
      <c r="I2939" s="5">
        <v>0</v>
      </c>
      <c r="J2939" s="5">
        <v>0</v>
      </c>
      <c r="K2939" s="5">
        <v>0</v>
      </c>
    </row>
    <row r="2940" spans="1:11" x14ac:dyDescent="0.25">
      <c r="A2940" s="5">
        <f>2933</f>
      </c>
      <c r="B2940" s="5" t="s">
        <v>2948</v>
      </c>
      <c r="C2940" s="5">
        <v>103.4</v>
      </c>
      <c r="D2940" s="5">
        <v>0.1</v>
      </c>
      <c r="E2940" s="5">
        <v>103.5</v>
      </c>
      <c r="F2940" s="5">
        <v>207.1</v>
      </c>
      <c r="G2940" s="5">
        <v>103.3</v>
      </c>
      <c r="H2940" s="5">
        <v>103.2</v>
      </c>
      <c r="I2940" s="5">
        <v>0</v>
      </c>
      <c r="J2940" s="5">
        <v>0</v>
      </c>
      <c r="K2940" s="5">
        <v>0</v>
      </c>
    </row>
    <row r="2941" spans="1:11" x14ac:dyDescent="0.25">
      <c r="A2941" s="5">
        <f>2934</f>
      </c>
      <c r="B2941" s="5" t="s">
        <v>2949</v>
      </c>
      <c r="C2941" s="5">
        <v>103.4</v>
      </c>
      <c r="D2941" s="5">
        <v>0.1</v>
      </c>
      <c r="E2941" s="5">
        <v>103.5</v>
      </c>
      <c r="F2941" s="5">
        <v>207.1</v>
      </c>
      <c r="G2941" s="5">
        <v>103.3</v>
      </c>
      <c r="H2941" s="5">
        <v>103.2</v>
      </c>
      <c r="I2941" s="5">
        <v>0</v>
      </c>
      <c r="J2941" s="5">
        <v>0</v>
      </c>
      <c r="K2941" s="5">
        <v>0</v>
      </c>
    </row>
    <row r="2942" spans="1:11" x14ac:dyDescent="0.25">
      <c r="A2942" s="5">
        <f>2935</f>
      </c>
      <c r="B2942" s="5" t="s">
        <v>2950</v>
      </c>
      <c r="C2942" s="5">
        <v>103.4</v>
      </c>
      <c r="D2942" s="5">
        <v>0.1</v>
      </c>
      <c r="E2942" s="5">
        <v>103.5</v>
      </c>
      <c r="F2942" s="5">
        <v>207.1</v>
      </c>
      <c r="G2942" s="5">
        <v>103.3</v>
      </c>
      <c r="H2942" s="5">
        <v>103.2</v>
      </c>
      <c r="I2942" s="5">
        <v>0</v>
      </c>
      <c r="J2942" s="5">
        <v>0</v>
      </c>
      <c r="K2942" s="5">
        <v>0</v>
      </c>
    </row>
    <row r="2943" spans="1:11" x14ac:dyDescent="0.25">
      <c r="A2943" s="5">
        <f>2936</f>
      </c>
      <c r="B2943" s="5" t="s">
        <v>2951</v>
      </c>
      <c r="C2943" s="5">
        <v>103.4</v>
      </c>
      <c r="D2943" s="5">
        <v>0.1</v>
      </c>
      <c r="E2943" s="5">
        <v>103.6</v>
      </c>
      <c r="F2943" s="5">
        <v>206.4</v>
      </c>
      <c r="G2943" s="5">
        <v>103</v>
      </c>
      <c r="H2943" s="5">
        <v>102.9</v>
      </c>
      <c r="I2943" s="5">
        <v>0</v>
      </c>
      <c r="J2943" s="5">
        <v>0</v>
      </c>
      <c r="K2943" s="5">
        <v>0</v>
      </c>
    </row>
    <row r="2944" spans="1:11" x14ac:dyDescent="0.25">
      <c r="A2944" s="5">
        <f>2937</f>
      </c>
      <c r="B2944" s="5" t="s">
        <v>2952</v>
      </c>
      <c r="C2944" s="5">
        <v>103.4</v>
      </c>
      <c r="D2944" s="5">
        <v>0.1</v>
      </c>
      <c r="E2944" s="5">
        <v>103.6</v>
      </c>
      <c r="F2944" s="5">
        <v>206.4</v>
      </c>
      <c r="G2944" s="5">
        <v>103</v>
      </c>
      <c r="H2944" s="5">
        <v>102.9</v>
      </c>
      <c r="I2944" s="5">
        <v>0</v>
      </c>
      <c r="J2944" s="5">
        <v>0</v>
      </c>
      <c r="K2944" s="5">
        <v>0</v>
      </c>
    </row>
    <row r="2945" spans="1:11" x14ac:dyDescent="0.25">
      <c r="A2945" s="5">
        <f>2938</f>
      </c>
      <c r="B2945" s="5" t="s">
        <v>2953</v>
      </c>
      <c r="C2945" s="5">
        <v>103.8</v>
      </c>
      <c r="D2945" s="5">
        <v>0.1</v>
      </c>
      <c r="E2945" s="5">
        <v>104</v>
      </c>
      <c r="F2945" s="5">
        <v>207</v>
      </c>
      <c r="G2945" s="5">
        <v>103.3</v>
      </c>
      <c r="H2945" s="5">
        <v>103.2</v>
      </c>
      <c r="I2945" s="5">
        <v>0</v>
      </c>
      <c r="J2945" s="5">
        <v>0</v>
      </c>
      <c r="K2945" s="5">
        <v>0</v>
      </c>
    </row>
    <row r="2946" spans="1:11" x14ac:dyDescent="0.25">
      <c r="A2946" s="5">
        <f>2939</f>
      </c>
      <c r="B2946" s="5" t="s">
        <v>2954</v>
      </c>
      <c r="C2946" s="5">
        <v>103.8</v>
      </c>
      <c r="D2946" s="5">
        <v>0.1</v>
      </c>
      <c r="E2946" s="5">
        <v>104</v>
      </c>
      <c r="F2946" s="5">
        <v>207</v>
      </c>
      <c r="G2946" s="5">
        <v>103.3</v>
      </c>
      <c r="H2946" s="5">
        <v>103.2</v>
      </c>
      <c r="I2946" s="5">
        <v>0</v>
      </c>
      <c r="J2946" s="5">
        <v>0</v>
      </c>
      <c r="K2946" s="5">
        <v>0</v>
      </c>
    </row>
    <row r="2947" spans="1:11" x14ac:dyDescent="0.25">
      <c r="A2947" s="5">
        <f>2940</f>
      </c>
      <c r="B2947" s="5" t="s">
        <v>2955</v>
      </c>
      <c r="C2947" s="5">
        <v>103.2</v>
      </c>
      <c r="D2947" s="5">
        <v>0.1</v>
      </c>
      <c r="E2947" s="5">
        <v>103.4</v>
      </c>
      <c r="F2947" s="5">
        <v>206.7</v>
      </c>
      <c r="G2947" s="5">
        <v>103.1</v>
      </c>
      <c r="H2947" s="5">
        <v>102.9</v>
      </c>
      <c r="I2947" s="5">
        <v>0</v>
      </c>
      <c r="J2947" s="5">
        <v>0</v>
      </c>
      <c r="K2947" s="5">
        <v>0</v>
      </c>
    </row>
    <row r="2948" spans="1:11" x14ac:dyDescent="0.25">
      <c r="A2948" s="5">
        <f>2941</f>
      </c>
      <c r="B2948" s="5" t="s">
        <v>2956</v>
      </c>
      <c r="C2948" s="5">
        <v>103.2</v>
      </c>
      <c r="D2948" s="5">
        <v>0.1</v>
      </c>
      <c r="E2948" s="5">
        <v>103.4</v>
      </c>
      <c r="F2948" s="5">
        <v>206.7</v>
      </c>
      <c r="G2948" s="5">
        <v>103.1</v>
      </c>
      <c r="H2948" s="5">
        <v>102.9</v>
      </c>
      <c r="I2948" s="5">
        <v>0</v>
      </c>
      <c r="J2948" s="5">
        <v>0</v>
      </c>
      <c r="K2948" s="5">
        <v>0</v>
      </c>
    </row>
    <row r="2949" spans="1:11" x14ac:dyDescent="0.25">
      <c r="A2949" s="5">
        <f>2942</f>
      </c>
      <c r="B2949" s="5" t="s">
        <v>2957</v>
      </c>
      <c r="C2949" s="5">
        <v>103.4</v>
      </c>
      <c r="D2949" s="5">
        <v>0.1</v>
      </c>
      <c r="E2949" s="5">
        <v>103.5</v>
      </c>
      <c r="F2949" s="5">
        <v>206.4</v>
      </c>
      <c r="G2949" s="5">
        <v>102.9</v>
      </c>
      <c r="H2949" s="5">
        <v>102.8</v>
      </c>
      <c r="I2949" s="5">
        <v>0</v>
      </c>
      <c r="J2949" s="5">
        <v>0</v>
      </c>
      <c r="K2949" s="5">
        <v>0</v>
      </c>
    </row>
    <row r="2950" spans="1:11" x14ac:dyDescent="0.25">
      <c r="A2950" s="5">
        <f>2943</f>
      </c>
      <c r="B2950" s="5" t="s">
        <v>2958</v>
      </c>
      <c r="C2950" s="5">
        <v>103.4</v>
      </c>
      <c r="D2950" s="5">
        <v>0.1</v>
      </c>
      <c r="E2950" s="5">
        <v>103.5</v>
      </c>
      <c r="F2950" s="5">
        <v>206.4</v>
      </c>
      <c r="G2950" s="5">
        <v>102.9</v>
      </c>
      <c r="H2950" s="5">
        <v>102.8</v>
      </c>
      <c r="I2950" s="5">
        <v>0</v>
      </c>
      <c r="J2950" s="5">
        <v>0</v>
      </c>
      <c r="K2950" s="5">
        <v>0</v>
      </c>
    </row>
    <row r="2951" spans="1:11" x14ac:dyDescent="0.25">
      <c r="A2951" s="5">
        <f>2944</f>
      </c>
      <c r="B2951" s="5" t="s">
        <v>2959</v>
      </c>
      <c r="C2951" s="5">
        <v>103.4</v>
      </c>
      <c r="D2951" s="5">
        <v>0.1</v>
      </c>
      <c r="E2951" s="5">
        <v>103.5</v>
      </c>
      <c r="F2951" s="5">
        <v>206.4</v>
      </c>
      <c r="G2951" s="5">
        <v>102.9</v>
      </c>
      <c r="H2951" s="5">
        <v>102.8</v>
      </c>
      <c r="I2951" s="5">
        <v>0</v>
      </c>
      <c r="J2951" s="5">
        <v>0</v>
      </c>
      <c r="K2951" s="5">
        <v>0</v>
      </c>
    </row>
    <row r="2952" spans="1:11" x14ac:dyDescent="0.25">
      <c r="A2952" s="5">
        <f>2945</f>
      </c>
      <c r="B2952" s="5" t="s">
        <v>2960</v>
      </c>
      <c r="C2952" s="5">
        <v>103.4</v>
      </c>
      <c r="D2952" s="5">
        <v>0.1</v>
      </c>
      <c r="E2952" s="5">
        <v>103.5</v>
      </c>
      <c r="F2952" s="5">
        <v>206.4</v>
      </c>
      <c r="G2952" s="5">
        <v>102.9</v>
      </c>
      <c r="H2952" s="5">
        <v>102.8</v>
      </c>
      <c r="I2952" s="5">
        <v>0</v>
      </c>
      <c r="J2952" s="5">
        <v>0</v>
      </c>
      <c r="K2952" s="5">
        <v>0</v>
      </c>
    </row>
    <row r="2953" spans="1:11" x14ac:dyDescent="0.25">
      <c r="A2953" s="5">
        <f>2946</f>
      </c>
      <c r="B2953" s="5" t="s">
        <v>2961</v>
      </c>
      <c r="C2953" s="5">
        <v>103.4</v>
      </c>
      <c r="D2953" s="5">
        <v>0.1</v>
      </c>
      <c r="E2953" s="5">
        <v>103.6</v>
      </c>
      <c r="F2953" s="5">
        <v>205.9</v>
      </c>
      <c r="G2953" s="5">
        <v>102.7</v>
      </c>
      <c r="H2953" s="5">
        <v>102.6</v>
      </c>
      <c r="I2953" s="5">
        <v>0</v>
      </c>
      <c r="J2953" s="5">
        <v>0</v>
      </c>
      <c r="K2953" s="5">
        <v>0</v>
      </c>
    </row>
    <row r="2954" spans="1:11" x14ac:dyDescent="0.25">
      <c r="A2954" s="5">
        <f>2947</f>
      </c>
      <c r="B2954" s="5" t="s">
        <v>2962</v>
      </c>
      <c r="C2954" s="5">
        <v>103.4</v>
      </c>
      <c r="D2954" s="5">
        <v>0.1</v>
      </c>
      <c r="E2954" s="5">
        <v>103.6</v>
      </c>
      <c r="F2954" s="5">
        <v>205.9</v>
      </c>
      <c r="G2954" s="5">
        <v>102.7</v>
      </c>
      <c r="H2954" s="5">
        <v>102.6</v>
      </c>
      <c r="I2954" s="5">
        <v>0</v>
      </c>
      <c r="J2954" s="5">
        <v>0</v>
      </c>
      <c r="K2954" s="5">
        <v>0</v>
      </c>
    </row>
    <row r="2955" spans="1:11" x14ac:dyDescent="0.25">
      <c r="A2955" s="5">
        <f>2948</f>
      </c>
      <c r="B2955" s="5" t="s">
        <v>2963</v>
      </c>
      <c r="C2955" s="5">
        <v>103.6</v>
      </c>
      <c r="D2955" s="5">
        <v>0.1</v>
      </c>
      <c r="E2955" s="5">
        <v>103.7</v>
      </c>
      <c r="F2955" s="5">
        <v>206.6</v>
      </c>
      <c r="G2955" s="5">
        <v>103.1</v>
      </c>
      <c r="H2955" s="5">
        <v>102.8</v>
      </c>
      <c r="I2955" s="5">
        <v>0</v>
      </c>
      <c r="J2955" s="5">
        <v>0</v>
      </c>
      <c r="K2955" s="5">
        <v>0</v>
      </c>
    </row>
    <row r="2956" spans="1:11" x14ac:dyDescent="0.25">
      <c r="A2956" s="5">
        <f>2949</f>
      </c>
      <c r="B2956" s="5" t="s">
        <v>2964</v>
      </c>
      <c r="C2956" s="5">
        <v>103.6</v>
      </c>
      <c r="D2956" s="5">
        <v>0.1</v>
      </c>
      <c r="E2956" s="5">
        <v>103.7</v>
      </c>
      <c r="F2956" s="5">
        <v>206.6</v>
      </c>
      <c r="G2956" s="5">
        <v>103.1</v>
      </c>
      <c r="H2956" s="5">
        <v>102.8</v>
      </c>
      <c r="I2956" s="5">
        <v>0</v>
      </c>
      <c r="J2956" s="5">
        <v>0</v>
      </c>
      <c r="K2956" s="5">
        <v>0</v>
      </c>
    </row>
    <row r="2957" spans="1:11" x14ac:dyDescent="0.25">
      <c r="A2957" s="5">
        <f>2950</f>
      </c>
      <c r="B2957" s="5" t="s">
        <v>2965</v>
      </c>
      <c r="C2957" s="5">
        <v>101.8</v>
      </c>
      <c r="D2957" s="5">
        <v>0.1</v>
      </c>
      <c r="E2957" s="5">
        <v>101.9</v>
      </c>
      <c r="F2957" s="5">
        <v>204.1</v>
      </c>
      <c r="G2957" s="5">
        <v>101.7</v>
      </c>
      <c r="H2957" s="5">
        <v>101.5</v>
      </c>
      <c r="I2957" s="5">
        <v>0</v>
      </c>
      <c r="J2957" s="5">
        <v>0</v>
      </c>
      <c r="K2957" s="5">
        <v>0</v>
      </c>
    </row>
    <row r="2958" spans="1:11" x14ac:dyDescent="0.25">
      <c r="A2958" s="5">
        <f>2951</f>
      </c>
      <c r="B2958" s="5" t="s">
        <v>2966</v>
      </c>
      <c r="C2958" s="5">
        <v>101.8</v>
      </c>
      <c r="D2958" s="5">
        <v>0.1</v>
      </c>
      <c r="E2958" s="5">
        <v>101.9</v>
      </c>
      <c r="F2958" s="5">
        <v>204.1</v>
      </c>
      <c r="G2958" s="5">
        <v>101.7</v>
      </c>
      <c r="H2958" s="5">
        <v>101.5</v>
      </c>
      <c r="I2958" s="5">
        <v>0</v>
      </c>
      <c r="J2958" s="5">
        <v>0</v>
      </c>
      <c r="K2958" s="5">
        <v>0</v>
      </c>
    </row>
    <row r="2959" spans="1:11" x14ac:dyDescent="0.25">
      <c r="A2959" s="5">
        <f>2952</f>
      </c>
      <c r="B2959" s="5" t="s">
        <v>2967</v>
      </c>
      <c r="C2959" s="5">
        <v>103.1</v>
      </c>
      <c r="D2959" s="5">
        <v>0.1</v>
      </c>
      <c r="E2959" s="5">
        <v>103.2</v>
      </c>
      <c r="F2959" s="5">
        <v>206.1</v>
      </c>
      <c r="G2959" s="5">
        <v>102.8</v>
      </c>
      <c r="H2959" s="5">
        <v>102.7</v>
      </c>
      <c r="I2959" s="5">
        <v>0</v>
      </c>
      <c r="J2959" s="5">
        <v>0</v>
      </c>
      <c r="K2959" s="5">
        <v>0</v>
      </c>
    </row>
    <row r="2960" spans="1:11" x14ac:dyDescent="0.25">
      <c r="A2960" s="5">
        <f>2953</f>
      </c>
      <c r="B2960" s="5" t="s">
        <v>2968</v>
      </c>
      <c r="C2960" s="5">
        <v>103.1</v>
      </c>
      <c r="D2960" s="5">
        <v>0.1</v>
      </c>
      <c r="E2960" s="5">
        <v>103.2</v>
      </c>
      <c r="F2960" s="5">
        <v>206.1</v>
      </c>
      <c r="G2960" s="5">
        <v>102.8</v>
      </c>
      <c r="H2960" s="5">
        <v>102.7</v>
      </c>
      <c r="I2960" s="5">
        <v>0</v>
      </c>
      <c r="J2960" s="5">
        <v>0</v>
      </c>
      <c r="K2960" s="5">
        <v>0</v>
      </c>
    </row>
    <row r="2961" spans="1:11" x14ac:dyDescent="0.25">
      <c r="A2961" s="5">
        <f>2954</f>
      </c>
      <c r="B2961" s="5" t="s">
        <v>2969</v>
      </c>
      <c r="C2961" s="5">
        <v>103.1</v>
      </c>
      <c r="D2961" s="5">
        <v>0.1</v>
      </c>
      <c r="E2961" s="5">
        <v>103.2</v>
      </c>
      <c r="F2961" s="5">
        <v>206.1</v>
      </c>
      <c r="G2961" s="5">
        <v>102.8</v>
      </c>
      <c r="H2961" s="5">
        <v>102.7</v>
      </c>
      <c r="I2961" s="5">
        <v>0</v>
      </c>
      <c r="J2961" s="5">
        <v>0</v>
      </c>
      <c r="K2961" s="5">
        <v>0</v>
      </c>
    </row>
    <row r="2962" spans="1:11" x14ac:dyDescent="0.25">
      <c r="A2962" s="5">
        <f>2955</f>
      </c>
      <c r="B2962" s="5" t="s">
        <v>2970</v>
      </c>
      <c r="C2962" s="5">
        <v>103.1</v>
      </c>
      <c r="D2962" s="5">
        <v>0.1</v>
      </c>
      <c r="E2962" s="5">
        <v>103</v>
      </c>
      <c r="F2962" s="5">
        <v>205.8</v>
      </c>
      <c r="G2962" s="5">
        <v>102.7</v>
      </c>
      <c r="H2962" s="5">
        <v>102.5</v>
      </c>
      <c r="I2962" s="5">
        <v>0</v>
      </c>
      <c r="J2962" s="5">
        <v>0</v>
      </c>
      <c r="K2962" s="5">
        <v>0</v>
      </c>
    </row>
    <row r="2963" spans="1:11" x14ac:dyDescent="0.25">
      <c r="A2963" s="5">
        <f>2956</f>
      </c>
      <c r="B2963" s="5" t="s">
        <v>2971</v>
      </c>
      <c r="C2963" s="5">
        <v>102.8</v>
      </c>
      <c r="D2963" s="5">
        <v>0.1</v>
      </c>
      <c r="E2963" s="5">
        <v>103</v>
      </c>
      <c r="F2963" s="5">
        <v>205.8</v>
      </c>
      <c r="G2963" s="5">
        <v>102.7</v>
      </c>
      <c r="H2963" s="5">
        <v>102.5</v>
      </c>
      <c r="I2963" s="5">
        <v>0</v>
      </c>
      <c r="J2963" s="5">
        <v>0</v>
      </c>
      <c r="K2963" s="5">
        <v>0</v>
      </c>
    </row>
    <row r="2964" spans="1:11" x14ac:dyDescent="0.25">
      <c r="A2964" s="5">
        <f>2957</f>
      </c>
      <c r="B2964" s="5" t="s">
        <v>2972</v>
      </c>
      <c r="C2964" s="5">
        <v>102.8</v>
      </c>
      <c r="D2964" s="5">
        <v>0.1</v>
      </c>
      <c r="E2964" s="5">
        <v>103</v>
      </c>
      <c r="F2964" s="5">
        <v>205.8</v>
      </c>
      <c r="G2964" s="5">
        <v>102.6</v>
      </c>
      <c r="H2964" s="5">
        <v>102.5</v>
      </c>
      <c r="I2964" s="5">
        <v>0</v>
      </c>
      <c r="J2964" s="5">
        <v>0</v>
      </c>
      <c r="K2964" s="5">
        <v>0</v>
      </c>
    </row>
    <row r="2965" spans="1:11" x14ac:dyDescent="0.25">
      <c r="A2965" s="5">
        <f>2958</f>
      </c>
      <c r="B2965" s="5" t="s">
        <v>2973</v>
      </c>
      <c r="C2965" s="5">
        <v>103</v>
      </c>
      <c r="D2965" s="5">
        <v>0.1</v>
      </c>
      <c r="E2965" s="5">
        <v>103.1</v>
      </c>
      <c r="F2965" s="5">
        <v>205.8</v>
      </c>
      <c r="G2965" s="5">
        <v>102.6</v>
      </c>
      <c r="H2965" s="5">
        <v>102.5</v>
      </c>
      <c r="I2965" s="5">
        <v>0</v>
      </c>
      <c r="J2965" s="5">
        <v>0</v>
      </c>
      <c r="K2965" s="5">
        <v>0</v>
      </c>
    </row>
    <row r="2966" spans="1:11" x14ac:dyDescent="0.25">
      <c r="A2966" s="5">
        <f>2959</f>
      </c>
      <c r="B2966" s="5" t="s">
        <v>2974</v>
      </c>
      <c r="C2966" s="5">
        <v>103</v>
      </c>
      <c r="D2966" s="5">
        <v>0.1</v>
      </c>
      <c r="E2966" s="5">
        <v>103.1</v>
      </c>
      <c r="F2966" s="5">
        <v>205.8</v>
      </c>
      <c r="G2966" s="5">
        <v>102.6</v>
      </c>
      <c r="H2966" s="5">
        <v>102.4</v>
      </c>
      <c r="I2966" s="5">
        <v>0</v>
      </c>
      <c r="J2966" s="5">
        <v>0</v>
      </c>
      <c r="K2966" s="5">
        <v>0</v>
      </c>
    </row>
    <row r="2967" spans="1:11" x14ac:dyDescent="0.25">
      <c r="A2967" s="5">
        <f>2960</f>
      </c>
      <c r="B2967" s="5" t="s">
        <v>2975</v>
      </c>
      <c r="C2967" s="5">
        <v>102.9</v>
      </c>
      <c r="D2967" s="5">
        <v>0.1</v>
      </c>
      <c r="E2967" s="5">
        <v>103</v>
      </c>
      <c r="F2967" s="5">
        <v>205.4</v>
      </c>
      <c r="G2967" s="5">
        <v>102.5</v>
      </c>
      <c r="H2967" s="5">
        <v>102.4</v>
      </c>
      <c r="I2967" s="5">
        <v>0</v>
      </c>
      <c r="J2967" s="5">
        <v>0</v>
      </c>
      <c r="K2967" s="5">
        <v>0</v>
      </c>
    </row>
    <row r="2968" spans="1:11" x14ac:dyDescent="0.25">
      <c r="A2968" s="5">
        <f>2961</f>
      </c>
      <c r="B2968" s="5" t="s">
        <v>2976</v>
      </c>
      <c r="C2968" s="5">
        <v>102.9</v>
      </c>
      <c r="D2968" s="5">
        <v>0.1</v>
      </c>
      <c r="E2968" s="5">
        <v>103</v>
      </c>
      <c r="F2968" s="5">
        <v>205.4</v>
      </c>
      <c r="G2968" s="5">
        <v>102.5</v>
      </c>
      <c r="H2968" s="5">
        <v>102.4</v>
      </c>
      <c r="I2968" s="5">
        <v>0</v>
      </c>
      <c r="J2968" s="5">
        <v>0</v>
      </c>
      <c r="K2968" s="5">
        <v>0</v>
      </c>
    </row>
    <row r="2969" spans="1:11" x14ac:dyDescent="0.25">
      <c r="A2969" s="5">
        <f>2962</f>
      </c>
      <c r="B2969" s="5" t="s">
        <v>2977</v>
      </c>
      <c r="C2969" s="5">
        <v>102.3</v>
      </c>
      <c r="D2969" s="5">
        <v>0.1</v>
      </c>
      <c r="E2969" s="5">
        <v>102.4</v>
      </c>
      <c r="F2969" s="5">
        <v>205</v>
      </c>
      <c r="G2969" s="5">
        <v>102.2</v>
      </c>
      <c r="H2969" s="5">
        <v>102.1</v>
      </c>
      <c r="I2969" s="5">
        <v>0</v>
      </c>
      <c r="J2969" s="5">
        <v>0</v>
      </c>
      <c r="K2969" s="5">
        <v>0</v>
      </c>
    </row>
    <row r="2970" spans="1:11" x14ac:dyDescent="0.25">
      <c r="A2970" s="5">
        <f>2963</f>
      </c>
      <c r="B2970" s="5" t="s">
        <v>2978</v>
      </c>
      <c r="C2970" s="5">
        <v>102.3</v>
      </c>
      <c r="D2970" s="5">
        <v>0.1</v>
      </c>
      <c r="E2970" s="5">
        <v>102.4</v>
      </c>
      <c r="F2970" s="5">
        <v>205</v>
      </c>
      <c r="G2970" s="5">
        <v>102.2</v>
      </c>
      <c r="H2970" s="5">
        <v>102.1</v>
      </c>
      <c r="I2970" s="5">
        <v>0</v>
      </c>
      <c r="J2970" s="5">
        <v>0</v>
      </c>
      <c r="K2970" s="5">
        <v>0</v>
      </c>
    </row>
    <row r="2971" spans="1:11" x14ac:dyDescent="0.25">
      <c r="A2971" s="5">
        <f>2964</f>
      </c>
      <c r="B2971" s="5" t="s">
        <v>2979</v>
      </c>
      <c r="C2971" s="5">
        <v>102.3</v>
      </c>
      <c r="D2971" s="5">
        <v>0.1</v>
      </c>
      <c r="E2971" s="5">
        <v>102.4</v>
      </c>
      <c r="F2971" s="5">
        <v>205</v>
      </c>
      <c r="G2971" s="5">
        <v>102.2</v>
      </c>
      <c r="H2971" s="5">
        <v>102.1</v>
      </c>
      <c r="I2971" s="5">
        <v>0</v>
      </c>
      <c r="J2971" s="5">
        <v>0</v>
      </c>
      <c r="K2971" s="5">
        <v>0</v>
      </c>
    </row>
    <row r="2972" spans="1:11" x14ac:dyDescent="0.25">
      <c r="A2972" s="5">
        <f>2965</f>
      </c>
      <c r="B2972" s="5" t="s">
        <v>2980</v>
      </c>
      <c r="C2972" s="5">
        <v>102.9</v>
      </c>
      <c r="D2972" s="5">
        <v>0.1</v>
      </c>
      <c r="E2972" s="5">
        <v>103.1</v>
      </c>
      <c r="F2972" s="5">
        <v>205.7</v>
      </c>
      <c r="G2972" s="5">
        <v>102.7</v>
      </c>
      <c r="H2972" s="5">
        <v>102.6</v>
      </c>
      <c r="I2972" s="5">
        <v>0</v>
      </c>
      <c r="J2972" s="5">
        <v>0</v>
      </c>
      <c r="K2972" s="5">
        <v>0</v>
      </c>
    </row>
    <row r="2973" spans="1:11" x14ac:dyDescent="0.25">
      <c r="A2973" s="5">
        <f>2966</f>
      </c>
      <c r="B2973" s="5" t="s">
        <v>2981</v>
      </c>
      <c r="C2973" s="5">
        <v>102.9</v>
      </c>
      <c r="D2973" s="5">
        <v>0.1</v>
      </c>
      <c r="E2973" s="5">
        <v>103.1</v>
      </c>
      <c r="F2973" s="5">
        <v>205.7</v>
      </c>
      <c r="G2973" s="5">
        <v>102.7</v>
      </c>
      <c r="H2973" s="5">
        <v>102.6</v>
      </c>
      <c r="I2973" s="5">
        <v>0</v>
      </c>
      <c r="J2973" s="5">
        <v>0</v>
      </c>
      <c r="K2973" s="5">
        <v>0</v>
      </c>
    </row>
    <row r="2974" spans="1:11" x14ac:dyDescent="0.25">
      <c r="A2974" s="5">
        <f>2967</f>
      </c>
      <c r="B2974" s="5" t="s">
        <v>2982</v>
      </c>
      <c r="C2974" s="5">
        <v>102.8</v>
      </c>
      <c r="D2974" s="5">
        <v>0.1</v>
      </c>
      <c r="E2974" s="5">
        <v>103</v>
      </c>
      <c r="F2974" s="5">
        <v>205.6</v>
      </c>
      <c r="G2974" s="5">
        <v>102.5</v>
      </c>
      <c r="H2974" s="5">
        <v>102.4</v>
      </c>
      <c r="I2974" s="5">
        <v>0</v>
      </c>
      <c r="J2974" s="5">
        <v>0</v>
      </c>
      <c r="K2974" s="5">
        <v>0</v>
      </c>
    </row>
    <row r="2975" spans="1:11" x14ac:dyDescent="0.25">
      <c r="A2975" s="5">
        <f>2968</f>
      </c>
      <c r="B2975" s="5" t="s">
        <v>2983</v>
      </c>
      <c r="C2975" s="5">
        <v>102.8</v>
      </c>
      <c r="D2975" s="5">
        <v>0.1</v>
      </c>
      <c r="E2975" s="5">
        <v>103</v>
      </c>
      <c r="F2975" s="5">
        <v>205.6</v>
      </c>
      <c r="G2975" s="5">
        <v>102.5</v>
      </c>
      <c r="H2975" s="5">
        <v>102.4</v>
      </c>
      <c r="I2975" s="5">
        <v>0</v>
      </c>
      <c r="J2975" s="5">
        <v>0</v>
      </c>
      <c r="K2975" s="5">
        <v>0</v>
      </c>
    </row>
    <row r="2976" spans="1:11" x14ac:dyDescent="0.25">
      <c r="A2976" s="5">
        <f>2969</f>
      </c>
      <c r="B2976" s="5" t="s">
        <v>2984</v>
      </c>
      <c r="C2976" s="5">
        <v>102.5</v>
      </c>
      <c r="D2976" s="5">
        <v>0.1</v>
      </c>
      <c r="E2976" s="5">
        <v>102.7</v>
      </c>
      <c r="F2976" s="5">
        <v>205.3</v>
      </c>
      <c r="G2976" s="5">
        <v>102.4</v>
      </c>
      <c r="H2976" s="5">
        <v>102.2</v>
      </c>
      <c r="I2976" s="5">
        <v>0</v>
      </c>
      <c r="J2976" s="5">
        <v>0</v>
      </c>
      <c r="K2976" s="5">
        <v>0</v>
      </c>
    </row>
    <row r="2977" spans="1:11" x14ac:dyDescent="0.25">
      <c r="A2977" s="5">
        <f>2970</f>
      </c>
      <c r="B2977" s="5" t="s">
        <v>2985</v>
      </c>
      <c r="C2977" s="5">
        <v>102.5</v>
      </c>
      <c r="D2977" s="5">
        <v>0.1</v>
      </c>
      <c r="E2977" s="5">
        <v>102.7</v>
      </c>
      <c r="F2977" s="5">
        <v>205.3</v>
      </c>
      <c r="G2977" s="5">
        <v>102.4</v>
      </c>
      <c r="H2977" s="5">
        <v>102.2</v>
      </c>
      <c r="I2977" s="5">
        <v>0</v>
      </c>
      <c r="J2977" s="5">
        <v>0</v>
      </c>
      <c r="K2977" s="5">
        <v>0</v>
      </c>
    </row>
    <row r="2978" spans="1:11" x14ac:dyDescent="0.25">
      <c r="A2978" s="5">
        <f>2971</f>
      </c>
      <c r="B2978" s="5" t="s">
        <v>2986</v>
      </c>
      <c r="C2978" s="5">
        <v>102.2</v>
      </c>
      <c r="D2978" s="5">
        <v>0.1</v>
      </c>
      <c r="E2978" s="5">
        <v>102.4</v>
      </c>
      <c r="F2978" s="5">
        <v>204.7</v>
      </c>
      <c r="G2978" s="5">
        <v>102.1</v>
      </c>
      <c r="H2978" s="5">
        <v>102</v>
      </c>
      <c r="I2978" s="5">
        <v>0</v>
      </c>
      <c r="J2978" s="5">
        <v>0</v>
      </c>
      <c r="K2978" s="5">
        <v>0</v>
      </c>
    </row>
    <row r="2979" spans="1:11" x14ac:dyDescent="0.25">
      <c r="A2979" s="5">
        <f>2972</f>
      </c>
      <c r="B2979" s="5" t="s">
        <v>2987</v>
      </c>
      <c r="C2979" s="5">
        <v>102.2</v>
      </c>
      <c r="D2979" s="5">
        <v>0.1</v>
      </c>
      <c r="E2979" s="5">
        <v>102.4</v>
      </c>
      <c r="F2979" s="5">
        <v>204.7</v>
      </c>
      <c r="G2979" s="5">
        <v>102.1</v>
      </c>
      <c r="H2979" s="5">
        <v>102</v>
      </c>
      <c r="I2979" s="5">
        <v>0</v>
      </c>
      <c r="J2979" s="5">
        <v>0</v>
      </c>
      <c r="K2979" s="5">
        <v>0</v>
      </c>
    </row>
    <row r="2980" spans="1:11" x14ac:dyDescent="0.25">
      <c r="A2980" s="5">
        <f>2973</f>
      </c>
      <c r="B2980" s="5" t="s">
        <v>2988</v>
      </c>
      <c r="C2980" s="5">
        <v>102.2</v>
      </c>
      <c r="D2980" s="5">
        <v>0.1</v>
      </c>
      <c r="E2980" s="5">
        <v>102.4</v>
      </c>
      <c r="F2980" s="5">
        <v>204.7</v>
      </c>
      <c r="G2980" s="5">
        <v>102.1</v>
      </c>
      <c r="H2980" s="5">
        <v>102</v>
      </c>
      <c r="I2980" s="5">
        <v>0</v>
      </c>
      <c r="J2980" s="5">
        <v>0</v>
      </c>
      <c r="K2980" s="5">
        <v>0</v>
      </c>
    </row>
    <row r="2981" spans="1:11" x14ac:dyDescent="0.25">
      <c r="A2981" s="5">
        <f>2974</f>
      </c>
      <c r="B2981" s="5" t="s">
        <v>2989</v>
      </c>
      <c r="C2981" s="5">
        <v>102.2</v>
      </c>
      <c r="D2981" s="5">
        <v>0.1</v>
      </c>
      <c r="E2981" s="5">
        <v>102.4</v>
      </c>
      <c r="F2981" s="5">
        <v>204.7</v>
      </c>
      <c r="G2981" s="5">
        <v>102.1</v>
      </c>
      <c r="H2981" s="5">
        <v>102</v>
      </c>
      <c r="I2981" s="5">
        <v>0</v>
      </c>
      <c r="J2981" s="5">
        <v>0</v>
      </c>
      <c r="K2981" s="5">
        <v>0</v>
      </c>
    </row>
    <row r="2982" spans="1:11" x14ac:dyDescent="0.25">
      <c r="A2982" s="5">
        <f>2975</f>
      </c>
      <c r="B2982" s="5" t="s">
        <v>2990</v>
      </c>
      <c r="C2982" s="5">
        <v>102.3</v>
      </c>
      <c r="D2982" s="5">
        <v>0.1</v>
      </c>
      <c r="E2982" s="5">
        <v>102.4</v>
      </c>
      <c r="F2982" s="5">
        <v>205.4</v>
      </c>
      <c r="G2982" s="5">
        <v>102.2</v>
      </c>
      <c r="H2982" s="5">
        <v>101.9</v>
      </c>
      <c r="I2982" s="5">
        <v>0</v>
      </c>
      <c r="J2982" s="5">
        <v>0</v>
      </c>
      <c r="K2982" s="5">
        <v>0</v>
      </c>
    </row>
    <row r="2983" spans="1:11" x14ac:dyDescent="0.25">
      <c r="A2983" s="5">
        <f>2976</f>
      </c>
      <c r="B2983" s="5" t="s">
        <v>2991</v>
      </c>
      <c r="C2983" s="5">
        <v>102.3</v>
      </c>
      <c r="D2983" s="5">
        <v>0.1</v>
      </c>
      <c r="E2983" s="5">
        <v>102.4</v>
      </c>
      <c r="F2983" s="5">
        <v>205.4</v>
      </c>
      <c r="G2983" s="5">
        <v>102.2</v>
      </c>
      <c r="H2983" s="5">
        <v>101.9</v>
      </c>
      <c r="I2983" s="5">
        <v>0</v>
      </c>
      <c r="J2983" s="5">
        <v>0</v>
      </c>
      <c r="K2983" s="5">
        <v>0</v>
      </c>
    </row>
    <row r="2984" spans="1:11" x14ac:dyDescent="0.25">
      <c r="A2984" s="5">
        <f>2977</f>
      </c>
      <c r="B2984" s="5" t="s">
        <v>2992</v>
      </c>
      <c r="C2984" s="5">
        <v>102.5</v>
      </c>
      <c r="D2984" s="5">
        <v>0.1</v>
      </c>
      <c r="E2984" s="5">
        <v>102.6</v>
      </c>
      <c r="F2984" s="5">
        <v>205.7</v>
      </c>
      <c r="G2984" s="5">
        <v>102.4</v>
      </c>
      <c r="H2984" s="5">
        <v>102.1</v>
      </c>
      <c r="I2984" s="5">
        <v>0</v>
      </c>
      <c r="J2984" s="5">
        <v>0</v>
      </c>
      <c r="K2984" s="5">
        <v>0</v>
      </c>
    </row>
    <row r="2985" spans="1:11" x14ac:dyDescent="0.25">
      <c r="A2985" s="5">
        <f>2978</f>
      </c>
      <c r="B2985" s="5" t="s">
        <v>2993</v>
      </c>
      <c r="C2985" s="5">
        <v>102.5</v>
      </c>
      <c r="D2985" s="5">
        <v>0.1</v>
      </c>
      <c r="E2985" s="5">
        <v>102.6</v>
      </c>
      <c r="F2985" s="5">
        <v>205.7</v>
      </c>
      <c r="G2985" s="5">
        <v>102.4</v>
      </c>
      <c r="H2985" s="5">
        <v>102.1</v>
      </c>
      <c r="I2985" s="5">
        <v>0</v>
      </c>
      <c r="J2985" s="5">
        <v>0</v>
      </c>
      <c r="K2985" s="5">
        <v>0</v>
      </c>
    </row>
    <row r="2986" spans="1:11" x14ac:dyDescent="0.25">
      <c r="A2986" s="5">
        <f>2979</f>
      </c>
      <c r="B2986" s="5" t="s">
        <v>2994</v>
      </c>
      <c r="C2986" s="5">
        <v>102.4</v>
      </c>
      <c r="D2986" s="5">
        <v>0.1</v>
      </c>
      <c r="E2986" s="5">
        <v>102.6</v>
      </c>
      <c r="F2986" s="5">
        <v>204.8</v>
      </c>
      <c r="G2986" s="5">
        <v>102.2</v>
      </c>
      <c r="H2986" s="5">
        <v>102</v>
      </c>
      <c r="I2986" s="5">
        <v>0</v>
      </c>
      <c r="J2986" s="5">
        <v>0</v>
      </c>
      <c r="K2986" s="5">
        <v>0</v>
      </c>
    </row>
    <row r="2987" spans="1:11" x14ac:dyDescent="0.25">
      <c r="A2987" s="5">
        <f>2980</f>
      </c>
      <c r="B2987" s="5" t="s">
        <v>2995</v>
      </c>
      <c r="C2987" s="5">
        <v>102.4</v>
      </c>
      <c r="D2987" s="5">
        <v>0.1</v>
      </c>
      <c r="E2987" s="5">
        <v>102.6</v>
      </c>
      <c r="F2987" s="5">
        <v>204.8</v>
      </c>
      <c r="G2987" s="5">
        <v>102.2</v>
      </c>
      <c r="H2987" s="5">
        <v>102</v>
      </c>
      <c r="I2987" s="5">
        <v>0</v>
      </c>
      <c r="J2987" s="5">
        <v>0</v>
      </c>
      <c r="K2987" s="5">
        <v>0</v>
      </c>
    </row>
    <row r="2988" spans="1:11" x14ac:dyDescent="0.25">
      <c r="A2988" s="5">
        <f>2981</f>
      </c>
      <c r="B2988" s="5" t="s">
        <v>2996</v>
      </c>
      <c r="C2988" s="5">
        <v>103.5</v>
      </c>
      <c r="D2988" s="5">
        <v>0.1</v>
      </c>
      <c r="E2988" s="5">
        <v>103.7</v>
      </c>
      <c r="F2988" s="5">
        <v>206.3</v>
      </c>
      <c r="G2988" s="5">
        <v>103</v>
      </c>
      <c r="H2988" s="5">
        <v>102.8</v>
      </c>
      <c r="I2988" s="5">
        <v>0</v>
      </c>
      <c r="J2988" s="5">
        <v>0</v>
      </c>
      <c r="K2988" s="5">
        <v>0</v>
      </c>
    </row>
    <row r="2989" spans="1:11" x14ac:dyDescent="0.25">
      <c r="A2989" s="5">
        <f>2982</f>
      </c>
      <c r="B2989" s="5" t="s">
        <v>2997</v>
      </c>
      <c r="C2989" s="5">
        <v>103.5</v>
      </c>
      <c r="D2989" s="5">
        <v>0.1</v>
      </c>
      <c r="E2989" s="5">
        <v>103.7</v>
      </c>
      <c r="F2989" s="5">
        <v>206.3</v>
      </c>
      <c r="G2989" s="5">
        <v>103</v>
      </c>
      <c r="H2989" s="5">
        <v>102.8</v>
      </c>
      <c r="I2989" s="5">
        <v>0</v>
      </c>
      <c r="J2989" s="5">
        <v>0</v>
      </c>
      <c r="K2989" s="5">
        <v>0</v>
      </c>
    </row>
    <row r="2990" spans="1:11" x14ac:dyDescent="0.25">
      <c r="A2990" s="5">
        <f>2983</f>
      </c>
      <c r="B2990" s="5" t="s">
        <v>2998</v>
      </c>
      <c r="C2990" s="5">
        <v>103.5</v>
      </c>
      <c r="D2990" s="5">
        <v>0.1</v>
      </c>
      <c r="E2990" s="5">
        <v>103.7</v>
      </c>
      <c r="F2990" s="5">
        <v>206.3</v>
      </c>
      <c r="G2990" s="5">
        <v>103</v>
      </c>
      <c r="H2990" s="5">
        <v>102.8</v>
      </c>
      <c r="I2990" s="5">
        <v>0</v>
      </c>
      <c r="J2990" s="5">
        <v>0</v>
      </c>
      <c r="K2990" s="5">
        <v>0</v>
      </c>
    </row>
    <row r="2991" spans="1:11" x14ac:dyDescent="0.25">
      <c r="A2991" s="5">
        <f>2984</f>
      </c>
      <c r="B2991" s="5" t="s">
        <v>2999</v>
      </c>
      <c r="C2991" s="5">
        <v>103.5</v>
      </c>
      <c r="D2991" s="5">
        <v>0.1</v>
      </c>
      <c r="E2991" s="5">
        <v>103.7</v>
      </c>
      <c r="F2991" s="5">
        <v>206.3</v>
      </c>
      <c r="G2991" s="5">
        <v>103</v>
      </c>
      <c r="H2991" s="5">
        <v>102.8</v>
      </c>
      <c r="I2991" s="5">
        <v>0</v>
      </c>
      <c r="J2991" s="5">
        <v>0</v>
      </c>
      <c r="K2991" s="5">
        <v>0</v>
      </c>
    </row>
    <row r="2992" spans="1:11" x14ac:dyDescent="0.25">
      <c r="A2992" s="5">
        <f>2985</f>
      </c>
      <c r="B2992" s="5" t="s">
        <v>3000</v>
      </c>
      <c r="C2992" s="5">
        <v>103.3</v>
      </c>
      <c r="D2992" s="5">
        <v>0.1</v>
      </c>
      <c r="E2992" s="5">
        <v>103.4</v>
      </c>
      <c r="F2992" s="5">
        <v>205.6</v>
      </c>
      <c r="G2992" s="5">
        <v>102.5</v>
      </c>
      <c r="H2992" s="5">
        <v>102.3</v>
      </c>
      <c r="I2992" s="5">
        <v>0</v>
      </c>
      <c r="J2992" s="5">
        <v>0</v>
      </c>
      <c r="K2992" s="5">
        <v>0</v>
      </c>
    </row>
    <row r="2993" spans="1:11" x14ac:dyDescent="0.25">
      <c r="A2993" s="5">
        <f>2986</f>
      </c>
      <c r="B2993" s="5" t="s">
        <v>3001</v>
      </c>
      <c r="C2993" s="5">
        <v>103.3</v>
      </c>
      <c r="D2993" s="5">
        <v>0.1</v>
      </c>
      <c r="E2993" s="5">
        <v>103.4</v>
      </c>
      <c r="F2993" s="5">
        <v>205.6</v>
      </c>
      <c r="G2993" s="5">
        <v>102.5</v>
      </c>
      <c r="H2993" s="5">
        <v>102.3</v>
      </c>
      <c r="I2993" s="5">
        <v>0</v>
      </c>
      <c r="J2993" s="5">
        <v>0</v>
      </c>
      <c r="K2993" s="5">
        <v>0</v>
      </c>
    </row>
    <row r="2994" spans="1:11" x14ac:dyDescent="0.25">
      <c r="A2994" s="5">
        <f>2987</f>
      </c>
      <c r="B2994" s="5" t="s">
        <v>3002</v>
      </c>
      <c r="C2994" s="5">
        <v>103</v>
      </c>
      <c r="D2994" s="5">
        <v>0.1</v>
      </c>
      <c r="E2994" s="5">
        <v>103.1</v>
      </c>
      <c r="F2994" s="5">
        <v>205.6</v>
      </c>
      <c r="G2994" s="5">
        <v>102.5</v>
      </c>
      <c r="H2994" s="5">
        <v>102.5</v>
      </c>
      <c r="I2994" s="5">
        <v>0</v>
      </c>
      <c r="J2994" s="5">
        <v>0</v>
      </c>
      <c r="K2994" s="5">
        <v>0</v>
      </c>
    </row>
    <row r="2995" spans="1:11" x14ac:dyDescent="0.25">
      <c r="A2995" s="5">
        <f>2988</f>
      </c>
      <c r="B2995" s="5" t="s">
        <v>3003</v>
      </c>
      <c r="C2995" s="5">
        <v>103</v>
      </c>
      <c r="D2995" s="5">
        <v>0.1</v>
      </c>
      <c r="E2995" s="5">
        <v>103.1</v>
      </c>
      <c r="F2995" s="5">
        <v>205.6</v>
      </c>
      <c r="G2995" s="5">
        <v>102.5</v>
      </c>
      <c r="H2995" s="5">
        <v>102.5</v>
      </c>
      <c r="I2995" s="5">
        <v>0</v>
      </c>
      <c r="J2995" s="5">
        <v>0</v>
      </c>
      <c r="K2995" s="5">
        <v>0</v>
      </c>
    </row>
    <row r="2996" spans="1:11" x14ac:dyDescent="0.25">
      <c r="A2996" s="5">
        <f>2989</f>
      </c>
      <c r="B2996" s="5" t="s">
        <v>3004</v>
      </c>
      <c r="C2996" s="5">
        <v>103.6</v>
      </c>
      <c r="D2996" s="5">
        <v>0.1</v>
      </c>
      <c r="E2996" s="5">
        <v>103.7</v>
      </c>
      <c r="F2996" s="5">
        <v>206.7</v>
      </c>
      <c r="G2996" s="5">
        <v>103.2</v>
      </c>
      <c r="H2996" s="5">
        <v>103</v>
      </c>
      <c r="I2996" s="5">
        <v>0</v>
      </c>
      <c r="J2996" s="5">
        <v>0</v>
      </c>
      <c r="K2996" s="5">
        <v>0</v>
      </c>
    </row>
    <row r="2997" spans="1:11" x14ac:dyDescent="0.25">
      <c r="A2997" s="5">
        <f>2990</f>
      </c>
      <c r="B2997" s="5" t="s">
        <v>3005</v>
      </c>
      <c r="C2997" s="5">
        <v>103.6</v>
      </c>
      <c r="D2997" s="5">
        <v>0.1</v>
      </c>
      <c r="E2997" s="5">
        <v>103.7</v>
      </c>
      <c r="F2997" s="5">
        <v>206.7</v>
      </c>
      <c r="G2997" s="5">
        <v>103.2</v>
      </c>
      <c r="H2997" s="5">
        <v>103</v>
      </c>
      <c r="I2997" s="5">
        <v>0</v>
      </c>
      <c r="J2997" s="5">
        <v>0</v>
      </c>
      <c r="K2997" s="5">
        <v>0</v>
      </c>
    </row>
    <row r="2998" spans="1:11" x14ac:dyDescent="0.25">
      <c r="A2998" s="5">
        <f>2991</f>
      </c>
      <c r="B2998" s="5" t="s">
        <v>3006</v>
      </c>
      <c r="C2998" s="5">
        <v>103.7</v>
      </c>
      <c r="D2998" s="5">
        <v>0.1</v>
      </c>
      <c r="E2998" s="5">
        <v>103.9</v>
      </c>
      <c r="F2998" s="5">
        <v>207.1</v>
      </c>
      <c r="G2998" s="5">
        <v>103.3</v>
      </c>
      <c r="H2998" s="5">
        <v>103.1</v>
      </c>
      <c r="I2998" s="5">
        <v>0</v>
      </c>
      <c r="J2998" s="5">
        <v>0</v>
      </c>
      <c r="K2998" s="5">
        <v>0</v>
      </c>
    </row>
    <row r="2999" spans="1:11" x14ac:dyDescent="0.25">
      <c r="A2999" s="5">
        <f>2992</f>
      </c>
      <c r="B2999" s="5" t="s">
        <v>3007</v>
      </c>
      <c r="C2999" s="5">
        <v>103.7</v>
      </c>
      <c r="D2999" s="5">
        <v>0.1</v>
      </c>
      <c r="E2999" s="5">
        <v>103.9</v>
      </c>
      <c r="F2999" s="5">
        <v>207.1</v>
      </c>
      <c r="G2999" s="5">
        <v>103.3</v>
      </c>
      <c r="H2999" s="5">
        <v>103.1</v>
      </c>
      <c r="I2999" s="5">
        <v>0</v>
      </c>
      <c r="J2999" s="5">
        <v>0</v>
      </c>
      <c r="K2999" s="5">
        <v>0</v>
      </c>
    </row>
    <row r="3000" spans="1:11" x14ac:dyDescent="0.25">
      <c r="A3000" s="5">
        <f>2993</f>
      </c>
      <c r="B3000" s="5" t="s">
        <v>3008</v>
      </c>
      <c r="C3000" s="5">
        <v>103.7</v>
      </c>
      <c r="D3000" s="5">
        <v>0.1</v>
      </c>
      <c r="E3000" s="5">
        <v>103.9</v>
      </c>
      <c r="F3000" s="5">
        <v>207.1</v>
      </c>
      <c r="G3000" s="5">
        <v>103.3</v>
      </c>
      <c r="H3000" s="5">
        <v>103.1</v>
      </c>
      <c r="I3000" s="5">
        <v>0</v>
      </c>
      <c r="J3000" s="5">
        <v>0</v>
      </c>
      <c r="K3000" s="5">
        <v>0</v>
      </c>
    </row>
    <row r="3001" spans="1:11" x14ac:dyDescent="0.25">
      <c r="A3001" s="5">
        <f>2994</f>
      </c>
      <c r="B3001" s="5" t="s">
        <v>3009</v>
      </c>
      <c r="C3001" s="5">
        <v>103.7</v>
      </c>
      <c r="D3001" s="5">
        <v>0.1</v>
      </c>
      <c r="E3001" s="5">
        <v>103.9</v>
      </c>
      <c r="F3001" s="5">
        <v>207.1</v>
      </c>
      <c r="G3001" s="5">
        <v>103.3</v>
      </c>
      <c r="H3001" s="5">
        <v>103.1</v>
      </c>
      <c r="I3001" s="5">
        <v>0</v>
      </c>
      <c r="J3001" s="5">
        <v>0</v>
      </c>
      <c r="K3001" s="5">
        <v>0</v>
      </c>
    </row>
    <row r="3002" spans="1:11" x14ac:dyDescent="0.25">
      <c r="A3002" s="5">
        <f>2995</f>
      </c>
      <c r="B3002" s="5" t="s">
        <v>3010</v>
      </c>
      <c r="C3002" s="5">
        <v>103.3</v>
      </c>
      <c r="D3002" s="5">
        <v>0.1</v>
      </c>
      <c r="E3002" s="5">
        <v>103.4</v>
      </c>
      <c r="F3002" s="5">
        <v>206.1</v>
      </c>
      <c r="G3002" s="5">
        <v>102.8</v>
      </c>
      <c r="H3002" s="5">
        <v>102.7</v>
      </c>
      <c r="I3002" s="5">
        <v>0</v>
      </c>
      <c r="J3002" s="5">
        <v>0</v>
      </c>
      <c r="K3002" s="5">
        <v>0</v>
      </c>
    </row>
    <row r="3003" spans="1:11" x14ac:dyDescent="0.25">
      <c r="A3003" s="5">
        <f>2996</f>
      </c>
      <c r="B3003" s="5" t="s">
        <v>3011</v>
      </c>
      <c r="C3003" s="5">
        <v>103.3</v>
      </c>
      <c r="D3003" s="5">
        <v>0.1</v>
      </c>
      <c r="E3003" s="5">
        <v>103.4</v>
      </c>
      <c r="F3003" s="5">
        <v>206.1</v>
      </c>
      <c r="G3003" s="5">
        <v>102.8</v>
      </c>
      <c r="H3003" s="5">
        <v>102.7</v>
      </c>
      <c r="I3003" s="5">
        <v>0</v>
      </c>
      <c r="J3003" s="5">
        <v>0</v>
      </c>
      <c r="K3003" s="5">
        <v>0</v>
      </c>
    </row>
    <row r="3004" spans="1:11" x14ac:dyDescent="0.25">
      <c r="A3004" s="5">
        <f>2997</f>
      </c>
      <c r="B3004" s="5" t="s">
        <v>3012</v>
      </c>
      <c r="C3004" s="5">
        <v>102.9</v>
      </c>
      <c r="D3004" s="5">
        <v>0.1</v>
      </c>
      <c r="E3004" s="5">
        <v>103.1</v>
      </c>
      <c r="F3004" s="5">
        <v>205.2</v>
      </c>
      <c r="G3004" s="5">
        <v>102.4</v>
      </c>
      <c r="H3004" s="5">
        <v>102.3</v>
      </c>
      <c r="I3004" s="5">
        <v>0</v>
      </c>
      <c r="J3004" s="5">
        <v>0</v>
      </c>
      <c r="K3004" s="5">
        <v>0</v>
      </c>
    </row>
    <row r="3005" spans="1:11" x14ac:dyDescent="0.25">
      <c r="A3005" s="5">
        <f>2998</f>
      </c>
      <c r="B3005" s="5" t="s">
        <v>3013</v>
      </c>
      <c r="C3005" s="5">
        <v>102.9</v>
      </c>
      <c r="D3005" s="5">
        <v>0.1</v>
      </c>
      <c r="E3005" s="5">
        <v>103.1</v>
      </c>
      <c r="F3005" s="5">
        <v>205.2</v>
      </c>
      <c r="G3005" s="5">
        <v>102.4</v>
      </c>
      <c r="H3005" s="5">
        <v>102.3</v>
      </c>
      <c r="I3005" s="5">
        <v>0</v>
      </c>
      <c r="J3005" s="5">
        <v>0</v>
      </c>
      <c r="K3005" s="5">
        <v>0</v>
      </c>
    </row>
    <row r="3006" spans="1:11" x14ac:dyDescent="0.25">
      <c r="A3006" s="5">
        <f>2999</f>
      </c>
      <c r="B3006" s="5" t="s">
        <v>3014</v>
      </c>
      <c r="C3006" s="5">
        <v>102.7</v>
      </c>
      <c r="D3006" s="5">
        <v>0.1</v>
      </c>
      <c r="E3006" s="5">
        <v>102.8</v>
      </c>
      <c r="F3006" s="5">
        <v>205.5</v>
      </c>
      <c r="G3006" s="5">
        <v>102.4</v>
      </c>
      <c r="H3006" s="5">
        <v>102.4</v>
      </c>
      <c r="I3006" s="5">
        <v>0</v>
      </c>
      <c r="J3006" s="5">
        <v>0</v>
      </c>
      <c r="K3006" s="5">
        <v>0</v>
      </c>
    </row>
    <row r="3007" spans="1:11" x14ac:dyDescent="0.25">
      <c r="A3007" s="5">
        <f>3000</f>
      </c>
      <c r="B3007" s="5" t="s">
        <v>3015</v>
      </c>
      <c r="C3007" s="5">
        <v>102.7</v>
      </c>
      <c r="D3007" s="5">
        <v>0.1</v>
      </c>
      <c r="E3007" s="5">
        <v>102.8</v>
      </c>
      <c r="F3007" s="5">
        <v>205.5</v>
      </c>
      <c r="G3007" s="5">
        <v>102.5</v>
      </c>
      <c r="H3007" s="5">
        <v>102.4</v>
      </c>
      <c r="I3007" s="5">
        <v>0</v>
      </c>
      <c r="J3007" s="5">
        <v>0</v>
      </c>
      <c r="K3007" s="5">
        <v>0</v>
      </c>
    </row>
    <row r="3008" spans="1:11" x14ac:dyDescent="0.25">
      <c r="A3008" s="5">
        <f>3001</f>
      </c>
      <c r="B3008" s="5" t="s">
        <v>3016</v>
      </c>
      <c r="C3008" s="5">
        <v>103.3</v>
      </c>
      <c r="D3008" s="5">
        <v>0.1</v>
      </c>
      <c r="E3008" s="5">
        <v>102.8</v>
      </c>
      <c r="F3008" s="5">
        <v>205.5</v>
      </c>
      <c r="G3008" s="5">
        <v>102.5</v>
      </c>
      <c r="H3008" s="5">
        <v>102.7</v>
      </c>
      <c r="I3008" s="5">
        <v>0</v>
      </c>
      <c r="J3008" s="5">
        <v>0</v>
      </c>
      <c r="K3008" s="5">
        <v>0</v>
      </c>
    </row>
    <row r="3009" spans="1:11" x14ac:dyDescent="0.25">
      <c r="A3009" s="5">
        <f>3002</f>
      </c>
      <c r="B3009" s="5" t="s">
        <v>3017</v>
      </c>
      <c r="C3009" s="5">
        <v>103.3</v>
      </c>
      <c r="D3009" s="5">
        <v>0.1</v>
      </c>
      <c r="E3009" s="5">
        <v>103.4</v>
      </c>
      <c r="F3009" s="5">
        <v>206.1</v>
      </c>
      <c r="G3009" s="5">
        <v>102.8</v>
      </c>
      <c r="H3009" s="5">
        <v>102.7</v>
      </c>
      <c r="I3009" s="5">
        <v>0</v>
      </c>
      <c r="J3009" s="5">
        <v>0</v>
      </c>
      <c r="K3009" s="5">
        <v>0</v>
      </c>
    </row>
    <row r="3010" spans="1:11" x14ac:dyDescent="0.25">
      <c r="A3010" s="5">
        <f>3003</f>
      </c>
      <c r="B3010" s="5" t="s">
        <v>3018</v>
      </c>
      <c r="C3010" s="5">
        <v>103.3</v>
      </c>
      <c r="D3010" s="5">
        <v>0.1</v>
      </c>
      <c r="E3010" s="5">
        <v>103.4</v>
      </c>
      <c r="F3010" s="5">
        <v>206.1</v>
      </c>
      <c r="G3010" s="5">
        <v>102.8</v>
      </c>
      <c r="H3010" s="5">
        <v>102.7</v>
      </c>
      <c r="I3010" s="5">
        <v>0</v>
      </c>
      <c r="J3010" s="5">
        <v>0</v>
      </c>
      <c r="K3010" s="5">
        <v>0</v>
      </c>
    </row>
    <row r="3011" spans="1:11" x14ac:dyDescent="0.25">
      <c r="A3011" s="5">
        <f>3004</f>
      </c>
      <c r="B3011" s="5" t="s">
        <v>3019</v>
      </c>
      <c r="C3011" s="5">
        <v>103.3</v>
      </c>
      <c r="D3011" s="5">
        <v>0.1</v>
      </c>
      <c r="E3011" s="5">
        <v>103.4</v>
      </c>
      <c r="F3011" s="5">
        <v>206.1</v>
      </c>
      <c r="G3011" s="5">
        <v>102.8</v>
      </c>
      <c r="H3011" s="5">
        <v>102.7</v>
      </c>
      <c r="I3011" s="5">
        <v>0</v>
      </c>
      <c r="J3011" s="5">
        <v>0</v>
      </c>
      <c r="K3011" s="5">
        <v>0</v>
      </c>
    </row>
    <row r="3012" spans="1:11" x14ac:dyDescent="0.25">
      <c r="A3012" s="5">
        <f>3005</f>
      </c>
      <c r="B3012" s="5" t="s">
        <v>3020</v>
      </c>
      <c r="C3012" s="5">
        <v>102.7</v>
      </c>
      <c r="D3012" s="5">
        <v>0.1</v>
      </c>
      <c r="E3012" s="5">
        <v>102.8</v>
      </c>
      <c r="F3012" s="5">
        <v>205.2</v>
      </c>
      <c r="G3012" s="5">
        <v>102.4</v>
      </c>
      <c r="H3012" s="5">
        <v>102.2</v>
      </c>
      <c r="I3012" s="5">
        <v>0</v>
      </c>
      <c r="J3012" s="5">
        <v>0</v>
      </c>
      <c r="K3012" s="5">
        <v>0</v>
      </c>
    </row>
    <row r="3013" spans="1:11" x14ac:dyDescent="0.25">
      <c r="A3013" s="5">
        <f>3006</f>
      </c>
      <c r="B3013" s="5" t="s">
        <v>3021</v>
      </c>
      <c r="C3013" s="5">
        <v>102.7</v>
      </c>
      <c r="D3013" s="5">
        <v>0.1</v>
      </c>
      <c r="E3013" s="5">
        <v>102.8</v>
      </c>
      <c r="F3013" s="5">
        <v>205.2</v>
      </c>
      <c r="G3013" s="5">
        <v>102.4</v>
      </c>
      <c r="H3013" s="5">
        <v>102.2</v>
      </c>
      <c r="I3013" s="5">
        <v>0</v>
      </c>
      <c r="J3013" s="5">
        <v>0</v>
      </c>
      <c r="K3013" s="5">
        <v>0</v>
      </c>
    </row>
    <row r="3014" spans="1:11" x14ac:dyDescent="0.25">
      <c r="A3014" s="5">
        <f>3007</f>
      </c>
      <c r="B3014" s="5" t="s">
        <v>3022</v>
      </c>
      <c r="C3014" s="5">
        <v>103.1</v>
      </c>
      <c r="D3014" s="5">
        <v>0.1</v>
      </c>
      <c r="E3014" s="5">
        <v>103.2</v>
      </c>
      <c r="F3014" s="5">
        <v>206.3</v>
      </c>
      <c r="G3014" s="5">
        <v>102.9</v>
      </c>
      <c r="H3014" s="5">
        <v>102.7</v>
      </c>
      <c r="I3014" s="5">
        <v>0</v>
      </c>
      <c r="J3014" s="5">
        <v>0</v>
      </c>
      <c r="K3014" s="5">
        <v>0</v>
      </c>
    </row>
    <row r="3015" spans="1:11" x14ac:dyDescent="0.25">
      <c r="A3015" s="5">
        <f>3008</f>
      </c>
      <c r="B3015" s="5" t="s">
        <v>3023</v>
      </c>
      <c r="C3015" s="5">
        <v>103.1</v>
      </c>
      <c r="D3015" s="5">
        <v>0.1</v>
      </c>
      <c r="E3015" s="5">
        <v>103.2</v>
      </c>
      <c r="F3015" s="5">
        <v>206.3</v>
      </c>
      <c r="G3015" s="5">
        <v>102.9</v>
      </c>
      <c r="H3015" s="5">
        <v>102.7</v>
      </c>
      <c r="I3015" s="5">
        <v>0</v>
      </c>
      <c r="J3015" s="5">
        <v>0</v>
      </c>
      <c r="K3015" s="5">
        <v>0</v>
      </c>
    </row>
    <row r="3016" spans="1:11" x14ac:dyDescent="0.25">
      <c r="A3016" s="5">
        <f>3009</f>
      </c>
      <c r="B3016" s="5" t="s">
        <v>3024</v>
      </c>
      <c r="C3016" s="5">
        <v>103</v>
      </c>
      <c r="D3016" s="5">
        <v>0.1</v>
      </c>
      <c r="E3016" s="5">
        <v>103.1</v>
      </c>
      <c r="F3016" s="5">
        <v>205.6</v>
      </c>
      <c r="G3016" s="5">
        <v>102.6</v>
      </c>
      <c r="H3016" s="5">
        <v>102.5</v>
      </c>
      <c r="I3016" s="5">
        <v>0</v>
      </c>
      <c r="J3016" s="5">
        <v>0</v>
      </c>
      <c r="K3016" s="5">
        <v>0</v>
      </c>
    </row>
    <row r="3017" spans="1:11" x14ac:dyDescent="0.25">
      <c r="A3017" s="5">
        <f>3010</f>
      </c>
      <c r="B3017" s="5" t="s">
        <v>3025</v>
      </c>
      <c r="C3017" s="5">
        <v>103</v>
      </c>
      <c r="D3017" s="5">
        <v>0.1</v>
      </c>
      <c r="E3017" s="5">
        <v>103.1</v>
      </c>
      <c r="F3017" s="5">
        <v>205.6</v>
      </c>
      <c r="G3017" s="5">
        <v>102.6</v>
      </c>
      <c r="H3017" s="5">
        <v>102.5</v>
      </c>
      <c r="I3017" s="5">
        <v>0</v>
      </c>
      <c r="J3017" s="5">
        <v>0</v>
      </c>
      <c r="K3017" s="5">
        <v>0</v>
      </c>
    </row>
    <row r="3018" spans="1:11" x14ac:dyDescent="0.25">
      <c r="A3018" s="5">
        <f>3011</f>
      </c>
      <c r="B3018" s="5" t="s">
        <v>3026</v>
      </c>
      <c r="C3018" s="5">
        <v>102.7</v>
      </c>
      <c r="D3018" s="5">
        <v>0.1</v>
      </c>
      <c r="E3018" s="5">
        <v>102.8</v>
      </c>
      <c r="F3018" s="5">
        <v>205.6</v>
      </c>
      <c r="G3018" s="5">
        <v>102.6</v>
      </c>
      <c r="H3018" s="5">
        <v>102.4</v>
      </c>
      <c r="I3018" s="5">
        <v>0</v>
      </c>
      <c r="J3018" s="5">
        <v>0</v>
      </c>
      <c r="K3018" s="5">
        <v>0</v>
      </c>
    </row>
    <row r="3019" spans="1:11" x14ac:dyDescent="0.25">
      <c r="A3019" s="5">
        <f>3012</f>
      </c>
      <c r="B3019" s="5" t="s">
        <v>3027</v>
      </c>
      <c r="C3019" s="5">
        <v>102.7</v>
      </c>
      <c r="D3019" s="5">
        <v>0.1</v>
      </c>
      <c r="E3019" s="5">
        <v>102.8</v>
      </c>
      <c r="F3019" s="5">
        <v>205.6</v>
      </c>
      <c r="G3019" s="5">
        <v>102.6</v>
      </c>
      <c r="H3019" s="5">
        <v>102.4</v>
      </c>
      <c r="I3019" s="5">
        <v>0</v>
      </c>
      <c r="J3019" s="5">
        <v>0</v>
      </c>
      <c r="K3019" s="5">
        <v>0</v>
      </c>
    </row>
    <row r="3020" spans="1:11" x14ac:dyDescent="0.25">
      <c r="A3020" s="5">
        <f>3013</f>
      </c>
      <c r="B3020" s="5" t="s">
        <v>3028</v>
      </c>
      <c r="C3020" s="5">
        <v>102.7</v>
      </c>
      <c r="D3020" s="5">
        <v>0.1</v>
      </c>
      <c r="E3020" s="5">
        <v>102.8</v>
      </c>
      <c r="F3020" s="5">
        <v>205.6</v>
      </c>
      <c r="G3020" s="5">
        <v>102.6</v>
      </c>
      <c r="H3020" s="5">
        <v>102.4</v>
      </c>
      <c r="I3020" s="5">
        <v>0</v>
      </c>
      <c r="J3020" s="5">
        <v>0</v>
      </c>
      <c r="K3020" s="5">
        <v>0</v>
      </c>
    </row>
    <row r="3021" spans="1:11" x14ac:dyDescent="0.25">
      <c r="A3021" s="5">
        <f>3014</f>
      </c>
      <c r="B3021" s="5" t="s">
        <v>3029</v>
      </c>
      <c r="C3021" s="5">
        <v>102.7</v>
      </c>
      <c r="D3021" s="5">
        <v>0.1</v>
      </c>
      <c r="E3021" s="5">
        <v>102.8</v>
      </c>
      <c r="F3021" s="5">
        <v>205.6</v>
      </c>
      <c r="G3021" s="5">
        <v>102.6</v>
      </c>
      <c r="H3021" s="5">
        <v>102.4</v>
      </c>
      <c r="I3021" s="5">
        <v>0</v>
      </c>
      <c r="J3021" s="5">
        <v>0</v>
      </c>
      <c r="K3021" s="5">
        <v>0</v>
      </c>
    </row>
    <row r="3022" spans="1:11" x14ac:dyDescent="0.25">
      <c r="A3022" s="5">
        <f>3015</f>
      </c>
      <c r="B3022" s="5" t="s">
        <v>3030</v>
      </c>
      <c r="C3022" s="5">
        <v>102.7</v>
      </c>
      <c r="D3022" s="5">
        <v>0.1</v>
      </c>
      <c r="E3022" s="5">
        <v>102.8</v>
      </c>
      <c r="F3022" s="5">
        <v>205.2</v>
      </c>
      <c r="G3022" s="5">
        <v>102.4</v>
      </c>
      <c r="H3022" s="5">
        <v>102.3</v>
      </c>
      <c r="I3022" s="5">
        <v>0</v>
      </c>
      <c r="J3022" s="5">
        <v>0</v>
      </c>
      <c r="K3022" s="5">
        <v>0</v>
      </c>
    </row>
    <row r="3023" spans="1:11" x14ac:dyDescent="0.25">
      <c r="A3023" s="5">
        <f>3016</f>
      </c>
      <c r="B3023" s="5" t="s">
        <v>3031</v>
      </c>
      <c r="C3023" s="5">
        <v>102.7</v>
      </c>
      <c r="D3023" s="5">
        <v>0.1</v>
      </c>
      <c r="E3023" s="5">
        <v>102.8</v>
      </c>
      <c r="F3023" s="5">
        <v>205.2</v>
      </c>
      <c r="G3023" s="5">
        <v>102.4</v>
      </c>
      <c r="H3023" s="5">
        <v>102.3</v>
      </c>
      <c r="I3023" s="5">
        <v>0</v>
      </c>
      <c r="J3023" s="5">
        <v>0</v>
      </c>
      <c r="K3023" s="5">
        <v>0</v>
      </c>
    </row>
    <row r="3024" spans="1:11" x14ac:dyDescent="0.25">
      <c r="A3024" s="5">
        <f>3017</f>
      </c>
      <c r="B3024" s="5" t="s">
        <v>3032</v>
      </c>
      <c r="C3024" s="5">
        <v>103.1</v>
      </c>
      <c r="D3024" s="5">
        <v>0.1</v>
      </c>
      <c r="E3024" s="5">
        <v>103.2</v>
      </c>
      <c r="F3024" s="5">
        <v>205.9</v>
      </c>
      <c r="G3024" s="5">
        <v>102.7</v>
      </c>
      <c r="H3024" s="5">
        <v>102.6</v>
      </c>
      <c r="I3024" s="5">
        <v>0</v>
      </c>
      <c r="J3024" s="5">
        <v>0</v>
      </c>
      <c r="K3024" s="5">
        <v>0</v>
      </c>
    </row>
    <row r="3025" spans="1:11" x14ac:dyDescent="0.25">
      <c r="A3025" s="5">
        <f>3018</f>
      </c>
      <c r="B3025" s="5" t="s">
        <v>3033</v>
      </c>
      <c r="C3025" s="5">
        <v>103.1</v>
      </c>
      <c r="D3025" s="5">
        <v>0.1</v>
      </c>
      <c r="E3025" s="5">
        <v>103.2</v>
      </c>
      <c r="F3025" s="5">
        <v>205.9</v>
      </c>
      <c r="G3025" s="5">
        <v>102.7</v>
      </c>
      <c r="H3025" s="5">
        <v>102.6</v>
      </c>
      <c r="I3025" s="5">
        <v>0</v>
      </c>
      <c r="J3025" s="5">
        <v>0</v>
      </c>
      <c r="K3025" s="5">
        <v>0</v>
      </c>
    </row>
    <row r="3026" spans="1:11" x14ac:dyDescent="0.25">
      <c r="A3026" s="5">
        <f>3019</f>
      </c>
      <c r="B3026" s="5" t="s">
        <v>3034</v>
      </c>
      <c r="C3026" s="5">
        <v>102.4</v>
      </c>
      <c r="D3026" s="5">
        <v>0.1</v>
      </c>
      <c r="E3026" s="5">
        <v>102.4</v>
      </c>
      <c r="F3026" s="5">
        <v>204.3</v>
      </c>
      <c r="G3026" s="5">
        <v>101.9</v>
      </c>
      <c r="H3026" s="5">
        <v>101.8</v>
      </c>
      <c r="I3026" s="5">
        <v>0</v>
      </c>
      <c r="J3026" s="5">
        <v>0</v>
      </c>
      <c r="K3026" s="5">
        <v>0</v>
      </c>
    </row>
    <row r="3027" spans="1:11" x14ac:dyDescent="0.25">
      <c r="A3027" s="5">
        <f>3020</f>
      </c>
      <c r="B3027" s="5" t="s">
        <v>3035</v>
      </c>
      <c r="C3027" s="5">
        <v>102.4</v>
      </c>
      <c r="D3027" s="5">
        <v>0.1</v>
      </c>
      <c r="E3027" s="5">
        <v>102.4</v>
      </c>
      <c r="F3027" s="5">
        <v>204.3</v>
      </c>
      <c r="G3027" s="5">
        <v>101.9</v>
      </c>
      <c r="H3027" s="5">
        <v>101.8</v>
      </c>
      <c r="I3027" s="5">
        <v>0</v>
      </c>
      <c r="J3027" s="5">
        <v>0</v>
      </c>
      <c r="K3027" s="5">
        <v>0</v>
      </c>
    </row>
    <row r="3028" spans="1:11" x14ac:dyDescent="0.25">
      <c r="A3028" s="5">
        <f>3021</f>
      </c>
      <c r="B3028" s="5" t="s">
        <v>3036</v>
      </c>
      <c r="C3028" s="5">
        <v>102.9</v>
      </c>
      <c r="D3028" s="5">
        <v>0.1</v>
      </c>
      <c r="E3028" s="5">
        <v>103.1</v>
      </c>
      <c r="F3028" s="5">
        <v>205.8</v>
      </c>
      <c r="G3028" s="5">
        <v>102.7</v>
      </c>
      <c r="H3028" s="5">
        <v>102.5</v>
      </c>
      <c r="I3028" s="5">
        <v>0</v>
      </c>
      <c r="J3028" s="5">
        <v>0</v>
      </c>
      <c r="K3028" s="5">
        <v>0</v>
      </c>
    </row>
    <row r="3029" spans="1:11" x14ac:dyDescent="0.25">
      <c r="A3029" s="5">
        <f>3022</f>
      </c>
      <c r="B3029" s="5" t="s">
        <v>3037</v>
      </c>
      <c r="C3029" s="5">
        <v>102.9</v>
      </c>
      <c r="D3029" s="5">
        <v>0.1</v>
      </c>
      <c r="E3029" s="5">
        <v>103.1</v>
      </c>
      <c r="F3029" s="5">
        <v>205.8</v>
      </c>
      <c r="G3029" s="5">
        <v>102.7</v>
      </c>
      <c r="H3029" s="5">
        <v>102.5</v>
      </c>
      <c r="I3029" s="5">
        <v>0</v>
      </c>
      <c r="J3029" s="5">
        <v>0</v>
      </c>
      <c r="K3029" s="5">
        <v>0</v>
      </c>
    </row>
    <row r="3030" spans="1:11" x14ac:dyDescent="0.25">
      <c r="A3030" s="5">
        <f>3023</f>
      </c>
      <c r="B3030" s="5" t="s">
        <v>3038</v>
      </c>
      <c r="C3030" s="5">
        <v>102.9</v>
      </c>
      <c r="D3030" s="5">
        <v>0.1</v>
      </c>
      <c r="E3030" s="5">
        <v>103.1</v>
      </c>
      <c r="F3030" s="5">
        <v>205.8</v>
      </c>
      <c r="G3030" s="5">
        <v>102.7</v>
      </c>
      <c r="H3030" s="5">
        <v>102.5</v>
      </c>
      <c r="I3030" s="5">
        <v>0</v>
      </c>
      <c r="J3030" s="5">
        <v>0</v>
      </c>
      <c r="K3030" s="5">
        <v>0</v>
      </c>
    </row>
    <row r="3031" spans="1:11" x14ac:dyDescent="0.25">
      <c r="A3031" s="5">
        <f>3024</f>
      </c>
      <c r="B3031" s="5" t="s">
        <v>3039</v>
      </c>
      <c r="C3031" s="5">
        <v>102.9</v>
      </c>
      <c r="D3031" s="5">
        <v>0.1</v>
      </c>
      <c r="E3031" s="5">
        <v>103.1</v>
      </c>
      <c r="F3031" s="5">
        <v>205.8</v>
      </c>
      <c r="G3031" s="5">
        <v>102.7</v>
      </c>
      <c r="H3031" s="5">
        <v>102.5</v>
      </c>
      <c r="I3031" s="5">
        <v>0</v>
      </c>
      <c r="J3031" s="5">
        <v>0</v>
      </c>
      <c r="K3031" s="5">
        <v>0</v>
      </c>
    </row>
    <row r="3032" spans="1:11" x14ac:dyDescent="0.25">
      <c r="A3032" s="5">
        <f>3025</f>
      </c>
      <c r="B3032" s="5" t="s">
        <v>3040</v>
      </c>
      <c r="C3032" s="5">
        <v>102.8</v>
      </c>
      <c r="D3032" s="5">
        <v>0.1</v>
      </c>
      <c r="E3032" s="5">
        <v>103</v>
      </c>
      <c r="F3032" s="5">
        <v>206</v>
      </c>
      <c r="G3032" s="5">
        <v>102.7</v>
      </c>
      <c r="H3032" s="5">
        <v>102.5</v>
      </c>
      <c r="I3032" s="5">
        <v>0</v>
      </c>
      <c r="J3032" s="5">
        <v>0</v>
      </c>
      <c r="K3032" s="5">
        <v>0</v>
      </c>
    </row>
    <row r="3033" spans="1:11" x14ac:dyDescent="0.25">
      <c r="A3033" s="5">
        <f>3026</f>
      </c>
      <c r="B3033" s="5" t="s">
        <v>3041</v>
      </c>
      <c r="C3033" s="5">
        <v>102.8</v>
      </c>
      <c r="D3033" s="5">
        <v>0.1</v>
      </c>
      <c r="E3033" s="5">
        <v>103</v>
      </c>
      <c r="F3033" s="5">
        <v>206</v>
      </c>
      <c r="G3033" s="5">
        <v>102.7</v>
      </c>
      <c r="H3033" s="5">
        <v>102.5</v>
      </c>
      <c r="I3033" s="5">
        <v>0</v>
      </c>
      <c r="J3033" s="5">
        <v>0</v>
      </c>
      <c r="K3033" s="5">
        <v>0</v>
      </c>
    </row>
    <row r="3034" spans="1:11" x14ac:dyDescent="0.25">
      <c r="A3034" s="5">
        <f>3027</f>
      </c>
      <c r="B3034" s="5" t="s">
        <v>3042</v>
      </c>
      <c r="C3034" s="5">
        <v>102.7</v>
      </c>
      <c r="D3034" s="5">
        <v>0.1</v>
      </c>
      <c r="E3034" s="5">
        <v>102.8</v>
      </c>
      <c r="F3034" s="5">
        <v>205.7</v>
      </c>
      <c r="G3034" s="5">
        <v>102.6</v>
      </c>
      <c r="H3034" s="5">
        <v>102.4</v>
      </c>
      <c r="I3034" s="5">
        <v>0</v>
      </c>
      <c r="J3034" s="5">
        <v>0</v>
      </c>
      <c r="K3034" s="5">
        <v>0</v>
      </c>
    </row>
    <row r="3035" spans="1:11" x14ac:dyDescent="0.25">
      <c r="A3035" s="5">
        <f>3028</f>
      </c>
      <c r="B3035" s="5" t="s">
        <v>3043</v>
      </c>
      <c r="C3035" s="5">
        <v>102.7</v>
      </c>
      <c r="D3035" s="5">
        <v>0.1</v>
      </c>
      <c r="E3035" s="5">
        <v>102.8</v>
      </c>
      <c r="F3035" s="5">
        <v>205.7</v>
      </c>
      <c r="G3035" s="5">
        <v>102.6</v>
      </c>
      <c r="H3035" s="5">
        <v>102.4</v>
      </c>
      <c r="I3035" s="5">
        <v>0</v>
      </c>
      <c r="J3035" s="5">
        <v>0</v>
      </c>
      <c r="K3035" s="5">
        <v>0</v>
      </c>
    </row>
    <row r="3036" spans="1:11" x14ac:dyDescent="0.25">
      <c r="A3036" s="5">
        <f>3029</f>
      </c>
      <c r="B3036" s="5" t="s">
        <v>3044</v>
      </c>
      <c r="C3036" s="5">
        <v>103.2</v>
      </c>
      <c r="D3036" s="5">
        <v>0.1</v>
      </c>
      <c r="E3036" s="5">
        <v>103.4</v>
      </c>
      <c r="F3036" s="5">
        <v>205.1</v>
      </c>
      <c r="G3036" s="5">
        <v>102.4</v>
      </c>
      <c r="H3036" s="5">
        <v>102.3</v>
      </c>
      <c r="I3036" s="5">
        <v>0</v>
      </c>
      <c r="J3036" s="5">
        <v>0</v>
      </c>
      <c r="K3036" s="5">
        <v>0</v>
      </c>
    </row>
    <row r="3037" spans="1:11" x14ac:dyDescent="0.25">
      <c r="A3037" s="5">
        <f>3030</f>
      </c>
      <c r="B3037" s="5" t="s">
        <v>3045</v>
      </c>
      <c r="C3037" s="5">
        <v>103.2</v>
      </c>
      <c r="D3037" s="5">
        <v>0.1</v>
      </c>
      <c r="E3037" s="5">
        <v>103.4</v>
      </c>
      <c r="F3037" s="5">
        <v>205.1</v>
      </c>
      <c r="G3037" s="5">
        <v>102.4</v>
      </c>
      <c r="H3037" s="5">
        <v>102.3</v>
      </c>
      <c r="I3037" s="5">
        <v>0</v>
      </c>
      <c r="J3037" s="5">
        <v>0</v>
      </c>
      <c r="K3037" s="5">
        <v>0</v>
      </c>
    </row>
    <row r="3038" spans="1:11" x14ac:dyDescent="0.25">
      <c r="A3038" s="5">
        <f>3031</f>
      </c>
      <c r="B3038" s="5" t="s">
        <v>3046</v>
      </c>
      <c r="C3038" s="5">
        <v>103.4</v>
      </c>
      <c r="D3038" s="5">
        <v>0.1</v>
      </c>
      <c r="E3038" s="5">
        <v>103.5</v>
      </c>
      <c r="F3038" s="5">
        <v>205.4</v>
      </c>
      <c r="G3038" s="5">
        <v>102.5</v>
      </c>
      <c r="H3038" s="5">
        <v>102.3</v>
      </c>
      <c r="I3038" s="5">
        <v>0</v>
      </c>
      <c r="J3038" s="5">
        <v>0</v>
      </c>
      <c r="K3038" s="5">
        <v>0</v>
      </c>
    </row>
    <row r="3039" spans="1:11" x14ac:dyDescent="0.25">
      <c r="A3039" s="5">
        <f>3032</f>
      </c>
      <c r="B3039" s="5" t="s">
        <v>3047</v>
      </c>
      <c r="C3039" s="5">
        <v>103.4</v>
      </c>
      <c r="D3039" s="5">
        <v>0.1</v>
      </c>
      <c r="E3039" s="5">
        <v>103.5</v>
      </c>
      <c r="F3039" s="5">
        <v>205.4</v>
      </c>
      <c r="G3039" s="5">
        <v>102.5</v>
      </c>
      <c r="H3039" s="5">
        <v>102.3</v>
      </c>
      <c r="I3039" s="5">
        <v>0</v>
      </c>
      <c r="J3039" s="5">
        <v>0</v>
      </c>
      <c r="K3039" s="5">
        <v>0</v>
      </c>
    </row>
    <row r="3040" spans="1:11" x14ac:dyDescent="0.25">
      <c r="A3040" s="5">
        <f>3033</f>
      </c>
      <c r="B3040" s="5" t="s">
        <v>3048</v>
      </c>
      <c r="C3040" s="5">
        <v>103.4</v>
      </c>
      <c r="D3040" s="5">
        <v>0.1</v>
      </c>
      <c r="E3040" s="5">
        <v>103.5</v>
      </c>
      <c r="F3040" s="5">
        <v>205.4</v>
      </c>
      <c r="G3040" s="5">
        <v>102.5</v>
      </c>
      <c r="H3040" s="5">
        <v>102.3</v>
      </c>
      <c r="I3040" s="5">
        <v>0</v>
      </c>
      <c r="J3040" s="5">
        <v>0</v>
      </c>
      <c r="K3040" s="5">
        <v>0</v>
      </c>
    </row>
    <row r="3041" spans="1:11" x14ac:dyDescent="0.25">
      <c r="A3041" s="5">
        <f>3034</f>
      </c>
      <c r="B3041" s="5" t="s">
        <v>3049</v>
      </c>
      <c r="C3041" s="5">
        <v>103.4</v>
      </c>
      <c r="D3041" s="5">
        <v>0.1</v>
      </c>
      <c r="E3041" s="5">
        <v>103.5</v>
      </c>
      <c r="F3041" s="5">
        <v>205.4</v>
      </c>
      <c r="G3041" s="5">
        <v>102.5</v>
      </c>
      <c r="H3041" s="5">
        <v>102.3</v>
      </c>
      <c r="I3041" s="5">
        <v>0</v>
      </c>
      <c r="J3041" s="5">
        <v>0</v>
      </c>
      <c r="K3041" s="5">
        <v>0</v>
      </c>
    </row>
    <row r="3042" spans="1:11" x14ac:dyDescent="0.25">
      <c r="A3042" s="5">
        <f>3035</f>
      </c>
      <c r="B3042" s="5" t="s">
        <v>3050</v>
      </c>
      <c r="C3042" s="5">
        <v>103.4</v>
      </c>
      <c r="D3042" s="5">
        <v>0.1</v>
      </c>
      <c r="E3042" s="5">
        <v>103.6</v>
      </c>
      <c r="F3042" s="5">
        <v>206.1</v>
      </c>
      <c r="G3042" s="5">
        <v>102.8</v>
      </c>
      <c r="H3042" s="5">
        <v>102.7</v>
      </c>
      <c r="I3042" s="5">
        <v>0</v>
      </c>
      <c r="J3042" s="5">
        <v>0</v>
      </c>
      <c r="K3042" s="5">
        <v>0</v>
      </c>
    </row>
    <row r="3043" spans="1:11" x14ac:dyDescent="0.25">
      <c r="A3043" s="5">
        <f>3036</f>
      </c>
      <c r="B3043" s="5" t="s">
        <v>3051</v>
      </c>
      <c r="C3043" s="5">
        <v>103.4</v>
      </c>
      <c r="D3043" s="5">
        <v>0.1</v>
      </c>
      <c r="E3043" s="5">
        <v>103.6</v>
      </c>
      <c r="F3043" s="5">
        <v>206.1</v>
      </c>
      <c r="G3043" s="5">
        <v>102.8</v>
      </c>
      <c r="H3043" s="5">
        <v>102.7</v>
      </c>
      <c r="I3043" s="5">
        <v>0</v>
      </c>
      <c r="J3043" s="5">
        <v>0</v>
      </c>
      <c r="K3043" s="5">
        <v>0</v>
      </c>
    </row>
    <row r="3044" spans="1:11" x14ac:dyDescent="0.25">
      <c r="A3044" s="5">
        <f>3037</f>
      </c>
      <c r="B3044" s="5" t="s">
        <v>3052</v>
      </c>
      <c r="C3044" s="5">
        <v>102.8</v>
      </c>
      <c r="D3044" s="5">
        <v>0.1</v>
      </c>
      <c r="E3044" s="5">
        <v>103</v>
      </c>
      <c r="F3044" s="5">
        <v>205.8</v>
      </c>
      <c r="G3044" s="5">
        <v>102.6</v>
      </c>
      <c r="H3044" s="5">
        <v>102.5</v>
      </c>
      <c r="I3044" s="5">
        <v>0</v>
      </c>
      <c r="J3044" s="5">
        <v>0</v>
      </c>
      <c r="K3044" s="5">
        <v>0</v>
      </c>
    </row>
    <row r="3045" spans="1:11" x14ac:dyDescent="0.25">
      <c r="A3045" s="5">
        <f>3038</f>
      </c>
      <c r="B3045" s="5" t="s">
        <v>3053</v>
      </c>
      <c r="C3045" s="5">
        <v>102.8</v>
      </c>
      <c r="D3045" s="5">
        <v>0.1</v>
      </c>
      <c r="E3045" s="5">
        <v>103</v>
      </c>
      <c r="F3045" s="5">
        <v>205.8</v>
      </c>
      <c r="G3045" s="5">
        <v>102.6</v>
      </c>
      <c r="H3045" s="5">
        <v>102.5</v>
      </c>
      <c r="I3045" s="5">
        <v>0</v>
      </c>
      <c r="J3045" s="5">
        <v>0</v>
      </c>
      <c r="K3045" s="5">
        <v>0</v>
      </c>
    </row>
    <row r="3046" spans="1:11" x14ac:dyDescent="0.25">
      <c r="A3046" s="5">
        <f>3039</f>
      </c>
      <c r="B3046" s="5" t="s">
        <v>3054</v>
      </c>
      <c r="C3046" s="5">
        <v>103.1</v>
      </c>
      <c r="D3046" s="5">
        <v>0.1</v>
      </c>
      <c r="E3046" s="5">
        <v>103.2</v>
      </c>
      <c r="F3046" s="5">
        <v>205.7</v>
      </c>
      <c r="G3046" s="5">
        <v>102.6</v>
      </c>
      <c r="H3046" s="5">
        <v>102.5</v>
      </c>
      <c r="I3046" s="5">
        <v>0</v>
      </c>
      <c r="J3046" s="5">
        <v>0</v>
      </c>
      <c r="K3046" s="5">
        <v>0</v>
      </c>
    </row>
    <row r="3047" spans="1:11" x14ac:dyDescent="0.25">
      <c r="A3047" s="5">
        <f>3040</f>
      </c>
      <c r="B3047" s="5" t="s">
        <v>3055</v>
      </c>
      <c r="C3047" s="5">
        <v>103.1</v>
      </c>
      <c r="D3047" s="5">
        <v>0.1</v>
      </c>
      <c r="E3047" s="5">
        <v>103.2</v>
      </c>
      <c r="F3047" s="5">
        <v>205.7</v>
      </c>
      <c r="G3047" s="5">
        <v>102.6</v>
      </c>
      <c r="H3047" s="5">
        <v>102.5</v>
      </c>
      <c r="I3047" s="5">
        <v>0</v>
      </c>
      <c r="J3047" s="5">
        <v>0</v>
      </c>
      <c r="K3047" s="5">
        <v>0</v>
      </c>
    </row>
    <row r="3048" spans="1:11" x14ac:dyDescent="0.25">
      <c r="A3048" s="5">
        <f>3041</f>
      </c>
      <c r="B3048" s="5" t="s">
        <v>3056</v>
      </c>
      <c r="C3048" s="5">
        <v>103.1</v>
      </c>
      <c r="D3048" s="5">
        <v>0.1</v>
      </c>
      <c r="E3048" s="5">
        <v>103.1</v>
      </c>
      <c r="F3048" s="5">
        <v>205.7</v>
      </c>
      <c r="G3048" s="5">
        <v>102.6</v>
      </c>
      <c r="H3048" s="5">
        <v>102.5</v>
      </c>
      <c r="I3048" s="5">
        <v>0</v>
      </c>
      <c r="J3048" s="5">
        <v>0</v>
      </c>
      <c r="K3048" s="5">
        <v>0</v>
      </c>
    </row>
    <row r="3049" spans="1:11" x14ac:dyDescent="0.25">
      <c r="A3049" s="5">
        <f>3042</f>
      </c>
      <c r="B3049" s="5" t="s">
        <v>3057</v>
      </c>
      <c r="C3049" s="5">
        <v>103.1</v>
      </c>
      <c r="D3049" s="5">
        <v>0.1</v>
      </c>
      <c r="E3049" s="5">
        <v>103.1</v>
      </c>
      <c r="F3049" s="5">
        <v>205.7</v>
      </c>
      <c r="G3049" s="5">
        <v>102.6</v>
      </c>
      <c r="H3049" s="5">
        <v>102.5</v>
      </c>
      <c r="I3049" s="5">
        <v>0</v>
      </c>
      <c r="J3049" s="5">
        <v>0</v>
      </c>
      <c r="K3049" s="5">
        <v>0</v>
      </c>
    </row>
    <row r="3050" spans="1:11" x14ac:dyDescent="0.25">
      <c r="A3050" s="5">
        <f>3043</f>
      </c>
      <c r="B3050" s="5" t="s">
        <v>3058</v>
      </c>
      <c r="C3050" s="5">
        <v>103.1</v>
      </c>
      <c r="D3050" s="5">
        <v>0.1</v>
      </c>
      <c r="E3050" s="5">
        <v>103.1</v>
      </c>
      <c r="F3050" s="5">
        <v>205.7</v>
      </c>
      <c r="G3050" s="5">
        <v>102.6</v>
      </c>
      <c r="H3050" s="5">
        <v>102.5</v>
      </c>
      <c r="I3050" s="5">
        <v>0</v>
      </c>
      <c r="J3050" s="5">
        <v>0</v>
      </c>
      <c r="K3050" s="5">
        <v>0</v>
      </c>
    </row>
    <row r="3051" spans="1:11" x14ac:dyDescent="0.25">
      <c r="A3051" s="5">
        <f>3044</f>
      </c>
      <c r="B3051" s="5" t="s">
        <v>3059</v>
      </c>
      <c r="C3051" s="5">
        <v>103.1</v>
      </c>
      <c r="D3051" s="5">
        <v>0.1</v>
      </c>
      <c r="E3051" s="5">
        <v>103.1</v>
      </c>
      <c r="F3051" s="5">
        <v>205.7</v>
      </c>
      <c r="G3051" s="5">
        <v>102.6</v>
      </c>
      <c r="H3051" s="5">
        <v>102.5</v>
      </c>
      <c r="I3051" s="5">
        <v>0</v>
      </c>
      <c r="J3051" s="5">
        <v>0</v>
      </c>
      <c r="K3051" s="5">
        <v>0</v>
      </c>
    </row>
    <row r="3052" spans="1:11" x14ac:dyDescent="0.25">
      <c r="A3052" s="5">
        <f>3045</f>
      </c>
      <c r="B3052" s="5" t="s">
        <v>3060</v>
      </c>
      <c r="C3052" s="5">
        <v>103</v>
      </c>
      <c r="D3052" s="5">
        <v>0.1</v>
      </c>
      <c r="E3052" s="5">
        <v>103.1</v>
      </c>
      <c r="F3052" s="5">
        <v>205.7</v>
      </c>
      <c r="G3052" s="5">
        <v>102.7</v>
      </c>
      <c r="H3052" s="5">
        <v>102.6</v>
      </c>
      <c r="I3052" s="5">
        <v>0</v>
      </c>
      <c r="J3052" s="5">
        <v>0</v>
      </c>
      <c r="K3052" s="5">
        <v>0</v>
      </c>
    </row>
    <row r="3053" spans="1:11" x14ac:dyDescent="0.25">
      <c r="A3053" s="5">
        <f>3046</f>
      </c>
      <c r="B3053" s="5" t="s">
        <v>3061</v>
      </c>
      <c r="C3053" s="5">
        <v>103</v>
      </c>
      <c r="D3053" s="5">
        <v>0.1</v>
      </c>
      <c r="E3053" s="5">
        <v>103.1</v>
      </c>
      <c r="F3053" s="5">
        <v>205.7</v>
      </c>
      <c r="G3053" s="5">
        <v>102.7</v>
      </c>
      <c r="H3053" s="5">
        <v>102.6</v>
      </c>
      <c r="I3053" s="5">
        <v>0</v>
      </c>
      <c r="J3053" s="5">
        <v>0</v>
      </c>
      <c r="K3053" s="5">
        <v>0</v>
      </c>
    </row>
    <row r="3054" spans="1:11" x14ac:dyDescent="0.25">
      <c r="A3054" s="5">
        <f>3047</f>
      </c>
      <c r="B3054" s="5" t="s">
        <v>3062</v>
      </c>
      <c r="C3054" s="5">
        <v>103.7</v>
      </c>
      <c r="D3054" s="5">
        <v>0.1</v>
      </c>
      <c r="E3054" s="5">
        <v>103.8</v>
      </c>
      <c r="F3054" s="5">
        <v>206.8</v>
      </c>
      <c r="G3054" s="5">
        <v>103.2</v>
      </c>
      <c r="H3054" s="5">
        <v>103.1</v>
      </c>
      <c r="I3054" s="5">
        <v>0</v>
      </c>
      <c r="J3054" s="5">
        <v>0</v>
      </c>
      <c r="K3054" s="5">
        <v>0</v>
      </c>
    </row>
    <row r="3055" spans="1:11" x14ac:dyDescent="0.25">
      <c r="A3055" s="5">
        <f>3048</f>
      </c>
      <c r="B3055" s="5" t="s">
        <v>3063</v>
      </c>
      <c r="C3055" s="5">
        <v>103.7</v>
      </c>
      <c r="D3055" s="5">
        <v>0.1</v>
      </c>
      <c r="E3055" s="5">
        <v>103.8</v>
      </c>
      <c r="F3055" s="5">
        <v>206.8</v>
      </c>
      <c r="G3055" s="5">
        <v>103.2</v>
      </c>
      <c r="H3055" s="5">
        <v>103.1</v>
      </c>
      <c r="I3055" s="5">
        <v>0</v>
      </c>
      <c r="J3055" s="5">
        <v>0</v>
      </c>
      <c r="K3055" s="5">
        <v>0</v>
      </c>
    </row>
    <row r="3056" spans="1:11" x14ac:dyDescent="0.25">
      <c r="A3056" s="5">
        <f>3049</f>
      </c>
      <c r="B3056" s="5" t="s">
        <v>3064</v>
      </c>
      <c r="C3056" s="5">
        <v>103.6</v>
      </c>
      <c r="D3056" s="5">
        <v>0.1</v>
      </c>
      <c r="E3056" s="5">
        <v>103.7</v>
      </c>
      <c r="F3056" s="5">
        <v>206.7</v>
      </c>
      <c r="G3056" s="5">
        <v>103.1</v>
      </c>
      <c r="H3056" s="5">
        <v>103</v>
      </c>
      <c r="I3056" s="5">
        <v>0</v>
      </c>
      <c r="J3056" s="5">
        <v>0</v>
      </c>
      <c r="K3056" s="5">
        <v>0</v>
      </c>
    </row>
    <row r="3057" spans="1:11" x14ac:dyDescent="0.25">
      <c r="A3057" s="5">
        <f>3050</f>
      </c>
      <c r="B3057" s="5" t="s">
        <v>3065</v>
      </c>
      <c r="C3057" s="5">
        <v>103.6</v>
      </c>
      <c r="D3057" s="5">
        <v>0.1</v>
      </c>
      <c r="E3057" s="5">
        <v>103.7</v>
      </c>
      <c r="F3057" s="5">
        <v>206.7</v>
      </c>
      <c r="G3057" s="5">
        <v>103.1</v>
      </c>
      <c r="H3057" s="5">
        <v>103</v>
      </c>
      <c r="I3057" s="5">
        <v>0</v>
      </c>
      <c r="J3057" s="5">
        <v>0</v>
      </c>
      <c r="K3057" s="5">
        <v>0</v>
      </c>
    </row>
    <row r="3058" spans="1:11" x14ac:dyDescent="0.25">
      <c r="A3058" s="5">
        <f>3051</f>
      </c>
      <c r="B3058" s="5" t="s">
        <v>3066</v>
      </c>
      <c r="C3058" s="5">
        <v>103.8</v>
      </c>
      <c r="D3058" s="5">
        <v>0.1</v>
      </c>
      <c r="E3058" s="5">
        <v>104</v>
      </c>
      <c r="F3058" s="5">
        <v>207.1</v>
      </c>
      <c r="G3058" s="5">
        <v>103.3</v>
      </c>
      <c r="H3058" s="5">
        <v>103.1</v>
      </c>
      <c r="I3058" s="5">
        <v>0</v>
      </c>
      <c r="J3058" s="5">
        <v>0</v>
      </c>
      <c r="K3058" s="5">
        <v>0</v>
      </c>
    </row>
    <row r="3059" spans="1:11" x14ac:dyDescent="0.25">
      <c r="A3059" s="5">
        <f>3052</f>
      </c>
      <c r="B3059" s="5" t="s">
        <v>3067</v>
      </c>
      <c r="C3059" s="5">
        <v>103.8</v>
      </c>
      <c r="D3059" s="5">
        <v>0.1</v>
      </c>
      <c r="E3059" s="5">
        <v>104</v>
      </c>
      <c r="F3059" s="5">
        <v>207.1</v>
      </c>
      <c r="G3059" s="5">
        <v>103.3</v>
      </c>
      <c r="H3059" s="5">
        <v>103.1</v>
      </c>
      <c r="I3059" s="5">
        <v>0</v>
      </c>
      <c r="J3059" s="5">
        <v>0</v>
      </c>
      <c r="K3059" s="5">
        <v>0</v>
      </c>
    </row>
    <row r="3060" spans="1:11" x14ac:dyDescent="0.25">
      <c r="A3060" s="5">
        <f>3053</f>
      </c>
      <c r="B3060" s="5" t="s">
        <v>3068</v>
      </c>
      <c r="C3060" s="5">
        <v>103.8</v>
      </c>
      <c r="D3060" s="5">
        <v>0.1</v>
      </c>
      <c r="E3060" s="5">
        <v>104</v>
      </c>
      <c r="F3060" s="5">
        <v>207.1</v>
      </c>
      <c r="G3060" s="5">
        <v>103.3</v>
      </c>
      <c r="H3060" s="5">
        <v>103.1</v>
      </c>
      <c r="I3060" s="5">
        <v>0</v>
      </c>
      <c r="J3060" s="5">
        <v>0</v>
      </c>
      <c r="K3060" s="5">
        <v>0</v>
      </c>
    </row>
    <row r="3061" spans="1:11" x14ac:dyDescent="0.25">
      <c r="A3061" s="5">
        <f>3054</f>
      </c>
      <c r="B3061" s="5" t="s">
        <v>3069</v>
      </c>
      <c r="C3061" s="5">
        <v>103.8</v>
      </c>
      <c r="D3061" s="5">
        <v>0.1</v>
      </c>
      <c r="E3061" s="5">
        <v>104</v>
      </c>
      <c r="F3061" s="5">
        <v>207.1</v>
      </c>
      <c r="G3061" s="5">
        <v>103.3</v>
      </c>
      <c r="H3061" s="5">
        <v>103.1</v>
      </c>
      <c r="I3061" s="5">
        <v>0</v>
      </c>
      <c r="J3061" s="5">
        <v>0</v>
      </c>
      <c r="K3061" s="5">
        <v>0</v>
      </c>
    </row>
    <row r="3062" spans="1:11" x14ac:dyDescent="0.25">
      <c r="A3062" s="5">
        <f>3055</f>
      </c>
      <c r="B3062" s="5" t="s">
        <v>3070</v>
      </c>
      <c r="C3062" s="5">
        <v>103.2</v>
      </c>
      <c r="D3062" s="5">
        <v>0.1</v>
      </c>
      <c r="E3062" s="5">
        <v>103.4</v>
      </c>
      <c r="F3062" s="5">
        <v>206</v>
      </c>
      <c r="G3062" s="5">
        <v>102.8</v>
      </c>
      <c r="H3062" s="5">
        <v>102.6</v>
      </c>
      <c r="I3062" s="5">
        <v>0</v>
      </c>
      <c r="J3062" s="5">
        <v>0</v>
      </c>
      <c r="K3062" s="5">
        <v>0</v>
      </c>
    </row>
    <row r="3063" spans="1:11" x14ac:dyDescent="0.25">
      <c r="A3063" s="5">
        <f>3056</f>
      </c>
      <c r="B3063" s="5" t="s">
        <v>3071</v>
      </c>
      <c r="C3063" s="5">
        <v>103.2</v>
      </c>
      <c r="D3063" s="5">
        <v>0.1</v>
      </c>
      <c r="E3063" s="5">
        <v>103.4</v>
      </c>
      <c r="F3063" s="5">
        <v>206</v>
      </c>
      <c r="G3063" s="5">
        <v>102.8</v>
      </c>
      <c r="H3063" s="5">
        <v>102.6</v>
      </c>
      <c r="I3063" s="5">
        <v>0</v>
      </c>
      <c r="J3063" s="5">
        <v>0</v>
      </c>
      <c r="K3063" s="5">
        <v>0</v>
      </c>
    </row>
    <row r="3064" spans="1:11" x14ac:dyDescent="0.25">
      <c r="A3064" s="5">
        <f>3057</f>
      </c>
      <c r="B3064" s="5" t="s">
        <v>3072</v>
      </c>
      <c r="C3064" s="5">
        <v>103.7</v>
      </c>
      <c r="D3064" s="5">
        <v>0.1</v>
      </c>
      <c r="E3064" s="5">
        <v>103.8</v>
      </c>
      <c r="F3064" s="5">
        <v>207.1</v>
      </c>
      <c r="G3064" s="5">
        <v>103.3</v>
      </c>
      <c r="H3064" s="5">
        <v>103.2</v>
      </c>
      <c r="I3064" s="5">
        <v>0</v>
      </c>
      <c r="J3064" s="5">
        <v>0</v>
      </c>
      <c r="K3064" s="5">
        <v>0</v>
      </c>
    </row>
    <row r="3065" spans="1:11" x14ac:dyDescent="0.25">
      <c r="A3065" s="5">
        <f>3058</f>
      </c>
      <c r="B3065" s="5" t="s">
        <v>3073</v>
      </c>
      <c r="C3065" s="5">
        <v>103.7</v>
      </c>
      <c r="D3065" s="5">
        <v>0.1</v>
      </c>
      <c r="E3065" s="5">
        <v>103.8</v>
      </c>
      <c r="F3065" s="5">
        <v>207.1</v>
      </c>
      <c r="G3065" s="5">
        <v>103.3</v>
      </c>
      <c r="H3065" s="5">
        <v>103.2</v>
      </c>
      <c r="I3065" s="5">
        <v>0</v>
      </c>
      <c r="J3065" s="5">
        <v>0</v>
      </c>
      <c r="K3065" s="5">
        <v>0</v>
      </c>
    </row>
    <row r="3066" spans="1:11" x14ac:dyDescent="0.25">
      <c r="A3066" s="5">
        <f>3059</f>
      </c>
      <c r="B3066" s="5" t="s">
        <v>3074</v>
      </c>
      <c r="C3066" s="5">
        <v>104</v>
      </c>
      <c r="D3066" s="5">
        <v>0.1</v>
      </c>
      <c r="E3066" s="5">
        <v>104.2</v>
      </c>
      <c r="F3066" s="5">
        <v>207.7</v>
      </c>
      <c r="G3066" s="5">
        <v>103.6</v>
      </c>
      <c r="H3066" s="5">
        <v>103.4</v>
      </c>
      <c r="I3066" s="5">
        <v>0</v>
      </c>
      <c r="J3066" s="5">
        <v>0</v>
      </c>
      <c r="K3066" s="5">
        <v>0</v>
      </c>
    </row>
    <row r="3067" spans="1:11" x14ac:dyDescent="0.25">
      <c r="A3067" s="5">
        <f>3060</f>
      </c>
      <c r="B3067" s="5" t="s">
        <v>3075</v>
      </c>
      <c r="C3067" s="5">
        <v>104</v>
      </c>
      <c r="D3067" s="5">
        <v>0.1</v>
      </c>
      <c r="E3067" s="5">
        <v>104.2</v>
      </c>
      <c r="F3067" s="5">
        <v>207.7</v>
      </c>
      <c r="G3067" s="5">
        <v>103.6</v>
      </c>
      <c r="H3067" s="5">
        <v>103.4</v>
      </c>
      <c r="I3067" s="5">
        <v>0</v>
      </c>
      <c r="J3067" s="5">
        <v>0</v>
      </c>
      <c r="K3067" s="5">
        <v>0</v>
      </c>
    </row>
    <row r="3068" spans="1:11" x14ac:dyDescent="0.25">
      <c r="A3068" s="5">
        <f>3061</f>
      </c>
      <c r="B3068" s="5" t="s">
        <v>3076</v>
      </c>
      <c r="C3068" s="5">
        <v>104</v>
      </c>
      <c r="D3068" s="5">
        <v>0.1</v>
      </c>
      <c r="E3068" s="5">
        <v>104.2</v>
      </c>
      <c r="F3068" s="5">
        <v>207.2</v>
      </c>
      <c r="G3068" s="5">
        <v>103.4</v>
      </c>
      <c r="H3068" s="5">
        <v>103.3</v>
      </c>
      <c r="I3068" s="5">
        <v>0</v>
      </c>
      <c r="J3068" s="5">
        <v>0</v>
      </c>
      <c r="K3068" s="5">
        <v>0</v>
      </c>
    </row>
    <row r="3069" spans="1:11" x14ac:dyDescent="0.25">
      <c r="A3069" s="5">
        <f>3062</f>
      </c>
      <c r="B3069" s="5" t="s">
        <v>3077</v>
      </c>
      <c r="C3069" s="5">
        <v>104</v>
      </c>
      <c r="D3069" s="5">
        <v>0.1</v>
      </c>
      <c r="E3069" s="5">
        <v>104.2</v>
      </c>
      <c r="F3069" s="5">
        <v>207.2</v>
      </c>
      <c r="G3069" s="5">
        <v>103.4</v>
      </c>
      <c r="H3069" s="5">
        <v>103.3</v>
      </c>
      <c r="I3069" s="5">
        <v>0</v>
      </c>
      <c r="J3069" s="5">
        <v>0</v>
      </c>
      <c r="K3069" s="5">
        <v>0</v>
      </c>
    </row>
    <row r="3070" spans="1:11" x14ac:dyDescent="0.25">
      <c r="A3070" s="5">
        <f>3063</f>
      </c>
      <c r="B3070" s="5" t="s">
        <v>3078</v>
      </c>
      <c r="C3070" s="5">
        <v>104</v>
      </c>
      <c r="D3070" s="5">
        <v>0.1</v>
      </c>
      <c r="E3070" s="5">
        <v>104.2</v>
      </c>
      <c r="F3070" s="5">
        <v>207.2</v>
      </c>
      <c r="G3070" s="5">
        <v>103.4</v>
      </c>
      <c r="H3070" s="5">
        <v>103.3</v>
      </c>
      <c r="I3070" s="5">
        <v>0</v>
      </c>
      <c r="J3070" s="5">
        <v>0</v>
      </c>
      <c r="K3070" s="5">
        <v>0</v>
      </c>
    </row>
    <row r="3071" spans="1:11" x14ac:dyDescent="0.25">
      <c r="A3071" s="5">
        <f>3064</f>
      </c>
      <c r="B3071" s="5" t="s">
        <v>3079</v>
      </c>
      <c r="C3071" s="5">
        <v>104</v>
      </c>
      <c r="D3071" s="5">
        <v>0.1</v>
      </c>
      <c r="E3071" s="5">
        <v>104.2</v>
      </c>
      <c r="F3071" s="5">
        <v>207.2</v>
      </c>
      <c r="G3071" s="5">
        <v>103.4</v>
      </c>
      <c r="H3071" s="5">
        <v>103.3</v>
      </c>
      <c r="I3071" s="5">
        <v>0</v>
      </c>
      <c r="J3071" s="5">
        <v>0</v>
      </c>
      <c r="K3071" s="5">
        <v>0</v>
      </c>
    </row>
    <row r="3072" spans="1:11" x14ac:dyDescent="0.25">
      <c r="A3072" s="5">
        <f>3065</f>
      </c>
      <c r="B3072" s="5" t="s">
        <v>3080</v>
      </c>
      <c r="C3072" s="5">
        <v>103</v>
      </c>
      <c r="D3072" s="5">
        <v>0.1</v>
      </c>
      <c r="E3072" s="5">
        <v>103.1</v>
      </c>
      <c r="F3072" s="5">
        <v>205.7</v>
      </c>
      <c r="G3072" s="5">
        <v>102.6</v>
      </c>
      <c r="H3072" s="5">
        <v>102.5</v>
      </c>
      <c r="I3072" s="5">
        <v>0</v>
      </c>
      <c r="J3072" s="5">
        <v>0</v>
      </c>
      <c r="K3072" s="5">
        <v>0</v>
      </c>
    </row>
    <row r="3073" spans="1:11" x14ac:dyDescent="0.25">
      <c r="A3073" s="5">
        <f>3066</f>
      </c>
      <c r="B3073" s="5" t="s">
        <v>3081</v>
      </c>
      <c r="C3073" s="5">
        <v>103</v>
      </c>
      <c r="D3073" s="5">
        <v>0.1</v>
      </c>
      <c r="E3073" s="5">
        <v>103.1</v>
      </c>
      <c r="F3073" s="5">
        <v>205.7</v>
      </c>
      <c r="G3073" s="5">
        <v>102.6</v>
      </c>
      <c r="H3073" s="5">
        <v>102.5</v>
      </c>
      <c r="I3073" s="5">
        <v>0</v>
      </c>
      <c r="J3073" s="5">
        <v>0</v>
      </c>
      <c r="K3073" s="5">
        <v>0</v>
      </c>
    </row>
    <row r="3074" spans="1:11" x14ac:dyDescent="0.25">
      <c r="A3074" s="5">
        <f>3067</f>
      </c>
      <c r="B3074" s="5" t="s">
        <v>3082</v>
      </c>
      <c r="C3074" s="5">
        <v>102.8</v>
      </c>
      <c r="D3074" s="5">
        <v>0.1</v>
      </c>
      <c r="E3074" s="5">
        <v>103</v>
      </c>
      <c r="F3074" s="5">
        <v>205.7</v>
      </c>
      <c r="G3074" s="5">
        <v>102.6</v>
      </c>
      <c r="H3074" s="5">
        <v>102.5</v>
      </c>
      <c r="I3074" s="5">
        <v>0</v>
      </c>
      <c r="J3074" s="5">
        <v>0</v>
      </c>
      <c r="K3074" s="5">
        <v>0</v>
      </c>
    </row>
    <row r="3075" spans="1:11" x14ac:dyDescent="0.25">
      <c r="A3075" s="5">
        <f>3068</f>
      </c>
      <c r="B3075" s="5" t="s">
        <v>3083</v>
      </c>
      <c r="C3075" s="5">
        <v>102.8</v>
      </c>
      <c r="D3075" s="5">
        <v>0.1</v>
      </c>
      <c r="E3075" s="5">
        <v>103</v>
      </c>
      <c r="F3075" s="5">
        <v>205.7</v>
      </c>
      <c r="G3075" s="5">
        <v>102.6</v>
      </c>
      <c r="H3075" s="5">
        <v>102.5</v>
      </c>
      <c r="I3075" s="5">
        <v>0</v>
      </c>
      <c r="J3075" s="5">
        <v>0</v>
      </c>
      <c r="K3075" s="5">
        <v>0</v>
      </c>
    </row>
    <row r="3076" spans="1:11" x14ac:dyDescent="0.25">
      <c r="A3076" s="5">
        <f>3069</f>
      </c>
      <c r="B3076" s="5" t="s">
        <v>3084</v>
      </c>
      <c r="C3076" s="5">
        <v>103</v>
      </c>
      <c r="D3076" s="5">
        <v>0.1</v>
      </c>
      <c r="E3076" s="5">
        <v>103.1</v>
      </c>
      <c r="F3076" s="5">
        <v>205.5</v>
      </c>
      <c r="G3076" s="5">
        <v>102.5</v>
      </c>
      <c r="H3076" s="5">
        <v>102.4</v>
      </c>
      <c r="I3076" s="5">
        <v>0</v>
      </c>
      <c r="J3076" s="5">
        <v>0</v>
      </c>
      <c r="K3076" s="5">
        <v>0</v>
      </c>
    </row>
    <row r="3077" spans="1:11" x14ac:dyDescent="0.25">
      <c r="A3077" s="5">
        <f>3070</f>
      </c>
      <c r="B3077" s="5" t="s">
        <v>3085</v>
      </c>
      <c r="C3077" s="5">
        <v>103</v>
      </c>
      <c r="D3077" s="5">
        <v>0.1</v>
      </c>
      <c r="E3077" s="5">
        <v>103.1</v>
      </c>
      <c r="F3077" s="5">
        <v>205.5</v>
      </c>
      <c r="G3077" s="5">
        <v>102.5</v>
      </c>
      <c r="H3077" s="5">
        <v>102.4</v>
      </c>
      <c r="I3077" s="5">
        <v>0</v>
      </c>
      <c r="J3077" s="5">
        <v>0</v>
      </c>
      <c r="K3077" s="5">
        <v>0</v>
      </c>
    </row>
    <row r="3078" spans="1:11" x14ac:dyDescent="0.25">
      <c r="A3078" s="5">
        <f>3071</f>
      </c>
      <c r="B3078" s="5" t="s">
        <v>3086</v>
      </c>
      <c r="C3078" s="5">
        <v>103.7</v>
      </c>
      <c r="D3078" s="5">
        <v>0.1</v>
      </c>
      <c r="E3078" s="5">
        <v>103.8</v>
      </c>
      <c r="F3078" s="5">
        <v>206.2</v>
      </c>
      <c r="G3078" s="5">
        <v>102.9</v>
      </c>
      <c r="H3078" s="5">
        <v>102.8</v>
      </c>
      <c r="I3078" s="5">
        <v>0</v>
      </c>
      <c r="J3078" s="5">
        <v>0</v>
      </c>
      <c r="K3078" s="5">
        <v>0</v>
      </c>
    </row>
    <row r="3079" spans="1:11" x14ac:dyDescent="0.25">
      <c r="A3079" s="5">
        <f>3072</f>
      </c>
      <c r="B3079" s="5" t="s">
        <v>3087</v>
      </c>
      <c r="C3079" s="5">
        <v>103.7</v>
      </c>
      <c r="D3079" s="5">
        <v>0.1</v>
      </c>
      <c r="E3079" s="5">
        <v>103.8</v>
      </c>
      <c r="F3079" s="5">
        <v>206.2</v>
      </c>
      <c r="G3079" s="5">
        <v>102.9</v>
      </c>
      <c r="H3079" s="5">
        <v>102.8</v>
      </c>
      <c r="I3079" s="5">
        <v>0</v>
      </c>
      <c r="J3079" s="5">
        <v>0</v>
      </c>
      <c r="K3079" s="5">
        <v>0</v>
      </c>
    </row>
    <row r="3080" spans="1:11" x14ac:dyDescent="0.25">
      <c r="A3080" s="5">
        <f>3073</f>
      </c>
      <c r="B3080" s="5" t="s">
        <v>3088</v>
      </c>
      <c r="C3080" s="5">
        <v>103.7</v>
      </c>
      <c r="D3080" s="5">
        <v>0.1</v>
      </c>
      <c r="E3080" s="5">
        <v>103.8</v>
      </c>
      <c r="F3080" s="5">
        <v>206.2</v>
      </c>
      <c r="G3080" s="5">
        <v>102.9</v>
      </c>
      <c r="H3080" s="5">
        <v>102.8</v>
      </c>
      <c r="I3080" s="5">
        <v>0</v>
      </c>
      <c r="J3080" s="5">
        <v>0</v>
      </c>
      <c r="K3080" s="5">
        <v>0</v>
      </c>
    </row>
    <row r="3081" spans="1:11" x14ac:dyDescent="0.25">
      <c r="A3081" s="5">
        <f>3074</f>
      </c>
      <c r="B3081" s="5" t="s">
        <v>3089</v>
      </c>
      <c r="C3081" s="5">
        <v>103.7</v>
      </c>
      <c r="D3081" s="5">
        <v>0.1</v>
      </c>
      <c r="E3081" s="5">
        <v>103.8</v>
      </c>
      <c r="F3081" s="5">
        <v>206.2</v>
      </c>
      <c r="G3081" s="5">
        <v>102.9</v>
      </c>
      <c r="H3081" s="5">
        <v>102.8</v>
      </c>
      <c r="I3081" s="5">
        <v>0</v>
      </c>
      <c r="J3081" s="5">
        <v>0</v>
      </c>
      <c r="K3081" s="5">
        <v>0</v>
      </c>
    </row>
    <row r="3082" spans="1:11" x14ac:dyDescent="0.25">
      <c r="A3082" s="5">
        <f>3075</f>
      </c>
      <c r="B3082" s="5" t="s">
        <v>3090</v>
      </c>
      <c r="C3082" s="5">
        <v>103.4</v>
      </c>
      <c r="D3082" s="5">
        <v>0.1</v>
      </c>
      <c r="E3082" s="5">
        <v>103.5</v>
      </c>
      <c r="F3082" s="5">
        <v>206.3</v>
      </c>
      <c r="G3082" s="5">
        <v>102.9</v>
      </c>
      <c r="H3082" s="5">
        <v>102.8</v>
      </c>
      <c r="I3082" s="5">
        <v>0</v>
      </c>
      <c r="J3082" s="5">
        <v>0</v>
      </c>
      <c r="K3082" s="5">
        <v>0</v>
      </c>
    </row>
    <row r="3083" spans="1:11" x14ac:dyDescent="0.25">
      <c r="A3083" s="5">
        <f>3076</f>
      </c>
      <c r="B3083" s="5" t="s">
        <v>3091</v>
      </c>
      <c r="C3083" s="5">
        <v>103.4</v>
      </c>
      <c r="D3083" s="5">
        <v>0.1</v>
      </c>
      <c r="E3083" s="5">
        <v>103.5</v>
      </c>
      <c r="F3083" s="5">
        <v>206.3</v>
      </c>
      <c r="G3083" s="5">
        <v>102.9</v>
      </c>
      <c r="H3083" s="5">
        <v>102.8</v>
      </c>
      <c r="I3083" s="5">
        <v>0</v>
      </c>
      <c r="J3083" s="5">
        <v>0</v>
      </c>
      <c r="K3083" s="5">
        <v>0</v>
      </c>
    </row>
    <row r="3084" spans="1:11" x14ac:dyDescent="0.25">
      <c r="A3084" s="5">
        <f>3077</f>
      </c>
      <c r="B3084" s="5" t="s">
        <v>3092</v>
      </c>
      <c r="C3084" s="5">
        <v>103</v>
      </c>
      <c r="D3084" s="5">
        <v>0.1</v>
      </c>
      <c r="E3084" s="5">
        <v>103.1</v>
      </c>
      <c r="F3084" s="5">
        <v>205.6</v>
      </c>
      <c r="G3084" s="5">
        <v>102.6</v>
      </c>
      <c r="H3084" s="5">
        <v>102.5</v>
      </c>
      <c r="I3084" s="5">
        <v>0</v>
      </c>
      <c r="J3084" s="5">
        <v>0</v>
      </c>
      <c r="K3084" s="5">
        <v>0</v>
      </c>
    </row>
    <row r="3085" spans="1:11" x14ac:dyDescent="0.25">
      <c r="A3085" s="5">
        <f>3078</f>
      </c>
      <c r="B3085" s="5" t="s">
        <v>3093</v>
      </c>
      <c r="C3085" s="5">
        <v>103</v>
      </c>
      <c r="D3085" s="5">
        <v>0.1</v>
      </c>
      <c r="E3085" s="5">
        <v>103.1</v>
      </c>
      <c r="F3085" s="5">
        <v>205.6</v>
      </c>
      <c r="G3085" s="5">
        <v>102.6</v>
      </c>
      <c r="H3085" s="5">
        <v>102.5</v>
      </c>
      <c r="I3085" s="5">
        <v>0</v>
      </c>
      <c r="J3085" s="5">
        <v>0</v>
      </c>
      <c r="K3085" s="5">
        <v>0</v>
      </c>
    </row>
    <row r="3086" spans="1:11" x14ac:dyDescent="0.25">
      <c r="A3086" s="5">
        <f>3079</f>
      </c>
      <c r="B3086" s="5" t="s">
        <v>3094</v>
      </c>
      <c r="C3086" s="5">
        <v>102.8</v>
      </c>
      <c r="D3086" s="5">
        <v>0.1</v>
      </c>
      <c r="E3086" s="5">
        <v>103</v>
      </c>
      <c r="F3086" s="5">
        <v>205.7</v>
      </c>
      <c r="G3086" s="5">
        <v>102.7</v>
      </c>
      <c r="H3086" s="5">
        <v>102.6</v>
      </c>
      <c r="I3086" s="5">
        <v>0</v>
      </c>
      <c r="J3086" s="5">
        <v>0</v>
      </c>
      <c r="K3086" s="5">
        <v>0</v>
      </c>
    </row>
    <row r="3087" spans="1:11" x14ac:dyDescent="0.25">
      <c r="A3087" s="5">
        <f>3080</f>
      </c>
      <c r="B3087" s="5" t="s">
        <v>3095</v>
      </c>
      <c r="C3087" s="5">
        <v>102.8</v>
      </c>
      <c r="D3087" s="5">
        <v>0.1</v>
      </c>
      <c r="E3087" s="5">
        <v>103</v>
      </c>
      <c r="F3087" s="5">
        <v>205.7</v>
      </c>
      <c r="G3087" s="5">
        <v>102.7</v>
      </c>
      <c r="H3087" s="5">
        <v>102.6</v>
      </c>
      <c r="I3087" s="5">
        <v>0</v>
      </c>
      <c r="J3087" s="5">
        <v>0</v>
      </c>
      <c r="K3087" s="5">
        <v>0</v>
      </c>
    </row>
    <row r="3088" spans="1:11" x14ac:dyDescent="0.25">
      <c r="A3088" s="5">
        <f>3081</f>
      </c>
      <c r="B3088" s="5" t="s">
        <v>3096</v>
      </c>
      <c r="C3088" s="5">
        <v>104</v>
      </c>
      <c r="D3088" s="5">
        <v>0.1</v>
      </c>
      <c r="E3088" s="5">
        <v>104.1</v>
      </c>
      <c r="F3088" s="5">
        <v>207.2</v>
      </c>
      <c r="G3088" s="5">
        <v>103.3</v>
      </c>
      <c r="H3088" s="5">
        <v>103.2</v>
      </c>
      <c r="I3088" s="5">
        <v>0</v>
      </c>
      <c r="J3088" s="5">
        <v>0</v>
      </c>
      <c r="K3088" s="5">
        <v>0</v>
      </c>
    </row>
    <row r="3089" spans="1:11" x14ac:dyDescent="0.25">
      <c r="A3089" s="5">
        <f>3082</f>
      </c>
      <c r="B3089" s="5" t="s">
        <v>3097</v>
      </c>
      <c r="C3089" s="5">
        <v>104</v>
      </c>
      <c r="D3089" s="5">
        <v>0.1</v>
      </c>
      <c r="E3089" s="5">
        <v>104.1</v>
      </c>
      <c r="F3089" s="5">
        <v>207.2</v>
      </c>
      <c r="G3089" s="5">
        <v>103.3</v>
      </c>
      <c r="H3089" s="5">
        <v>103.2</v>
      </c>
      <c r="I3089" s="5">
        <v>0</v>
      </c>
      <c r="J3089" s="5">
        <v>0</v>
      </c>
      <c r="K3089" s="5">
        <v>0</v>
      </c>
    </row>
    <row r="3090" spans="1:11" x14ac:dyDescent="0.25">
      <c r="A3090" s="5">
        <f>3083</f>
      </c>
      <c r="B3090" s="5" t="s">
        <v>3098</v>
      </c>
      <c r="C3090" s="5">
        <v>104</v>
      </c>
      <c r="D3090" s="5">
        <v>0.1</v>
      </c>
      <c r="E3090" s="5">
        <v>104.1</v>
      </c>
      <c r="F3090" s="5">
        <v>207.2</v>
      </c>
      <c r="G3090" s="5">
        <v>103.3</v>
      </c>
      <c r="H3090" s="5">
        <v>103.2</v>
      </c>
      <c r="I3090" s="5">
        <v>0</v>
      </c>
      <c r="J3090" s="5">
        <v>0</v>
      </c>
      <c r="K3090" s="5">
        <v>0</v>
      </c>
    </row>
    <row r="3091" spans="1:11" x14ac:dyDescent="0.25">
      <c r="A3091" s="5">
        <f>3084</f>
      </c>
      <c r="B3091" s="5" t="s">
        <v>3099</v>
      </c>
      <c r="C3091" s="5">
        <v>104</v>
      </c>
      <c r="D3091" s="5">
        <v>0.1</v>
      </c>
      <c r="E3091" s="5">
        <v>104.1</v>
      </c>
      <c r="F3091" s="5">
        <v>205.6</v>
      </c>
      <c r="G3091" s="5">
        <v>102.5</v>
      </c>
      <c r="H3091" s="5">
        <v>102.3</v>
      </c>
      <c r="I3091" s="5">
        <v>0</v>
      </c>
      <c r="J3091" s="5">
        <v>0</v>
      </c>
      <c r="K3091" s="5">
        <v>0</v>
      </c>
    </row>
    <row r="3092" spans="1:11" x14ac:dyDescent="0.25">
      <c r="A3092" s="5">
        <f>3085</f>
      </c>
      <c r="B3092" s="5" t="s">
        <v>3100</v>
      </c>
      <c r="C3092" s="5">
        <v>102.9</v>
      </c>
      <c r="D3092" s="5">
        <v>0.1</v>
      </c>
      <c r="E3092" s="5">
        <v>103.1</v>
      </c>
      <c r="F3092" s="5">
        <v>205.6</v>
      </c>
      <c r="G3092" s="5">
        <v>102.5</v>
      </c>
      <c r="H3092" s="5">
        <v>102.3</v>
      </c>
      <c r="I3092" s="5">
        <v>0</v>
      </c>
      <c r="J3092" s="5">
        <v>0</v>
      </c>
      <c r="K3092" s="5">
        <v>0</v>
      </c>
    </row>
    <row r="3093" spans="1:11" x14ac:dyDescent="0.25">
      <c r="A3093" s="5">
        <f>3086</f>
      </c>
      <c r="B3093" s="5" t="s">
        <v>3101</v>
      </c>
      <c r="C3093" s="5">
        <v>102.9</v>
      </c>
      <c r="D3093" s="5">
        <v>0.1</v>
      </c>
      <c r="E3093" s="5">
        <v>103.1</v>
      </c>
      <c r="F3093" s="5">
        <v>205.6</v>
      </c>
      <c r="G3093" s="5">
        <v>102.6</v>
      </c>
      <c r="H3093" s="5">
        <v>102.5</v>
      </c>
      <c r="I3093" s="5">
        <v>0</v>
      </c>
      <c r="J3093" s="5">
        <v>0</v>
      </c>
      <c r="K3093" s="5">
        <v>0</v>
      </c>
    </row>
    <row r="3094" spans="1:11" x14ac:dyDescent="0.25">
      <c r="A3094" s="5">
        <f>3087</f>
      </c>
      <c r="B3094" s="5" t="s">
        <v>3102</v>
      </c>
      <c r="C3094" s="5">
        <v>103.2</v>
      </c>
      <c r="D3094" s="5">
        <v>0.1</v>
      </c>
      <c r="E3094" s="5">
        <v>103.4</v>
      </c>
      <c r="F3094" s="5">
        <v>205.6</v>
      </c>
      <c r="G3094" s="5">
        <v>102.6</v>
      </c>
      <c r="H3094" s="5">
        <v>102.5</v>
      </c>
      <c r="I3094" s="5">
        <v>0</v>
      </c>
      <c r="J3094" s="5">
        <v>0</v>
      </c>
      <c r="K3094" s="5">
        <v>0</v>
      </c>
    </row>
    <row r="3095" spans="1:11" x14ac:dyDescent="0.25">
      <c r="A3095" s="5">
        <f>3088</f>
      </c>
      <c r="B3095" s="5" t="s">
        <v>3103</v>
      </c>
      <c r="C3095" s="5">
        <v>103.2</v>
      </c>
      <c r="D3095" s="5">
        <v>0.1</v>
      </c>
      <c r="E3095" s="5">
        <v>103.4</v>
      </c>
      <c r="F3095" s="5">
        <v>205.6</v>
      </c>
      <c r="G3095" s="5">
        <v>102.6</v>
      </c>
      <c r="H3095" s="5">
        <v>102.5</v>
      </c>
      <c r="I3095" s="5">
        <v>0</v>
      </c>
      <c r="J3095" s="5">
        <v>0</v>
      </c>
      <c r="K3095" s="5">
        <v>0</v>
      </c>
    </row>
    <row r="3096" spans="1:11" x14ac:dyDescent="0.25">
      <c r="A3096" s="5">
        <f>3089</f>
      </c>
      <c r="B3096" s="5" t="s">
        <v>3104</v>
      </c>
      <c r="C3096" s="5">
        <v>102.5</v>
      </c>
      <c r="D3096" s="5">
        <v>0.1</v>
      </c>
      <c r="E3096" s="5">
        <v>102.7</v>
      </c>
      <c r="F3096" s="5">
        <v>204.7</v>
      </c>
      <c r="G3096" s="5">
        <v>102.1</v>
      </c>
      <c r="H3096" s="5">
        <v>102</v>
      </c>
      <c r="I3096" s="5">
        <v>0</v>
      </c>
      <c r="J3096" s="5">
        <v>0</v>
      </c>
      <c r="K3096" s="5">
        <v>0</v>
      </c>
    </row>
    <row r="3097" spans="1:11" x14ac:dyDescent="0.25">
      <c r="A3097" s="5">
        <f>3090</f>
      </c>
      <c r="B3097" s="5" t="s">
        <v>3105</v>
      </c>
      <c r="C3097" s="5">
        <v>102.5</v>
      </c>
      <c r="D3097" s="5">
        <v>0.1</v>
      </c>
      <c r="E3097" s="5">
        <v>102.7</v>
      </c>
      <c r="F3097" s="5">
        <v>204.7</v>
      </c>
      <c r="G3097" s="5">
        <v>102.1</v>
      </c>
      <c r="H3097" s="5">
        <v>102</v>
      </c>
      <c r="I3097" s="5">
        <v>0</v>
      </c>
      <c r="J3097" s="5">
        <v>0</v>
      </c>
      <c r="K3097" s="5">
        <v>0</v>
      </c>
    </row>
    <row r="3098" spans="1:11" x14ac:dyDescent="0.25">
      <c r="A3098" s="5">
        <f>3091</f>
      </c>
      <c r="B3098" s="5" t="s">
        <v>3106</v>
      </c>
      <c r="C3098" s="5">
        <v>102.4</v>
      </c>
      <c r="D3098" s="5">
        <v>0.1</v>
      </c>
      <c r="E3098" s="5">
        <v>102.5</v>
      </c>
      <c r="F3098" s="5">
        <v>204.6</v>
      </c>
      <c r="G3098" s="5">
        <v>102.1</v>
      </c>
      <c r="H3098" s="5">
        <v>101.9</v>
      </c>
      <c r="I3098" s="5">
        <v>0</v>
      </c>
      <c r="J3098" s="5">
        <v>0</v>
      </c>
      <c r="K3098" s="5">
        <v>0</v>
      </c>
    </row>
    <row r="3099" spans="1:11" x14ac:dyDescent="0.25">
      <c r="A3099" s="5">
        <f>3092</f>
      </c>
      <c r="B3099" s="5" t="s">
        <v>3107</v>
      </c>
      <c r="C3099" s="5">
        <v>102.4</v>
      </c>
      <c r="D3099" s="5">
        <v>0.1</v>
      </c>
      <c r="E3099" s="5">
        <v>102.5</v>
      </c>
      <c r="F3099" s="5">
        <v>204.6</v>
      </c>
      <c r="G3099" s="5">
        <v>102.1</v>
      </c>
      <c r="H3099" s="5">
        <v>101.9</v>
      </c>
      <c r="I3099" s="5">
        <v>0</v>
      </c>
      <c r="J3099" s="5">
        <v>0</v>
      </c>
      <c r="K3099" s="5">
        <v>0</v>
      </c>
    </row>
    <row r="3100" spans="1:11" x14ac:dyDescent="0.25">
      <c r="A3100" s="5">
        <f>3093</f>
      </c>
      <c r="B3100" s="5" t="s">
        <v>3108</v>
      </c>
      <c r="C3100" s="5">
        <v>102.4</v>
      </c>
      <c r="D3100" s="5">
        <v>0.1</v>
      </c>
      <c r="E3100" s="5">
        <v>102.5</v>
      </c>
      <c r="F3100" s="5">
        <v>204.6</v>
      </c>
      <c r="G3100" s="5">
        <v>102.1</v>
      </c>
      <c r="H3100" s="5">
        <v>101.9</v>
      </c>
      <c r="I3100" s="5">
        <v>0</v>
      </c>
      <c r="J3100" s="5">
        <v>0</v>
      </c>
      <c r="K3100" s="5">
        <v>0</v>
      </c>
    </row>
    <row r="3101" spans="1:11" x14ac:dyDescent="0.25">
      <c r="A3101" s="5">
        <f>3094</f>
      </c>
      <c r="B3101" s="5" t="s">
        <v>3109</v>
      </c>
      <c r="C3101" s="5">
        <v>102.2</v>
      </c>
      <c r="D3101" s="5">
        <v>0.1</v>
      </c>
      <c r="E3101" s="5">
        <v>102.4</v>
      </c>
      <c r="F3101" s="5">
        <v>204.5</v>
      </c>
      <c r="G3101" s="5">
        <v>102</v>
      </c>
      <c r="H3101" s="5">
        <v>101.9</v>
      </c>
      <c r="I3101" s="5">
        <v>0</v>
      </c>
      <c r="J3101" s="5">
        <v>0</v>
      </c>
      <c r="K3101" s="5">
        <v>0</v>
      </c>
    </row>
    <row r="3102" spans="1:11" x14ac:dyDescent="0.25">
      <c r="A3102" s="5">
        <f>3095</f>
      </c>
      <c r="B3102" s="5" t="s">
        <v>3110</v>
      </c>
      <c r="C3102" s="5">
        <v>102.2</v>
      </c>
      <c r="D3102" s="5">
        <v>0.1</v>
      </c>
      <c r="E3102" s="5">
        <v>102.4</v>
      </c>
      <c r="F3102" s="5">
        <v>204.5</v>
      </c>
      <c r="G3102" s="5">
        <v>102</v>
      </c>
      <c r="H3102" s="5">
        <v>101.9</v>
      </c>
      <c r="I3102" s="5">
        <v>0</v>
      </c>
      <c r="J3102" s="5">
        <v>0</v>
      </c>
      <c r="K3102" s="5">
        <v>0</v>
      </c>
    </row>
    <row r="3103" spans="1:11" x14ac:dyDescent="0.25">
      <c r="A3103" s="5">
        <f>3096</f>
      </c>
      <c r="B3103" s="5" t="s">
        <v>3111</v>
      </c>
      <c r="C3103" s="5">
        <v>103.1</v>
      </c>
      <c r="D3103" s="5">
        <v>0.1</v>
      </c>
      <c r="E3103" s="5">
        <v>103.2</v>
      </c>
      <c r="F3103" s="5">
        <v>205.6</v>
      </c>
      <c r="G3103" s="5">
        <v>102.6</v>
      </c>
      <c r="H3103" s="5">
        <v>102.4</v>
      </c>
      <c r="I3103" s="5">
        <v>0</v>
      </c>
      <c r="J3103" s="5">
        <v>0</v>
      </c>
      <c r="K3103" s="5">
        <v>0</v>
      </c>
    </row>
    <row r="3104" spans="1:11" x14ac:dyDescent="0.25">
      <c r="A3104" s="5">
        <f>3097</f>
      </c>
      <c r="B3104" s="5" t="s">
        <v>3112</v>
      </c>
      <c r="C3104" s="5">
        <v>103.1</v>
      </c>
      <c r="D3104" s="5">
        <v>0.1</v>
      </c>
      <c r="E3104" s="5">
        <v>103.2</v>
      </c>
      <c r="F3104" s="5">
        <v>205.6</v>
      </c>
      <c r="G3104" s="5">
        <v>102.6</v>
      </c>
      <c r="H3104" s="5">
        <v>102.4</v>
      </c>
      <c r="I3104" s="5">
        <v>0</v>
      </c>
      <c r="J3104" s="5">
        <v>0</v>
      </c>
      <c r="K3104" s="5">
        <v>0</v>
      </c>
    </row>
    <row r="3105" spans="1:11" x14ac:dyDescent="0.25">
      <c r="A3105" s="5">
        <f>3098</f>
      </c>
      <c r="B3105" s="5" t="s">
        <v>3113</v>
      </c>
      <c r="C3105" s="5">
        <v>102.8</v>
      </c>
      <c r="D3105" s="5">
        <v>0.1</v>
      </c>
      <c r="E3105" s="5">
        <v>103</v>
      </c>
      <c r="F3105" s="5">
        <v>205.7</v>
      </c>
      <c r="G3105" s="5">
        <v>102.6</v>
      </c>
      <c r="H3105" s="5">
        <v>102.4</v>
      </c>
      <c r="I3105" s="5">
        <v>0</v>
      </c>
      <c r="J3105" s="5">
        <v>0</v>
      </c>
      <c r="K3105" s="5">
        <v>0</v>
      </c>
    </row>
    <row r="3106" spans="1:11" x14ac:dyDescent="0.25">
      <c r="A3106" s="5">
        <f>3099</f>
      </c>
      <c r="B3106" s="5" t="s">
        <v>3114</v>
      </c>
      <c r="C3106" s="5">
        <v>102.8</v>
      </c>
      <c r="D3106" s="5">
        <v>0.1</v>
      </c>
      <c r="E3106" s="5">
        <v>103</v>
      </c>
      <c r="F3106" s="5">
        <v>205.7</v>
      </c>
      <c r="G3106" s="5">
        <v>102.6</v>
      </c>
      <c r="H3106" s="5">
        <v>102.4</v>
      </c>
      <c r="I3106" s="5">
        <v>0</v>
      </c>
      <c r="J3106" s="5">
        <v>0</v>
      </c>
      <c r="K3106" s="5">
        <v>0</v>
      </c>
    </row>
    <row r="3107" spans="1:11" x14ac:dyDescent="0.25">
      <c r="A3107" s="5">
        <f>3100</f>
      </c>
      <c r="B3107" s="5" t="s">
        <v>3115</v>
      </c>
      <c r="C3107" s="5">
        <v>103.1</v>
      </c>
      <c r="D3107" s="5">
        <v>0.1</v>
      </c>
      <c r="E3107" s="5">
        <v>103.3</v>
      </c>
      <c r="F3107" s="5">
        <v>205.9</v>
      </c>
      <c r="G3107" s="5">
        <v>102.7</v>
      </c>
      <c r="H3107" s="5">
        <v>102.5</v>
      </c>
      <c r="I3107" s="5">
        <v>0</v>
      </c>
      <c r="J3107" s="5">
        <v>0</v>
      </c>
      <c r="K3107" s="5">
        <v>0</v>
      </c>
    </row>
    <row r="3108" spans="1:11" x14ac:dyDescent="0.25">
      <c r="A3108" s="5">
        <f>3101</f>
      </c>
      <c r="B3108" s="5" t="s">
        <v>3116</v>
      </c>
      <c r="C3108" s="5">
        <v>103.1</v>
      </c>
      <c r="D3108" s="5">
        <v>0.1</v>
      </c>
      <c r="E3108" s="5">
        <v>103.3</v>
      </c>
      <c r="F3108" s="5">
        <v>205.9</v>
      </c>
      <c r="G3108" s="5">
        <v>102.7</v>
      </c>
      <c r="H3108" s="5">
        <v>102.5</v>
      </c>
      <c r="I3108" s="5">
        <v>0</v>
      </c>
      <c r="J3108" s="5">
        <v>0</v>
      </c>
      <c r="K3108" s="5">
        <v>0</v>
      </c>
    </row>
    <row r="3109" spans="1:11" x14ac:dyDescent="0.25">
      <c r="A3109" s="5">
        <f>3102</f>
      </c>
      <c r="B3109" s="5" t="s">
        <v>3117</v>
      </c>
      <c r="C3109" s="5">
        <v>103.1</v>
      </c>
      <c r="D3109" s="5">
        <v>0.1</v>
      </c>
      <c r="E3109" s="5">
        <v>103.3</v>
      </c>
      <c r="F3109" s="5">
        <v>205.9</v>
      </c>
      <c r="G3109" s="5">
        <v>102.7</v>
      </c>
      <c r="H3109" s="5">
        <v>102.5</v>
      </c>
      <c r="I3109" s="5">
        <v>0</v>
      </c>
      <c r="J3109" s="5">
        <v>0</v>
      </c>
      <c r="K3109" s="5">
        <v>0</v>
      </c>
    </row>
    <row r="3110" spans="1:11" x14ac:dyDescent="0.25">
      <c r="A3110" s="5">
        <f>3103</f>
      </c>
      <c r="B3110" s="5" t="s">
        <v>3118</v>
      </c>
      <c r="C3110" s="5">
        <v>103.1</v>
      </c>
      <c r="D3110" s="5">
        <v>0.1</v>
      </c>
      <c r="E3110" s="5">
        <v>103.3</v>
      </c>
      <c r="F3110" s="5">
        <v>205.9</v>
      </c>
      <c r="G3110" s="5">
        <v>102.7</v>
      </c>
      <c r="H3110" s="5">
        <v>102.5</v>
      </c>
      <c r="I3110" s="5">
        <v>0</v>
      </c>
      <c r="J3110" s="5">
        <v>0</v>
      </c>
      <c r="K3110" s="5">
        <v>0</v>
      </c>
    </row>
    <row r="3111" spans="1:11" x14ac:dyDescent="0.25">
      <c r="A3111" s="5">
        <f>3104</f>
      </c>
      <c r="B3111" s="5" t="s">
        <v>3119</v>
      </c>
      <c r="C3111" s="5">
        <v>102.5</v>
      </c>
      <c r="D3111" s="5">
        <v>0.1</v>
      </c>
      <c r="E3111" s="5">
        <v>102.7</v>
      </c>
      <c r="F3111" s="5">
        <v>204.9</v>
      </c>
      <c r="G3111" s="5">
        <v>102.1</v>
      </c>
      <c r="H3111" s="5">
        <v>102</v>
      </c>
      <c r="I3111" s="5">
        <v>0</v>
      </c>
      <c r="J3111" s="5">
        <v>0</v>
      </c>
      <c r="K3111" s="5">
        <v>0</v>
      </c>
    </row>
    <row r="3112" spans="1:11" x14ac:dyDescent="0.25">
      <c r="A3112" s="5">
        <f>3105</f>
      </c>
      <c r="B3112" s="5" t="s">
        <v>3120</v>
      </c>
      <c r="C3112" s="5">
        <v>102.5</v>
      </c>
      <c r="D3112" s="5">
        <v>0.1</v>
      </c>
      <c r="E3112" s="5">
        <v>102.7</v>
      </c>
      <c r="F3112" s="5">
        <v>204.9</v>
      </c>
      <c r="G3112" s="5">
        <v>102.1</v>
      </c>
      <c r="H3112" s="5">
        <v>102</v>
      </c>
      <c r="I3112" s="5">
        <v>0</v>
      </c>
      <c r="J3112" s="5">
        <v>0</v>
      </c>
      <c r="K3112" s="5">
        <v>0</v>
      </c>
    </row>
    <row r="3113" spans="1:11" x14ac:dyDescent="0.25">
      <c r="A3113" s="5">
        <f>3106</f>
      </c>
      <c r="B3113" s="5" t="s">
        <v>3121</v>
      </c>
      <c r="C3113" s="5">
        <v>102.7</v>
      </c>
      <c r="D3113" s="5">
        <v>0.1</v>
      </c>
      <c r="E3113" s="5">
        <v>102.9</v>
      </c>
      <c r="F3113" s="5">
        <v>205.1</v>
      </c>
      <c r="G3113" s="5">
        <v>102.4</v>
      </c>
      <c r="H3113" s="5">
        <v>102</v>
      </c>
      <c r="I3113" s="5">
        <v>0</v>
      </c>
      <c r="J3113" s="5">
        <v>0</v>
      </c>
      <c r="K3113" s="5">
        <v>0</v>
      </c>
    </row>
    <row r="3114" spans="1:11" x14ac:dyDescent="0.25">
      <c r="A3114" s="5">
        <f>3107</f>
      </c>
      <c r="B3114" s="5" t="s">
        <v>3122</v>
      </c>
      <c r="C3114" s="5">
        <v>102.7</v>
      </c>
      <c r="D3114" s="5">
        <v>0.1</v>
      </c>
      <c r="E3114" s="5">
        <v>102.9</v>
      </c>
      <c r="F3114" s="5">
        <v>205.1</v>
      </c>
      <c r="G3114" s="5">
        <v>102.4</v>
      </c>
      <c r="H3114" s="5">
        <v>102.2</v>
      </c>
      <c r="I3114" s="5">
        <v>0</v>
      </c>
      <c r="J3114" s="5">
        <v>0</v>
      </c>
      <c r="K3114" s="5">
        <v>0</v>
      </c>
    </row>
    <row r="3115" spans="1:11" x14ac:dyDescent="0.25">
      <c r="A3115" s="5">
        <f>3108</f>
      </c>
      <c r="B3115" s="5" t="s">
        <v>3123</v>
      </c>
      <c r="C3115" s="5">
        <v>102.8</v>
      </c>
      <c r="D3115" s="5">
        <v>0.1</v>
      </c>
      <c r="E3115" s="5">
        <v>103</v>
      </c>
      <c r="F3115" s="5">
        <v>205.4</v>
      </c>
      <c r="G3115" s="5">
        <v>102.4</v>
      </c>
      <c r="H3115" s="5">
        <v>102.2</v>
      </c>
      <c r="I3115" s="5">
        <v>0</v>
      </c>
      <c r="J3115" s="5">
        <v>0</v>
      </c>
      <c r="K3115" s="5">
        <v>0</v>
      </c>
    </row>
    <row r="3116" spans="1:11" x14ac:dyDescent="0.25">
      <c r="A3116" s="5">
        <f>3109</f>
      </c>
      <c r="B3116" s="5" t="s">
        <v>3124</v>
      </c>
      <c r="C3116" s="5">
        <v>102.8</v>
      </c>
      <c r="D3116" s="5">
        <v>0.1</v>
      </c>
      <c r="E3116" s="5">
        <v>103</v>
      </c>
      <c r="F3116" s="5">
        <v>205.4</v>
      </c>
      <c r="G3116" s="5">
        <v>102.5</v>
      </c>
      <c r="H3116" s="5">
        <v>102.4</v>
      </c>
      <c r="I3116" s="5">
        <v>0</v>
      </c>
      <c r="J3116" s="5">
        <v>0</v>
      </c>
      <c r="K3116" s="5">
        <v>0</v>
      </c>
    </row>
    <row r="3117" spans="1:11" x14ac:dyDescent="0.25">
      <c r="A3117" s="5">
        <f>3110</f>
      </c>
      <c r="B3117" s="5" t="s">
        <v>3125</v>
      </c>
      <c r="C3117" s="5">
        <v>103.2</v>
      </c>
      <c r="D3117" s="5">
        <v>0.1</v>
      </c>
      <c r="E3117" s="5">
        <v>103</v>
      </c>
      <c r="F3117" s="5">
        <v>205.4</v>
      </c>
      <c r="G3117" s="5">
        <v>102.5</v>
      </c>
      <c r="H3117" s="5">
        <v>102.4</v>
      </c>
      <c r="I3117" s="5">
        <v>0</v>
      </c>
      <c r="J3117" s="5">
        <v>0</v>
      </c>
      <c r="K3117" s="5">
        <v>0</v>
      </c>
    </row>
    <row r="3118" spans="1:11" x14ac:dyDescent="0.25">
      <c r="A3118" s="5">
        <f>3111</f>
      </c>
      <c r="B3118" s="5" t="s">
        <v>3126</v>
      </c>
      <c r="C3118" s="5">
        <v>103.2</v>
      </c>
      <c r="D3118" s="5">
        <v>0.1</v>
      </c>
      <c r="E3118" s="5">
        <v>103.4</v>
      </c>
      <c r="F3118" s="5">
        <v>206.3</v>
      </c>
      <c r="G3118" s="5">
        <v>102.9</v>
      </c>
      <c r="H3118" s="5">
        <v>102.7</v>
      </c>
      <c r="I3118" s="5">
        <v>0</v>
      </c>
      <c r="J3118" s="5">
        <v>0</v>
      </c>
      <c r="K3118" s="5">
        <v>0</v>
      </c>
    </row>
    <row r="3119" spans="1:11" x14ac:dyDescent="0.25">
      <c r="A3119" s="5">
        <f>3112</f>
      </c>
      <c r="B3119" s="5" t="s">
        <v>3127</v>
      </c>
      <c r="C3119" s="5">
        <v>103.2</v>
      </c>
      <c r="D3119" s="5">
        <v>0.1</v>
      </c>
      <c r="E3119" s="5">
        <v>103.4</v>
      </c>
      <c r="F3119" s="5">
        <v>206.3</v>
      </c>
      <c r="G3119" s="5">
        <v>102.9</v>
      </c>
      <c r="H3119" s="5">
        <v>102.7</v>
      </c>
      <c r="I3119" s="5">
        <v>0</v>
      </c>
      <c r="J3119" s="5">
        <v>0</v>
      </c>
      <c r="K3119" s="5">
        <v>0</v>
      </c>
    </row>
    <row r="3120" spans="1:11" x14ac:dyDescent="0.25">
      <c r="A3120" s="5">
        <f>3113</f>
      </c>
      <c r="B3120" s="5" t="s">
        <v>3128</v>
      </c>
      <c r="C3120" s="5">
        <v>103.2</v>
      </c>
      <c r="D3120" s="5">
        <v>0.1</v>
      </c>
      <c r="E3120" s="5">
        <v>103.4</v>
      </c>
      <c r="F3120" s="5">
        <v>206.3</v>
      </c>
      <c r="G3120" s="5">
        <v>102.9</v>
      </c>
      <c r="H3120" s="5">
        <v>102.7</v>
      </c>
      <c r="I3120" s="5">
        <v>0</v>
      </c>
      <c r="J3120" s="5">
        <v>0</v>
      </c>
      <c r="K3120" s="5">
        <v>0</v>
      </c>
    </row>
    <row r="3121" spans="1:11" x14ac:dyDescent="0.25">
      <c r="A3121" s="5">
        <f>3114</f>
      </c>
      <c r="B3121" s="5" t="s">
        <v>3129</v>
      </c>
      <c r="C3121" s="5">
        <v>103.2</v>
      </c>
      <c r="D3121" s="5">
        <v>0.1</v>
      </c>
      <c r="E3121" s="5">
        <v>102.9</v>
      </c>
      <c r="F3121" s="5">
        <v>205.1</v>
      </c>
      <c r="G3121" s="5">
        <v>102.3</v>
      </c>
      <c r="H3121" s="5">
        <v>102.2</v>
      </c>
      <c r="I3121" s="5">
        <v>0</v>
      </c>
      <c r="J3121" s="5">
        <v>0</v>
      </c>
      <c r="K3121" s="5">
        <v>0</v>
      </c>
    </row>
    <row r="3122" spans="1:11" x14ac:dyDescent="0.25">
      <c r="A3122" s="5">
        <f>3115</f>
      </c>
      <c r="B3122" s="5" t="s">
        <v>3130</v>
      </c>
      <c r="C3122" s="5">
        <v>102.7</v>
      </c>
      <c r="D3122" s="5">
        <v>0.1</v>
      </c>
      <c r="E3122" s="5">
        <v>102.9</v>
      </c>
      <c r="F3122" s="5">
        <v>205.1</v>
      </c>
      <c r="G3122" s="5">
        <v>102.3</v>
      </c>
      <c r="H3122" s="5">
        <v>102.2</v>
      </c>
      <c r="I3122" s="5">
        <v>0</v>
      </c>
      <c r="J3122" s="5">
        <v>0</v>
      </c>
      <c r="K3122" s="5">
        <v>0</v>
      </c>
    </row>
    <row r="3123" spans="1:11" x14ac:dyDescent="0.25">
      <c r="A3123" s="5">
        <f>3116</f>
      </c>
      <c r="B3123" s="5" t="s">
        <v>3131</v>
      </c>
      <c r="C3123" s="5">
        <v>102.7</v>
      </c>
      <c r="D3123" s="5">
        <v>0.1</v>
      </c>
      <c r="E3123" s="5">
        <v>102.9</v>
      </c>
      <c r="F3123" s="5">
        <v>205.1</v>
      </c>
      <c r="G3123" s="5">
        <v>102.9</v>
      </c>
      <c r="H3123" s="5">
        <v>102.7</v>
      </c>
      <c r="I3123" s="5">
        <v>0</v>
      </c>
      <c r="J3123" s="5">
        <v>0</v>
      </c>
      <c r="K3123" s="5">
        <v>0</v>
      </c>
    </row>
    <row r="3124" spans="1:11" x14ac:dyDescent="0.25">
      <c r="A3124" s="5">
        <f>3117</f>
      </c>
      <c r="B3124" s="5" t="s">
        <v>3132</v>
      </c>
      <c r="C3124" s="5">
        <v>103.4</v>
      </c>
      <c r="D3124" s="5">
        <v>0.1</v>
      </c>
      <c r="E3124" s="5">
        <v>103.6</v>
      </c>
      <c r="F3124" s="5">
        <v>206.2</v>
      </c>
      <c r="G3124" s="5">
        <v>102.9</v>
      </c>
      <c r="H3124" s="5">
        <v>102.7</v>
      </c>
      <c r="I3124" s="5">
        <v>0</v>
      </c>
      <c r="J3124" s="5">
        <v>0</v>
      </c>
      <c r="K3124" s="5">
        <v>0</v>
      </c>
    </row>
    <row r="3125" spans="1:11" x14ac:dyDescent="0.25">
      <c r="A3125" s="5">
        <f>3118</f>
      </c>
      <c r="B3125" s="5" t="s">
        <v>3133</v>
      </c>
      <c r="C3125" s="5">
        <v>103.4</v>
      </c>
      <c r="D3125" s="5">
        <v>0.1</v>
      </c>
      <c r="E3125" s="5">
        <v>103.6</v>
      </c>
      <c r="F3125" s="5">
        <v>206.2</v>
      </c>
      <c r="G3125" s="5">
        <v>102.9</v>
      </c>
      <c r="H3125" s="5">
        <v>102.7</v>
      </c>
      <c r="I3125" s="5">
        <v>0</v>
      </c>
      <c r="J3125" s="5">
        <v>0</v>
      </c>
      <c r="K3125" s="5">
        <v>0</v>
      </c>
    </row>
    <row r="3126" spans="1:11" x14ac:dyDescent="0.25">
      <c r="A3126" s="5">
        <f>3119</f>
      </c>
      <c r="B3126" s="5" t="s">
        <v>3134</v>
      </c>
      <c r="C3126" s="5">
        <v>102.7</v>
      </c>
      <c r="D3126" s="5">
        <v>0.1</v>
      </c>
      <c r="E3126" s="5">
        <v>102.9</v>
      </c>
      <c r="F3126" s="5">
        <v>204.8</v>
      </c>
      <c r="G3126" s="5">
        <v>102.2</v>
      </c>
      <c r="H3126" s="5">
        <v>102.2</v>
      </c>
      <c r="I3126" s="5">
        <v>0</v>
      </c>
      <c r="J3126" s="5">
        <v>0</v>
      </c>
      <c r="K3126" s="5">
        <v>0</v>
      </c>
    </row>
    <row r="3127" spans="1:11" x14ac:dyDescent="0.25">
      <c r="A3127" s="5">
        <f>3120</f>
      </c>
      <c r="B3127" s="5" t="s">
        <v>3135</v>
      </c>
      <c r="C3127" s="5">
        <v>102.7</v>
      </c>
      <c r="D3127" s="5">
        <v>0.1</v>
      </c>
      <c r="E3127" s="5">
        <v>102.9</v>
      </c>
      <c r="F3127" s="5">
        <v>204.8</v>
      </c>
      <c r="G3127" s="5">
        <v>102.2</v>
      </c>
      <c r="H3127" s="5">
        <v>102.2</v>
      </c>
      <c r="I3127" s="5">
        <v>0</v>
      </c>
      <c r="J3127" s="5">
        <v>0</v>
      </c>
      <c r="K3127" s="5">
        <v>0</v>
      </c>
    </row>
    <row r="3128" spans="1:11" x14ac:dyDescent="0.25">
      <c r="A3128" s="5">
        <f>3121</f>
      </c>
      <c r="B3128" s="5" t="s">
        <v>3136</v>
      </c>
      <c r="C3128" s="5">
        <v>103.2</v>
      </c>
      <c r="D3128" s="5">
        <v>0.1</v>
      </c>
      <c r="E3128" s="5">
        <v>103.4</v>
      </c>
      <c r="F3128" s="5">
        <v>206.2</v>
      </c>
      <c r="G3128" s="5">
        <v>102.9</v>
      </c>
      <c r="H3128" s="5">
        <v>102.8</v>
      </c>
      <c r="I3128" s="5">
        <v>0</v>
      </c>
      <c r="J3128" s="5">
        <v>0</v>
      </c>
      <c r="K3128" s="5">
        <v>0</v>
      </c>
    </row>
    <row r="3129" spans="1:11" x14ac:dyDescent="0.25">
      <c r="A3129" s="5">
        <f>3122</f>
      </c>
      <c r="B3129" s="5" t="s">
        <v>3137</v>
      </c>
      <c r="C3129" s="5">
        <v>103.2</v>
      </c>
      <c r="D3129" s="5">
        <v>0.1</v>
      </c>
      <c r="E3129" s="5">
        <v>103.4</v>
      </c>
      <c r="F3129" s="5">
        <v>206.2</v>
      </c>
      <c r="G3129" s="5">
        <v>102.9</v>
      </c>
      <c r="H3129" s="5">
        <v>102.8</v>
      </c>
      <c r="I3129" s="5">
        <v>0</v>
      </c>
      <c r="J3129" s="5">
        <v>0</v>
      </c>
      <c r="K3129" s="5">
        <v>0</v>
      </c>
    </row>
    <row r="3130" spans="1:11" x14ac:dyDescent="0.25">
      <c r="A3130" s="5">
        <f>3123</f>
      </c>
      <c r="B3130" s="5" t="s">
        <v>3138</v>
      </c>
      <c r="C3130" s="5">
        <v>103.2</v>
      </c>
      <c r="D3130" s="5">
        <v>0.1</v>
      </c>
      <c r="E3130" s="5">
        <v>103.4</v>
      </c>
      <c r="F3130" s="5">
        <v>206.2</v>
      </c>
      <c r="G3130" s="5">
        <v>102.9</v>
      </c>
      <c r="H3130" s="5">
        <v>102.8</v>
      </c>
      <c r="I3130" s="5">
        <v>0</v>
      </c>
      <c r="J3130" s="5">
        <v>0</v>
      </c>
      <c r="K3130" s="5">
        <v>0</v>
      </c>
    </row>
    <row r="3131" spans="1:11" x14ac:dyDescent="0.25">
      <c r="A3131" s="5">
        <f>3124</f>
      </c>
      <c r="B3131" s="5" t="s">
        <v>3139</v>
      </c>
      <c r="C3131" s="5">
        <v>102.9</v>
      </c>
      <c r="D3131" s="5">
        <v>0.1</v>
      </c>
      <c r="E3131" s="5">
        <v>103.1</v>
      </c>
      <c r="F3131" s="5">
        <v>205.3</v>
      </c>
      <c r="G3131" s="5">
        <v>102.5</v>
      </c>
      <c r="H3131" s="5">
        <v>102.4</v>
      </c>
      <c r="I3131" s="5">
        <v>0</v>
      </c>
      <c r="J3131" s="5">
        <v>0</v>
      </c>
      <c r="K3131" s="5">
        <v>0</v>
      </c>
    </row>
    <row r="3132" spans="1:11" x14ac:dyDescent="0.25">
      <c r="A3132" s="5">
        <f>3125</f>
      </c>
      <c r="B3132" s="5" t="s">
        <v>3140</v>
      </c>
      <c r="C3132" s="5">
        <v>102.9</v>
      </c>
      <c r="D3132" s="5">
        <v>0.1</v>
      </c>
      <c r="E3132" s="5">
        <v>103.1</v>
      </c>
      <c r="F3132" s="5">
        <v>205.3</v>
      </c>
      <c r="G3132" s="5">
        <v>102.5</v>
      </c>
      <c r="H3132" s="5">
        <v>102.4</v>
      </c>
      <c r="I3132" s="5">
        <v>0</v>
      </c>
      <c r="J3132" s="5">
        <v>0</v>
      </c>
      <c r="K3132" s="5">
        <v>0</v>
      </c>
    </row>
    <row r="3133" spans="1:11" x14ac:dyDescent="0.25">
      <c r="A3133" s="5">
        <f>3126</f>
      </c>
      <c r="B3133" s="5" t="s">
        <v>3141</v>
      </c>
      <c r="C3133" s="5">
        <v>102.1</v>
      </c>
      <c r="D3133" s="5">
        <v>0.1</v>
      </c>
      <c r="E3133" s="5">
        <v>102.3</v>
      </c>
      <c r="F3133" s="5">
        <v>204</v>
      </c>
      <c r="G3133" s="5">
        <v>101.8</v>
      </c>
      <c r="H3133" s="5">
        <v>101.6</v>
      </c>
      <c r="I3133" s="5">
        <v>0</v>
      </c>
      <c r="J3133" s="5">
        <v>0</v>
      </c>
      <c r="K3133" s="5">
        <v>0</v>
      </c>
    </row>
    <row r="3134" spans="1:11" x14ac:dyDescent="0.25">
      <c r="A3134" s="5">
        <f>3127</f>
      </c>
      <c r="B3134" s="5" t="s">
        <v>3142</v>
      </c>
      <c r="C3134" s="5">
        <v>102.1</v>
      </c>
      <c r="D3134" s="5">
        <v>0.1</v>
      </c>
      <c r="E3134" s="5">
        <v>102.3</v>
      </c>
      <c r="F3134" s="5">
        <v>204</v>
      </c>
      <c r="G3134" s="5">
        <v>101.8</v>
      </c>
      <c r="H3134" s="5">
        <v>101.6</v>
      </c>
      <c r="I3134" s="5">
        <v>0</v>
      </c>
      <c r="J3134" s="5">
        <v>0</v>
      </c>
      <c r="K3134" s="5">
        <v>0</v>
      </c>
    </row>
    <row r="3135" spans="1:11" x14ac:dyDescent="0.25">
      <c r="A3135" s="5">
        <f>3128</f>
      </c>
      <c r="B3135" s="5" t="s">
        <v>3143</v>
      </c>
      <c r="C3135" s="5">
        <v>103</v>
      </c>
      <c r="D3135" s="5">
        <v>0.1</v>
      </c>
      <c r="E3135" s="5">
        <v>103.1</v>
      </c>
      <c r="F3135" s="5">
        <v>205.4</v>
      </c>
      <c r="G3135" s="5">
        <v>102.5</v>
      </c>
      <c r="H3135" s="5">
        <v>102.3</v>
      </c>
      <c r="I3135" s="5">
        <v>0</v>
      </c>
      <c r="J3135" s="5">
        <v>0</v>
      </c>
      <c r="K3135" s="5">
        <v>0</v>
      </c>
    </row>
    <row r="3136" spans="1:11" x14ac:dyDescent="0.25">
      <c r="A3136" s="5">
        <f>3129</f>
      </c>
      <c r="B3136" s="5" t="s">
        <v>3144</v>
      </c>
      <c r="C3136" s="5">
        <v>103</v>
      </c>
      <c r="D3136" s="5">
        <v>0.1</v>
      </c>
      <c r="E3136" s="5">
        <v>103.1</v>
      </c>
      <c r="F3136" s="5">
        <v>205.4</v>
      </c>
      <c r="G3136" s="5">
        <v>102.5</v>
      </c>
      <c r="H3136" s="5">
        <v>102.3</v>
      </c>
      <c r="I3136" s="5">
        <v>0</v>
      </c>
      <c r="J3136" s="5">
        <v>0</v>
      </c>
      <c r="K3136" s="5">
        <v>0</v>
      </c>
    </row>
    <row r="3137" spans="1:11" x14ac:dyDescent="0.25">
      <c r="A3137" s="5">
        <f>3130</f>
      </c>
      <c r="B3137" s="5" t="s">
        <v>3145</v>
      </c>
      <c r="C3137" s="5">
        <v>103.2</v>
      </c>
      <c r="D3137" s="5">
        <v>0.1</v>
      </c>
      <c r="E3137" s="5">
        <v>103.3</v>
      </c>
      <c r="F3137" s="5">
        <v>206.3</v>
      </c>
      <c r="G3137" s="5">
        <v>102.9</v>
      </c>
      <c r="H3137" s="5">
        <v>102.8</v>
      </c>
      <c r="I3137" s="5">
        <v>0</v>
      </c>
      <c r="J3137" s="5">
        <v>0</v>
      </c>
      <c r="K3137" s="5">
        <v>0</v>
      </c>
    </row>
    <row r="3138" spans="1:11" x14ac:dyDescent="0.25">
      <c r="A3138" s="5">
        <f>3131</f>
      </c>
      <c r="B3138" s="5" t="s">
        <v>3146</v>
      </c>
      <c r="C3138" s="5">
        <v>103.2</v>
      </c>
      <c r="D3138" s="5">
        <v>0.1</v>
      </c>
      <c r="E3138" s="5">
        <v>103.3</v>
      </c>
      <c r="F3138" s="5">
        <v>206.3</v>
      </c>
      <c r="G3138" s="5">
        <v>102.9</v>
      </c>
      <c r="H3138" s="5">
        <v>102.8</v>
      </c>
      <c r="I3138" s="5">
        <v>0</v>
      </c>
      <c r="J3138" s="5">
        <v>0</v>
      </c>
      <c r="K3138" s="5">
        <v>0</v>
      </c>
    </row>
    <row r="3139" spans="1:11" x14ac:dyDescent="0.25">
      <c r="A3139" s="5">
        <f>3132</f>
      </c>
      <c r="B3139" s="5" t="s">
        <v>3147</v>
      </c>
      <c r="C3139" s="5">
        <v>103.2</v>
      </c>
      <c r="D3139" s="5">
        <v>0.1</v>
      </c>
      <c r="E3139" s="5">
        <v>103.3</v>
      </c>
      <c r="F3139" s="5">
        <v>206.3</v>
      </c>
      <c r="G3139" s="5">
        <v>102.9</v>
      </c>
      <c r="H3139" s="5">
        <v>102.8</v>
      </c>
      <c r="I3139" s="5">
        <v>0</v>
      </c>
      <c r="J3139" s="5">
        <v>0</v>
      </c>
      <c r="K3139" s="5">
        <v>0</v>
      </c>
    </row>
    <row r="3140" spans="1:11" x14ac:dyDescent="0.25">
      <c r="A3140" s="5">
        <f>3133</f>
      </c>
      <c r="B3140" s="5" t="s">
        <v>3148</v>
      </c>
      <c r="C3140" s="5">
        <v>103.2</v>
      </c>
      <c r="D3140" s="5">
        <v>0.1</v>
      </c>
      <c r="E3140" s="5">
        <v>103.3</v>
      </c>
      <c r="F3140" s="5">
        <v>206.3</v>
      </c>
      <c r="G3140" s="5">
        <v>102.9</v>
      </c>
      <c r="H3140" s="5">
        <v>102.8</v>
      </c>
      <c r="I3140" s="5">
        <v>0</v>
      </c>
      <c r="J3140" s="5">
        <v>0</v>
      </c>
      <c r="K3140" s="5">
        <v>0</v>
      </c>
    </row>
    <row r="3141" spans="1:11" x14ac:dyDescent="0.25">
      <c r="A3141" s="5">
        <f>3134</f>
      </c>
      <c r="B3141" s="5" t="s">
        <v>3149</v>
      </c>
      <c r="C3141" s="5">
        <v>103.3</v>
      </c>
      <c r="D3141" s="5">
        <v>0.1</v>
      </c>
      <c r="E3141" s="5">
        <v>103.4</v>
      </c>
      <c r="F3141" s="5">
        <v>205.9</v>
      </c>
      <c r="G3141" s="5">
        <v>102.7</v>
      </c>
      <c r="H3141" s="5">
        <v>102.6</v>
      </c>
      <c r="I3141" s="5">
        <v>0</v>
      </c>
      <c r="J3141" s="5">
        <v>0</v>
      </c>
      <c r="K3141" s="5">
        <v>0</v>
      </c>
    </row>
    <row r="3142" spans="1:11" x14ac:dyDescent="0.25">
      <c r="A3142" s="5">
        <f>3135</f>
      </c>
      <c r="B3142" s="5" t="s">
        <v>3150</v>
      </c>
      <c r="C3142" s="5">
        <v>103.3</v>
      </c>
      <c r="D3142" s="5">
        <v>0.1</v>
      </c>
      <c r="E3142" s="5">
        <v>103.4</v>
      </c>
      <c r="F3142" s="5">
        <v>205.9</v>
      </c>
      <c r="G3142" s="5">
        <v>102.7</v>
      </c>
      <c r="H3142" s="5">
        <v>102.6</v>
      </c>
      <c r="I3142" s="5">
        <v>0</v>
      </c>
      <c r="J3142" s="5">
        <v>0</v>
      </c>
      <c r="K3142" s="5">
        <v>0</v>
      </c>
    </row>
    <row r="3143" spans="1:11" x14ac:dyDescent="0.25">
      <c r="A3143" s="5">
        <f>3136</f>
      </c>
      <c r="B3143" s="5" t="s">
        <v>3151</v>
      </c>
      <c r="C3143" s="5">
        <v>103.5</v>
      </c>
      <c r="D3143" s="5">
        <v>0.1</v>
      </c>
      <c r="E3143" s="5">
        <v>103.7</v>
      </c>
      <c r="F3143" s="5">
        <v>206.7</v>
      </c>
      <c r="G3143" s="5">
        <v>103.1</v>
      </c>
      <c r="H3143" s="5">
        <v>103</v>
      </c>
      <c r="I3143" s="5">
        <v>0</v>
      </c>
      <c r="J3143" s="5">
        <v>0</v>
      </c>
      <c r="K3143" s="5">
        <v>0</v>
      </c>
    </row>
    <row r="3144" spans="1:11" x14ac:dyDescent="0.25">
      <c r="A3144" s="5">
        <f>3137</f>
      </c>
      <c r="B3144" s="5" t="s">
        <v>3152</v>
      </c>
      <c r="C3144" s="5">
        <v>103.5</v>
      </c>
      <c r="D3144" s="5">
        <v>0.1</v>
      </c>
      <c r="E3144" s="5">
        <v>103.7</v>
      </c>
      <c r="F3144" s="5">
        <v>206.7</v>
      </c>
      <c r="G3144" s="5">
        <v>103.1</v>
      </c>
      <c r="H3144" s="5">
        <v>103</v>
      </c>
      <c r="I3144" s="5">
        <v>0</v>
      </c>
      <c r="J3144" s="5">
        <v>0</v>
      </c>
      <c r="K3144" s="5">
        <v>0</v>
      </c>
    </row>
    <row r="3145" spans="1:11" x14ac:dyDescent="0.25">
      <c r="A3145" s="5">
        <f>3138</f>
      </c>
      <c r="B3145" s="5" t="s">
        <v>3153</v>
      </c>
      <c r="C3145" s="5">
        <v>104</v>
      </c>
      <c r="D3145" s="5">
        <v>0.1</v>
      </c>
      <c r="E3145" s="5">
        <v>104.2</v>
      </c>
      <c r="F3145" s="5">
        <v>207.8</v>
      </c>
      <c r="G3145" s="5">
        <v>103.7</v>
      </c>
      <c r="H3145" s="5">
        <v>103.5</v>
      </c>
      <c r="I3145" s="5">
        <v>0</v>
      </c>
      <c r="J3145" s="5">
        <v>0</v>
      </c>
      <c r="K3145" s="5">
        <v>0</v>
      </c>
    </row>
    <row r="3146" spans="1:11" x14ac:dyDescent="0.25">
      <c r="A3146" s="5">
        <f>3139</f>
      </c>
      <c r="B3146" s="5" t="s">
        <v>3154</v>
      </c>
      <c r="C3146" s="5">
        <v>104</v>
      </c>
      <c r="D3146" s="5">
        <v>0.1</v>
      </c>
      <c r="E3146" s="5">
        <v>104.2</v>
      </c>
      <c r="F3146" s="5">
        <v>207.8</v>
      </c>
      <c r="G3146" s="5">
        <v>103.7</v>
      </c>
      <c r="H3146" s="5">
        <v>103.5</v>
      </c>
      <c r="I3146" s="5">
        <v>0</v>
      </c>
      <c r="J3146" s="5">
        <v>0</v>
      </c>
      <c r="K3146" s="5">
        <v>0</v>
      </c>
    </row>
    <row r="3147" spans="1:11" x14ac:dyDescent="0.25">
      <c r="A3147" s="5">
        <f>3140</f>
      </c>
      <c r="B3147" s="5" t="s">
        <v>3155</v>
      </c>
      <c r="C3147" s="5">
        <v>103.7</v>
      </c>
      <c r="D3147" s="5">
        <v>0.1</v>
      </c>
      <c r="E3147" s="5">
        <v>103.8</v>
      </c>
      <c r="F3147" s="5">
        <v>207.9</v>
      </c>
      <c r="G3147" s="5">
        <v>103.6</v>
      </c>
      <c r="H3147" s="5">
        <v>103.5</v>
      </c>
      <c r="I3147" s="5">
        <v>0</v>
      </c>
      <c r="J3147" s="5">
        <v>0</v>
      </c>
      <c r="K3147" s="5">
        <v>0</v>
      </c>
    </row>
    <row r="3148" spans="1:11" x14ac:dyDescent="0.25">
      <c r="A3148" s="5">
        <f>3141</f>
      </c>
      <c r="B3148" s="5" t="s">
        <v>3156</v>
      </c>
      <c r="C3148" s="5">
        <v>103.7</v>
      </c>
      <c r="D3148" s="5">
        <v>0.1</v>
      </c>
      <c r="E3148" s="5">
        <v>103.8</v>
      </c>
      <c r="F3148" s="5">
        <v>207.9</v>
      </c>
      <c r="G3148" s="5">
        <v>103.6</v>
      </c>
      <c r="H3148" s="5">
        <v>103.5</v>
      </c>
      <c r="I3148" s="5">
        <v>0</v>
      </c>
      <c r="J3148" s="5">
        <v>0</v>
      </c>
      <c r="K3148" s="5">
        <v>0</v>
      </c>
    </row>
    <row r="3149" spans="1:11" x14ac:dyDescent="0.25">
      <c r="A3149" s="5">
        <f>3142</f>
      </c>
      <c r="B3149" s="5" t="s">
        <v>3157</v>
      </c>
      <c r="C3149" s="5">
        <v>103.7</v>
      </c>
      <c r="D3149" s="5">
        <v>0.1</v>
      </c>
      <c r="E3149" s="5">
        <v>103.8</v>
      </c>
      <c r="F3149" s="5">
        <v>207.9</v>
      </c>
      <c r="G3149" s="5">
        <v>103.6</v>
      </c>
      <c r="H3149" s="5">
        <v>103.5</v>
      </c>
      <c r="I3149" s="5">
        <v>0</v>
      </c>
      <c r="J3149" s="5">
        <v>0</v>
      </c>
      <c r="K3149" s="5">
        <v>0</v>
      </c>
    </row>
    <row r="3150" spans="1:11" x14ac:dyDescent="0.25">
      <c r="A3150" s="5">
        <f>3143</f>
      </c>
      <c r="B3150" s="5" t="s">
        <v>3158</v>
      </c>
      <c r="C3150" s="5">
        <v>103.7</v>
      </c>
      <c r="D3150" s="5">
        <v>0.1</v>
      </c>
      <c r="E3150" s="5">
        <v>103.8</v>
      </c>
      <c r="F3150" s="5">
        <v>207.9</v>
      </c>
      <c r="G3150" s="5">
        <v>103.6</v>
      </c>
      <c r="H3150" s="5">
        <v>103.5</v>
      </c>
      <c r="I3150" s="5">
        <v>0</v>
      </c>
      <c r="J3150" s="5">
        <v>0</v>
      </c>
      <c r="K3150" s="5">
        <v>0</v>
      </c>
    </row>
    <row r="3151" spans="1:11" x14ac:dyDescent="0.25">
      <c r="A3151" s="5">
        <f>3144</f>
      </c>
      <c r="B3151" s="5" t="s">
        <v>3159</v>
      </c>
      <c r="C3151" s="5">
        <v>104.2</v>
      </c>
      <c r="D3151" s="5">
        <v>0.1</v>
      </c>
      <c r="E3151" s="5">
        <v>104.3</v>
      </c>
      <c r="F3151" s="5">
        <v>208.1</v>
      </c>
      <c r="G3151" s="5">
        <v>103.8</v>
      </c>
      <c r="H3151" s="5">
        <v>103.6</v>
      </c>
      <c r="I3151" s="5">
        <v>0</v>
      </c>
      <c r="J3151" s="5">
        <v>0</v>
      </c>
      <c r="K3151" s="5">
        <v>0</v>
      </c>
    </row>
    <row r="3152" spans="1:11" x14ac:dyDescent="0.25">
      <c r="A3152" s="5">
        <f>3145</f>
      </c>
      <c r="B3152" s="5" t="s">
        <v>3160</v>
      </c>
      <c r="C3152" s="5">
        <v>104.2</v>
      </c>
      <c r="D3152" s="5">
        <v>0.1</v>
      </c>
      <c r="E3152" s="5">
        <v>104.3</v>
      </c>
      <c r="F3152" s="5">
        <v>208.1</v>
      </c>
      <c r="G3152" s="5">
        <v>103.8</v>
      </c>
      <c r="H3152" s="5">
        <v>103.6</v>
      </c>
      <c r="I3152" s="5">
        <v>0</v>
      </c>
      <c r="J3152" s="5">
        <v>0</v>
      </c>
      <c r="K3152" s="5">
        <v>0</v>
      </c>
    </row>
    <row r="3153" spans="1:11" x14ac:dyDescent="0.25">
      <c r="A3153" s="5">
        <f>3146</f>
      </c>
      <c r="B3153" s="5" t="s">
        <v>3161</v>
      </c>
      <c r="C3153" s="5">
        <v>104.9</v>
      </c>
      <c r="D3153" s="5">
        <v>0.1</v>
      </c>
      <c r="E3153" s="5">
        <v>105</v>
      </c>
      <c r="F3153" s="5">
        <v>208.9</v>
      </c>
      <c r="G3153" s="5">
        <v>104.2</v>
      </c>
      <c r="H3153" s="5">
        <v>104.1</v>
      </c>
      <c r="I3153" s="5">
        <v>0</v>
      </c>
      <c r="J3153" s="5">
        <v>0</v>
      </c>
      <c r="K3153" s="5">
        <v>0</v>
      </c>
    </row>
    <row r="3154" spans="1:11" x14ac:dyDescent="0.25">
      <c r="A3154" s="5">
        <f>3147</f>
      </c>
      <c r="B3154" s="5" t="s">
        <v>3162</v>
      </c>
      <c r="C3154" s="5">
        <v>104.9</v>
      </c>
      <c r="D3154" s="5">
        <v>0.1</v>
      </c>
      <c r="E3154" s="5">
        <v>105</v>
      </c>
      <c r="F3154" s="5">
        <v>208.9</v>
      </c>
      <c r="G3154" s="5">
        <v>104.2</v>
      </c>
      <c r="H3154" s="5">
        <v>104.1</v>
      </c>
      <c r="I3154" s="5">
        <v>0</v>
      </c>
      <c r="J3154" s="5">
        <v>0</v>
      </c>
      <c r="K3154" s="5">
        <v>0</v>
      </c>
    </row>
    <row r="3155" spans="1:11" x14ac:dyDescent="0.25">
      <c r="A3155" s="5">
        <f>3148</f>
      </c>
      <c r="B3155" s="5" t="s">
        <v>3163</v>
      </c>
      <c r="C3155" s="5">
        <v>105</v>
      </c>
      <c r="D3155" s="5">
        <v>0.1</v>
      </c>
      <c r="E3155" s="5">
        <v>105.2</v>
      </c>
      <c r="F3155" s="5">
        <v>209.2</v>
      </c>
      <c r="G3155" s="5">
        <v>104.4</v>
      </c>
      <c r="H3155" s="5">
        <v>104.2</v>
      </c>
      <c r="I3155" s="5">
        <v>0</v>
      </c>
      <c r="J3155" s="5">
        <v>0</v>
      </c>
      <c r="K3155" s="5">
        <v>0</v>
      </c>
    </row>
    <row r="3156" spans="1:11" x14ac:dyDescent="0.25">
      <c r="A3156" s="5">
        <f>3149</f>
      </c>
      <c r="B3156" s="5" t="s">
        <v>3164</v>
      </c>
      <c r="C3156" s="5">
        <v>105</v>
      </c>
      <c r="D3156" s="5">
        <v>0.1</v>
      </c>
      <c r="E3156" s="5">
        <v>105.2</v>
      </c>
      <c r="F3156" s="5">
        <v>209.2</v>
      </c>
      <c r="G3156" s="5">
        <v>104.4</v>
      </c>
      <c r="H3156" s="5">
        <v>104.2</v>
      </c>
      <c r="I3156" s="5">
        <v>0</v>
      </c>
      <c r="J3156" s="5">
        <v>0</v>
      </c>
      <c r="K3156" s="5">
        <v>0</v>
      </c>
    </row>
    <row r="3157" spans="1:11" x14ac:dyDescent="0.25">
      <c r="A3157" s="5">
        <f>3150</f>
      </c>
      <c r="B3157" s="5" t="s">
        <v>3165</v>
      </c>
      <c r="C3157" s="5">
        <v>104.7</v>
      </c>
      <c r="D3157" s="5">
        <v>0.1</v>
      </c>
      <c r="E3157" s="5">
        <v>104.8</v>
      </c>
      <c r="F3157" s="5">
        <v>208.8</v>
      </c>
      <c r="G3157" s="5">
        <v>104.2</v>
      </c>
      <c r="H3157" s="5">
        <v>104</v>
      </c>
      <c r="I3157" s="5">
        <v>0</v>
      </c>
      <c r="J3157" s="5">
        <v>0</v>
      </c>
      <c r="K3157" s="5">
        <v>0</v>
      </c>
    </row>
    <row r="3158" spans="1:11" x14ac:dyDescent="0.25">
      <c r="A3158" s="5">
        <f>3151</f>
      </c>
      <c r="B3158" s="5" t="s">
        <v>3166</v>
      </c>
      <c r="C3158" s="5">
        <v>104.7</v>
      </c>
      <c r="D3158" s="5">
        <v>0.1</v>
      </c>
      <c r="E3158" s="5">
        <v>104.8</v>
      </c>
      <c r="F3158" s="5">
        <v>208.8</v>
      </c>
      <c r="G3158" s="5">
        <v>104.2</v>
      </c>
      <c r="H3158" s="5">
        <v>104</v>
      </c>
      <c r="I3158" s="5">
        <v>0</v>
      </c>
      <c r="J3158" s="5">
        <v>0</v>
      </c>
      <c r="K3158" s="5">
        <v>0</v>
      </c>
    </row>
    <row r="3159" spans="1:11" x14ac:dyDescent="0.25">
      <c r="A3159" s="5">
        <f>3152</f>
      </c>
      <c r="B3159" s="5" t="s">
        <v>3167</v>
      </c>
      <c r="C3159" s="5">
        <v>104.7</v>
      </c>
      <c r="D3159" s="5">
        <v>0.1</v>
      </c>
      <c r="E3159" s="5">
        <v>104.8</v>
      </c>
      <c r="F3159" s="5">
        <v>208.8</v>
      </c>
      <c r="G3159" s="5">
        <v>104.2</v>
      </c>
      <c r="H3159" s="5">
        <v>104</v>
      </c>
      <c r="I3159" s="5">
        <v>0</v>
      </c>
      <c r="J3159" s="5">
        <v>0</v>
      </c>
      <c r="K3159" s="5">
        <v>0</v>
      </c>
    </row>
    <row r="3160" spans="1:11" x14ac:dyDescent="0.25">
      <c r="A3160" s="5">
        <f>3153</f>
      </c>
      <c r="B3160" s="5" t="s">
        <v>3168</v>
      </c>
      <c r="C3160" s="5">
        <v>104.7</v>
      </c>
      <c r="D3160" s="5">
        <v>0.1</v>
      </c>
      <c r="E3160" s="5">
        <v>104.8</v>
      </c>
      <c r="F3160" s="5">
        <v>208.8</v>
      </c>
      <c r="G3160" s="5">
        <v>104.2</v>
      </c>
      <c r="H3160" s="5">
        <v>104</v>
      </c>
      <c r="I3160" s="5">
        <v>0</v>
      </c>
      <c r="J3160" s="5">
        <v>0</v>
      </c>
      <c r="K3160" s="5">
        <v>0</v>
      </c>
    </row>
    <row r="3161" spans="1:11" x14ac:dyDescent="0.25">
      <c r="A3161" s="5">
        <f>3154</f>
      </c>
      <c r="B3161" s="5" t="s">
        <v>3169</v>
      </c>
      <c r="C3161" s="5">
        <v>103.6</v>
      </c>
      <c r="D3161" s="5">
        <v>0.1</v>
      </c>
      <c r="E3161" s="5">
        <v>103.7</v>
      </c>
      <c r="F3161" s="5">
        <v>207.8</v>
      </c>
      <c r="G3161" s="5">
        <v>103.6</v>
      </c>
      <c r="H3161" s="5">
        <v>103.5</v>
      </c>
      <c r="I3161" s="5">
        <v>0</v>
      </c>
      <c r="J3161" s="5">
        <v>0</v>
      </c>
      <c r="K3161" s="5">
        <v>0</v>
      </c>
    </row>
    <row r="3162" spans="1:11" x14ac:dyDescent="0.25">
      <c r="A3162" s="5">
        <f>3155</f>
      </c>
      <c r="B3162" s="5" t="s">
        <v>3170</v>
      </c>
      <c r="C3162" s="5">
        <v>103.6</v>
      </c>
      <c r="D3162" s="5">
        <v>0.1</v>
      </c>
      <c r="E3162" s="5">
        <v>103.7</v>
      </c>
      <c r="F3162" s="5">
        <v>207.8</v>
      </c>
      <c r="G3162" s="5">
        <v>103.6</v>
      </c>
      <c r="H3162" s="5">
        <v>103.5</v>
      </c>
      <c r="I3162" s="5">
        <v>0</v>
      </c>
      <c r="J3162" s="5">
        <v>0</v>
      </c>
      <c r="K3162" s="5">
        <v>0</v>
      </c>
    </row>
    <row r="3163" spans="1:11" x14ac:dyDescent="0.25">
      <c r="A3163" s="5">
        <f>3156</f>
      </c>
      <c r="B3163" s="5" t="s">
        <v>3171</v>
      </c>
      <c r="C3163" s="5">
        <v>104.3</v>
      </c>
      <c r="D3163" s="5">
        <v>0.1</v>
      </c>
      <c r="E3163" s="5">
        <v>104.5</v>
      </c>
      <c r="F3163" s="5">
        <v>208.7</v>
      </c>
      <c r="G3163" s="5">
        <v>104.1</v>
      </c>
      <c r="H3163" s="5">
        <v>103.9</v>
      </c>
      <c r="I3163" s="5">
        <v>0</v>
      </c>
      <c r="J3163" s="5">
        <v>0</v>
      </c>
      <c r="K3163" s="5">
        <v>0</v>
      </c>
    </row>
    <row r="3164" spans="1:11" x14ac:dyDescent="0.25">
      <c r="A3164" s="5">
        <f>3157</f>
      </c>
      <c r="B3164" s="5" t="s">
        <v>3172</v>
      </c>
      <c r="C3164" s="5">
        <v>104.3</v>
      </c>
      <c r="D3164" s="5">
        <v>0.1</v>
      </c>
      <c r="E3164" s="5">
        <v>104.5</v>
      </c>
      <c r="F3164" s="5">
        <v>208.7</v>
      </c>
      <c r="G3164" s="5">
        <v>104.1</v>
      </c>
      <c r="H3164" s="5">
        <v>103.9</v>
      </c>
      <c r="I3164" s="5">
        <v>0</v>
      </c>
      <c r="J3164" s="5">
        <v>0</v>
      </c>
      <c r="K3164" s="5">
        <v>0</v>
      </c>
    </row>
    <row r="3165" spans="1:11" x14ac:dyDescent="0.25">
      <c r="A3165" s="5">
        <f>3158</f>
      </c>
      <c r="B3165" s="5" t="s">
        <v>3173</v>
      </c>
      <c r="C3165" s="5">
        <v>104.7</v>
      </c>
      <c r="D3165" s="5">
        <v>0.1</v>
      </c>
      <c r="E3165" s="5">
        <v>104.9</v>
      </c>
      <c r="F3165" s="5">
        <v>208.3</v>
      </c>
      <c r="G3165" s="5">
        <v>104</v>
      </c>
      <c r="H3165" s="5">
        <v>103.8</v>
      </c>
      <c r="I3165" s="5">
        <v>0</v>
      </c>
      <c r="J3165" s="5">
        <v>0</v>
      </c>
      <c r="K3165" s="5">
        <v>0</v>
      </c>
    </row>
    <row r="3166" spans="1:11" x14ac:dyDescent="0.25">
      <c r="A3166" s="5">
        <f>3159</f>
      </c>
      <c r="B3166" s="5" t="s">
        <v>3174</v>
      </c>
      <c r="C3166" s="5">
        <v>104.7</v>
      </c>
      <c r="D3166" s="5">
        <v>0.1</v>
      </c>
      <c r="E3166" s="5">
        <v>104.9</v>
      </c>
      <c r="F3166" s="5">
        <v>208.3</v>
      </c>
      <c r="G3166" s="5">
        <v>104</v>
      </c>
      <c r="H3166" s="5">
        <v>103.8</v>
      </c>
      <c r="I3166" s="5">
        <v>0</v>
      </c>
      <c r="J3166" s="5">
        <v>0</v>
      </c>
      <c r="K3166" s="5">
        <v>0</v>
      </c>
    </row>
    <row r="3167" spans="1:11" x14ac:dyDescent="0.25">
      <c r="A3167" s="5">
        <f>3160</f>
      </c>
      <c r="B3167" s="5" t="s">
        <v>3175</v>
      </c>
      <c r="C3167" s="5">
        <v>104.3</v>
      </c>
      <c r="D3167" s="5">
        <v>0.1</v>
      </c>
      <c r="E3167" s="5">
        <v>104.4</v>
      </c>
      <c r="F3167" s="5">
        <v>208.5</v>
      </c>
      <c r="G3167" s="5">
        <v>104</v>
      </c>
      <c r="H3167" s="5">
        <v>103.9</v>
      </c>
      <c r="I3167" s="5">
        <v>0</v>
      </c>
      <c r="J3167" s="5">
        <v>0</v>
      </c>
      <c r="K3167" s="5">
        <v>0</v>
      </c>
    </row>
    <row r="3168" spans="1:11" x14ac:dyDescent="0.25">
      <c r="A3168" s="5">
        <f>3161</f>
      </c>
      <c r="B3168" s="5" t="s">
        <v>3176</v>
      </c>
      <c r="C3168" s="5">
        <v>104.3</v>
      </c>
      <c r="D3168" s="5">
        <v>0.1</v>
      </c>
      <c r="E3168" s="5">
        <v>104.4</v>
      </c>
      <c r="F3168" s="5">
        <v>208.5</v>
      </c>
      <c r="G3168" s="5">
        <v>104</v>
      </c>
      <c r="H3168" s="5">
        <v>103.9</v>
      </c>
      <c r="I3168" s="5">
        <v>0</v>
      </c>
      <c r="J3168" s="5">
        <v>0</v>
      </c>
      <c r="K3168" s="5">
        <v>0</v>
      </c>
    </row>
    <row r="3169" spans="1:11" x14ac:dyDescent="0.25">
      <c r="A3169" s="5">
        <f>3162</f>
      </c>
      <c r="B3169" s="5" t="s">
        <v>3177</v>
      </c>
      <c r="C3169" s="5">
        <v>104.3</v>
      </c>
      <c r="D3169" s="5">
        <v>0.1</v>
      </c>
      <c r="E3169" s="5">
        <v>104.4</v>
      </c>
      <c r="F3169" s="5">
        <v>208.5</v>
      </c>
      <c r="G3169" s="5">
        <v>104</v>
      </c>
      <c r="H3169" s="5">
        <v>103.9</v>
      </c>
      <c r="I3169" s="5">
        <v>0</v>
      </c>
      <c r="J3169" s="5">
        <v>0</v>
      </c>
      <c r="K3169" s="5">
        <v>0</v>
      </c>
    </row>
    <row r="3170" spans="1:11" x14ac:dyDescent="0.25">
      <c r="A3170" s="5">
        <f>3163</f>
      </c>
      <c r="B3170" s="5" t="s">
        <v>3178</v>
      </c>
      <c r="C3170" s="5">
        <v>104.3</v>
      </c>
      <c r="D3170" s="5">
        <v>0.1</v>
      </c>
      <c r="E3170" s="5">
        <v>104.4</v>
      </c>
      <c r="F3170" s="5">
        <v>208.5</v>
      </c>
      <c r="G3170" s="5">
        <v>104</v>
      </c>
      <c r="H3170" s="5">
        <v>103.9</v>
      </c>
      <c r="I3170" s="5">
        <v>0</v>
      </c>
      <c r="J3170" s="5">
        <v>0</v>
      </c>
      <c r="K3170" s="5">
        <v>0</v>
      </c>
    </row>
    <row r="3171" spans="1:11" x14ac:dyDescent="0.25">
      <c r="A3171" s="5">
        <f>3164</f>
      </c>
      <c r="B3171" s="5" t="s">
        <v>3179</v>
      </c>
      <c r="C3171" s="5">
        <v>103.8</v>
      </c>
      <c r="D3171" s="5">
        <v>0.1</v>
      </c>
      <c r="E3171" s="5">
        <v>104</v>
      </c>
      <c r="F3171" s="5">
        <v>207.4</v>
      </c>
      <c r="G3171" s="5">
        <v>103.4</v>
      </c>
      <c r="H3171" s="5">
        <v>103.3</v>
      </c>
      <c r="I3171" s="5">
        <v>0</v>
      </c>
      <c r="J3171" s="5">
        <v>0</v>
      </c>
      <c r="K3171" s="5">
        <v>0</v>
      </c>
    </row>
    <row r="3172" spans="1:11" x14ac:dyDescent="0.25">
      <c r="A3172" s="5">
        <f>3165</f>
      </c>
      <c r="B3172" s="5" t="s">
        <v>3180</v>
      </c>
      <c r="C3172" s="5">
        <v>103.8</v>
      </c>
      <c r="D3172" s="5">
        <v>0.1</v>
      </c>
      <c r="E3172" s="5">
        <v>104</v>
      </c>
      <c r="F3172" s="5">
        <v>207.4</v>
      </c>
      <c r="G3172" s="5">
        <v>103.4</v>
      </c>
      <c r="H3172" s="5">
        <v>103.3</v>
      </c>
      <c r="I3172" s="5">
        <v>0</v>
      </c>
      <c r="J3172" s="5">
        <v>0</v>
      </c>
      <c r="K3172" s="5">
        <v>0</v>
      </c>
    </row>
    <row r="3173" spans="1:11" x14ac:dyDescent="0.25">
      <c r="A3173" s="5">
        <f>3166</f>
      </c>
      <c r="B3173" s="5" t="s">
        <v>3181</v>
      </c>
      <c r="C3173" s="5">
        <v>103.8</v>
      </c>
      <c r="D3173" s="5">
        <v>0.1</v>
      </c>
      <c r="E3173" s="5">
        <v>104</v>
      </c>
      <c r="F3173" s="5">
        <v>207.1</v>
      </c>
      <c r="G3173" s="5">
        <v>103.3</v>
      </c>
      <c r="H3173" s="5">
        <v>103.2</v>
      </c>
      <c r="I3173" s="5">
        <v>0</v>
      </c>
      <c r="J3173" s="5">
        <v>0</v>
      </c>
      <c r="K3173" s="5">
        <v>0</v>
      </c>
    </row>
    <row r="3174" spans="1:11" x14ac:dyDescent="0.25">
      <c r="A3174" s="5">
        <f>3167</f>
      </c>
      <c r="B3174" s="5" t="s">
        <v>3182</v>
      </c>
      <c r="C3174" s="5">
        <v>103.8</v>
      </c>
      <c r="D3174" s="5">
        <v>0.1</v>
      </c>
      <c r="E3174" s="5">
        <v>104</v>
      </c>
      <c r="F3174" s="5">
        <v>207.1</v>
      </c>
      <c r="G3174" s="5">
        <v>103.3</v>
      </c>
      <c r="H3174" s="5">
        <v>103.2</v>
      </c>
      <c r="I3174" s="5">
        <v>0</v>
      </c>
      <c r="J3174" s="5">
        <v>0</v>
      </c>
      <c r="K3174" s="5">
        <v>0</v>
      </c>
    </row>
    <row r="3175" spans="1:11" x14ac:dyDescent="0.25">
      <c r="A3175" s="5">
        <f>3168</f>
      </c>
      <c r="B3175" s="5" t="s">
        <v>3183</v>
      </c>
      <c r="C3175" s="5">
        <v>103.4</v>
      </c>
      <c r="D3175" s="5">
        <v>0.1</v>
      </c>
      <c r="E3175" s="5">
        <v>103.5</v>
      </c>
      <c r="F3175" s="5">
        <v>205.8</v>
      </c>
      <c r="G3175" s="5">
        <v>102.7</v>
      </c>
      <c r="H3175" s="5">
        <v>102.6</v>
      </c>
      <c r="I3175" s="5">
        <v>0</v>
      </c>
      <c r="J3175" s="5">
        <v>0</v>
      </c>
      <c r="K3175" s="5">
        <v>0</v>
      </c>
    </row>
    <row r="3176" spans="1:11" x14ac:dyDescent="0.25">
      <c r="A3176" s="5">
        <f>3169</f>
      </c>
      <c r="B3176" s="5" t="s">
        <v>3184</v>
      </c>
      <c r="C3176" s="5">
        <v>103.4</v>
      </c>
      <c r="D3176" s="5">
        <v>0.1</v>
      </c>
      <c r="E3176" s="5">
        <v>103.5</v>
      </c>
      <c r="F3176" s="5">
        <v>205.8</v>
      </c>
      <c r="G3176" s="5">
        <v>102.7</v>
      </c>
      <c r="H3176" s="5">
        <v>102.6</v>
      </c>
      <c r="I3176" s="5">
        <v>0</v>
      </c>
      <c r="J3176" s="5">
        <v>0</v>
      </c>
      <c r="K3176" s="5">
        <v>0</v>
      </c>
    </row>
    <row r="3177" spans="1:11" x14ac:dyDescent="0.25">
      <c r="A3177" s="5">
        <f>3170</f>
      </c>
      <c r="B3177" s="5" t="s">
        <v>3185</v>
      </c>
      <c r="C3177" s="5">
        <v>103.7</v>
      </c>
      <c r="D3177" s="5">
        <v>0.1</v>
      </c>
      <c r="E3177" s="5">
        <v>103.9</v>
      </c>
      <c r="F3177" s="5">
        <v>207.1</v>
      </c>
      <c r="G3177" s="5">
        <v>103.3</v>
      </c>
      <c r="H3177" s="5">
        <v>103.1</v>
      </c>
      <c r="I3177" s="5">
        <v>0</v>
      </c>
      <c r="J3177" s="5">
        <v>0</v>
      </c>
      <c r="K3177" s="5">
        <v>0</v>
      </c>
    </row>
    <row r="3178" spans="1:11" x14ac:dyDescent="0.25">
      <c r="A3178" s="5">
        <f>3171</f>
      </c>
      <c r="B3178" s="5" t="s">
        <v>3186</v>
      </c>
      <c r="C3178" s="5">
        <v>103.7</v>
      </c>
      <c r="D3178" s="5">
        <v>0.1</v>
      </c>
      <c r="E3178" s="5">
        <v>103.9</v>
      </c>
      <c r="F3178" s="5">
        <v>207.1</v>
      </c>
      <c r="G3178" s="5">
        <v>103.3</v>
      </c>
      <c r="H3178" s="5">
        <v>103.1</v>
      </c>
      <c r="I3178" s="5">
        <v>0</v>
      </c>
      <c r="J3178" s="5">
        <v>0</v>
      </c>
      <c r="K3178" s="5">
        <v>0</v>
      </c>
    </row>
    <row r="3179" spans="1:11" x14ac:dyDescent="0.25">
      <c r="A3179" s="5">
        <f>3172</f>
      </c>
      <c r="B3179" s="5" t="s">
        <v>3187</v>
      </c>
      <c r="C3179" s="5">
        <v>103.7</v>
      </c>
      <c r="D3179" s="5">
        <v>0.1</v>
      </c>
      <c r="E3179" s="5">
        <v>103.9</v>
      </c>
      <c r="F3179" s="5">
        <v>207.1</v>
      </c>
      <c r="G3179" s="5">
        <v>103.3</v>
      </c>
      <c r="H3179" s="5">
        <v>103.1</v>
      </c>
      <c r="I3179" s="5">
        <v>0</v>
      </c>
      <c r="J3179" s="5">
        <v>0</v>
      </c>
      <c r="K3179" s="5">
        <v>0</v>
      </c>
    </row>
    <row r="3180" spans="1:11" x14ac:dyDescent="0.25">
      <c r="A3180" s="5">
        <f>3173</f>
      </c>
      <c r="B3180" s="5" t="s">
        <v>3188</v>
      </c>
      <c r="C3180" s="5">
        <v>103.7</v>
      </c>
      <c r="D3180" s="5">
        <v>0.1</v>
      </c>
      <c r="E3180" s="5">
        <v>103.9</v>
      </c>
      <c r="F3180" s="5">
        <v>207.1</v>
      </c>
      <c r="G3180" s="5">
        <v>103.3</v>
      </c>
      <c r="H3180" s="5">
        <v>103.1</v>
      </c>
      <c r="I3180" s="5">
        <v>0</v>
      </c>
      <c r="J3180" s="5">
        <v>0</v>
      </c>
      <c r="K3180" s="5">
        <v>0</v>
      </c>
    </row>
    <row r="3181" spans="1:11" x14ac:dyDescent="0.25">
      <c r="A3181" s="5">
        <f>3174</f>
      </c>
      <c r="B3181" s="5" t="s">
        <v>3189</v>
      </c>
      <c r="C3181" s="5">
        <v>103.7</v>
      </c>
      <c r="D3181" s="5">
        <v>0.1</v>
      </c>
      <c r="E3181" s="5">
        <v>103.8</v>
      </c>
      <c r="F3181" s="5">
        <v>207.5</v>
      </c>
      <c r="G3181" s="5">
        <v>103.5</v>
      </c>
      <c r="H3181" s="5">
        <v>103.4</v>
      </c>
      <c r="I3181" s="5">
        <v>0</v>
      </c>
      <c r="J3181" s="5">
        <v>0</v>
      </c>
      <c r="K3181" s="5">
        <v>0</v>
      </c>
    </row>
    <row r="3182" spans="1:11" x14ac:dyDescent="0.25">
      <c r="A3182" s="5">
        <f>3175</f>
      </c>
      <c r="B3182" s="5" t="s">
        <v>3190</v>
      </c>
      <c r="C3182" s="5">
        <v>103.7</v>
      </c>
      <c r="D3182" s="5">
        <v>0.1</v>
      </c>
      <c r="E3182" s="5">
        <v>103.8</v>
      </c>
      <c r="F3182" s="5">
        <v>207.5</v>
      </c>
      <c r="G3182" s="5">
        <v>103.5</v>
      </c>
      <c r="H3182" s="5">
        <v>103.4</v>
      </c>
      <c r="I3182" s="5">
        <v>0</v>
      </c>
      <c r="J3182" s="5">
        <v>0</v>
      </c>
      <c r="K3182" s="5">
        <v>0</v>
      </c>
    </row>
    <row r="3183" spans="1:11" x14ac:dyDescent="0.25">
      <c r="A3183" s="5">
        <f>3176</f>
      </c>
      <c r="B3183" s="5" t="s">
        <v>3191</v>
      </c>
      <c r="C3183" s="5">
        <v>104</v>
      </c>
      <c r="D3183" s="5">
        <v>0.1</v>
      </c>
      <c r="E3183" s="5">
        <v>104.1</v>
      </c>
      <c r="F3183" s="5">
        <v>207.7</v>
      </c>
      <c r="G3183" s="5">
        <v>103.6</v>
      </c>
      <c r="H3183" s="5">
        <v>103.4</v>
      </c>
      <c r="I3183" s="5">
        <v>0</v>
      </c>
      <c r="J3183" s="5">
        <v>0</v>
      </c>
      <c r="K3183" s="5">
        <v>0</v>
      </c>
    </row>
    <row r="3184" spans="1:11" x14ac:dyDescent="0.25">
      <c r="A3184" s="5">
        <f>3177</f>
      </c>
      <c r="B3184" s="5" t="s">
        <v>3192</v>
      </c>
      <c r="C3184" s="5">
        <v>104</v>
      </c>
      <c r="D3184" s="5">
        <v>0.1</v>
      </c>
      <c r="E3184" s="5">
        <v>104.1</v>
      </c>
      <c r="F3184" s="5">
        <v>207.7</v>
      </c>
      <c r="G3184" s="5">
        <v>103.6</v>
      </c>
      <c r="H3184" s="5">
        <v>103.4</v>
      </c>
      <c r="I3184" s="5">
        <v>0</v>
      </c>
      <c r="J3184" s="5">
        <v>0</v>
      </c>
      <c r="K3184" s="5">
        <v>0</v>
      </c>
    </row>
    <row r="3185" spans="1:11" x14ac:dyDescent="0.25">
      <c r="A3185" s="5">
        <f>3178</f>
      </c>
      <c r="B3185" s="5" t="s">
        <v>3193</v>
      </c>
      <c r="C3185" s="5">
        <v>103.4</v>
      </c>
      <c r="D3185" s="5">
        <v>0.1</v>
      </c>
      <c r="E3185" s="5">
        <v>103.5</v>
      </c>
      <c r="F3185" s="5">
        <v>206.7</v>
      </c>
      <c r="G3185" s="5">
        <v>103.1</v>
      </c>
      <c r="H3185" s="5">
        <v>103</v>
      </c>
      <c r="I3185" s="5">
        <v>0</v>
      </c>
      <c r="J3185" s="5">
        <v>0</v>
      </c>
      <c r="K3185" s="5">
        <v>0</v>
      </c>
    </row>
    <row r="3186" spans="1:11" x14ac:dyDescent="0.25">
      <c r="A3186" s="5">
        <f>3179</f>
      </c>
      <c r="B3186" s="5" t="s">
        <v>3194</v>
      </c>
      <c r="C3186" s="5">
        <v>103.4</v>
      </c>
      <c r="D3186" s="5">
        <v>0.1</v>
      </c>
      <c r="E3186" s="5">
        <v>103.5</v>
      </c>
      <c r="F3186" s="5">
        <v>206.7</v>
      </c>
      <c r="G3186" s="5">
        <v>103.1</v>
      </c>
      <c r="H3186" s="5">
        <v>103</v>
      </c>
      <c r="I3186" s="5">
        <v>0</v>
      </c>
      <c r="J3186" s="5">
        <v>0</v>
      </c>
      <c r="K3186" s="5">
        <v>0</v>
      </c>
    </row>
    <row r="3187" spans="1:11" x14ac:dyDescent="0.25">
      <c r="A3187" s="5">
        <f>3180</f>
      </c>
      <c r="B3187" s="5" t="s">
        <v>3195</v>
      </c>
      <c r="C3187" s="5">
        <v>103.7</v>
      </c>
      <c r="D3187" s="5">
        <v>0.1</v>
      </c>
      <c r="E3187" s="5">
        <v>103.9</v>
      </c>
      <c r="F3187" s="5">
        <v>207.1</v>
      </c>
      <c r="G3187" s="5">
        <v>103.3</v>
      </c>
      <c r="H3187" s="5">
        <v>103.2</v>
      </c>
      <c r="I3187" s="5">
        <v>0</v>
      </c>
      <c r="J3187" s="5">
        <v>0</v>
      </c>
      <c r="K3187" s="5">
        <v>0</v>
      </c>
    </row>
    <row r="3188" spans="1:11" x14ac:dyDescent="0.25">
      <c r="A3188" s="5">
        <f>3181</f>
      </c>
      <c r="B3188" s="5" t="s">
        <v>3196</v>
      </c>
      <c r="C3188" s="5">
        <v>103.7</v>
      </c>
      <c r="D3188" s="5">
        <v>0.1</v>
      </c>
      <c r="E3188" s="5">
        <v>103.9</v>
      </c>
      <c r="F3188" s="5">
        <v>207.1</v>
      </c>
      <c r="G3188" s="5">
        <v>103.3</v>
      </c>
      <c r="H3188" s="5">
        <v>103.2</v>
      </c>
      <c r="I3188" s="5">
        <v>0</v>
      </c>
      <c r="J3188" s="5">
        <v>0</v>
      </c>
      <c r="K3188" s="5">
        <v>0</v>
      </c>
    </row>
    <row r="3189" spans="1:11" x14ac:dyDescent="0.25">
      <c r="A3189" s="5">
        <f>3182</f>
      </c>
      <c r="B3189" s="5" t="s">
        <v>3197</v>
      </c>
      <c r="C3189" s="5">
        <v>103.7</v>
      </c>
      <c r="D3189" s="5">
        <v>0.1</v>
      </c>
      <c r="E3189" s="5">
        <v>103.9</v>
      </c>
      <c r="F3189" s="5">
        <v>207.1</v>
      </c>
      <c r="G3189" s="5">
        <v>103.3</v>
      </c>
      <c r="H3189" s="5">
        <v>103.2</v>
      </c>
      <c r="I3189" s="5">
        <v>0</v>
      </c>
      <c r="J3189" s="5">
        <v>0</v>
      </c>
      <c r="K3189" s="5">
        <v>0</v>
      </c>
    </row>
    <row r="3190" spans="1:11" x14ac:dyDescent="0.25">
      <c r="A3190" s="5">
        <f>3183</f>
      </c>
      <c r="B3190" s="5" t="s">
        <v>3198</v>
      </c>
      <c r="C3190" s="5">
        <v>103.7</v>
      </c>
      <c r="D3190" s="5">
        <v>0.1</v>
      </c>
      <c r="E3190" s="5">
        <v>103.9</v>
      </c>
      <c r="F3190" s="5">
        <v>207.1</v>
      </c>
      <c r="G3190" s="5">
        <v>103.3</v>
      </c>
      <c r="H3190" s="5">
        <v>103.2</v>
      </c>
      <c r="I3190" s="5">
        <v>0</v>
      </c>
      <c r="J3190" s="5">
        <v>0</v>
      </c>
      <c r="K3190" s="5">
        <v>0</v>
      </c>
    </row>
    <row r="3191" spans="1:11" x14ac:dyDescent="0.25">
      <c r="A3191" s="5">
        <f>3184</f>
      </c>
      <c r="B3191" s="5" t="s">
        <v>3199</v>
      </c>
      <c r="C3191" s="5">
        <v>103.7</v>
      </c>
      <c r="D3191" s="5">
        <v>0.1</v>
      </c>
      <c r="E3191" s="5">
        <v>103.8</v>
      </c>
      <c r="F3191" s="5">
        <v>207.7</v>
      </c>
      <c r="G3191" s="5">
        <v>103.6</v>
      </c>
      <c r="H3191" s="5">
        <v>103.5</v>
      </c>
      <c r="I3191" s="5">
        <v>0</v>
      </c>
      <c r="J3191" s="5">
        <v>0</v>
      </c>
      <c r="K3191" s="5">
        <v>0</v>
      </c>
    </row>
    <row r="3192" spans="1:11" x14ac:dyDescent="0.25">
      <c r="A3192" s="5">
        <f>3185</f>
      </c>
      <c r="B3192" s="5" t="s">
        <v>3200</v>
      </c>
      <c r="C3192" s="5">
        <v>103.7</v>
      </c>
      <c r="D3192" s="5">
        <v>0.1</v>
      </c>
      <c r="E3192" s="5">
        <v>103.8</v>
      </c>
      <c r="F3192" s="5">
        <v>207.7</v>
      </c>
      <c r="G3192" s="5">
        <v>103.6</v>
      </c>
      <c r="H3192" s="5">
        <v>103.5</v>
      </c>
      <c r="I3192" s="5">
        <v>0</v>
      </c>
      <c r="J3192" s="5">
        <v>0</v>
      </c>
      <c r="K3192" s="5">
        <v>0</v>
      </c>
    </row>
    <row r="3193" spans="1:11" x14ac:dyDescent="0.25">
      <c r="A3193" s="5">
        <f>3186</f>
      </c>
      <c r="B3193" s="5" t="s">
        <v>3201</v>
      </c>
      <c r="C3193" s="5">
        <v>103.7</v>
      </c>
      <c r="D3193" s="5">
        <v>0.1</v>
      </c>
      <c r="E3193" s="5">
        <v>103.8</v>
      </c>
      <c r="F3193" s="5">
        <v>207</v>
      </c>
      <c r="G3193" s="5">
        <v>103.2</v>
      </c>
      <c r="H3193" s="5">
        <v>103</v>
      </c>
      <c r="I3193" s="5">
        <v>0</v>
      </c>
      <c r="J3193" s="5">
        <v>0</v>
      </c>
      <c r="K3193" s="5">
        <v>0</v>
      </c>
    </row>
    <row r="3194" spans="1:11" x14ac:dyDescent="0.25">
      <c r="A3194" s="5">
        <f>3187</f>
      </c>
      <c r="B3194" s="5" t="s">
        <v>3202</v>
      </c>
      <c r="C3194" s="5">
        <v>103.7</v>
      </c>
      <c r="D3194" s="5">
        <v>0.1</v>
      </c>
      <c r="E3194" s="5">
        <v>103.8</v>
      </c>
      <c r="F3194" s="5">
        <v>207</v>
      </c>
      <c r="G3194" s="5">
        <v>103.2</v>
      </c>
      <c r="H3194" s="5">
        <v>103</v>
      </c>
      <c r="I3194" s="5">
        <v>0</v>
      </c>
      <c r="J3194" s="5">
        <v>0</v>
      </c>
      <c r="K3194" s="5">
        <v>0</v>
      </c>
    </row>
    <row r="3195" spans="1:11" x14ac:dyDescent="0.25">
      <c r="A3195" s="5">
        <f>3188</f>
      </c>
      <c r="B3195" s="5" t="s">
        <v>3203</v>
      </c>
      <c r="C3195" s="5">
        <v>103.8</v>
      </c>
      <c r="D3195" s="5">
        <v>0.1</v>
      </c>
      <c r="E3195" s="5">
        <v>104</v>
      </c>
      <c r="F3195" s="5">
        <v>207.2</v>
      </c>
      <c r="G3195" s="5">
        <v>103.4</v>
      </c>
      <c r="H3195" s="5">
        <v>103.2</v>
      </c>
      <c r="I3195" s="5">
        <v>0</v>
      </c>
      <c r="J3195" s="5">
        <v>0</v>
      </c>
      <c r="K3195" s="5">
        <v>0</v>
      </c>
    </row>
    <row r="3196" spans="1:11" x14ac:dyDescent="0.25">
      <c r="A3196" s="5">
        <f>3189</f>
      </c>
      <c r="B3196" s="5" t="s">
        <v>3204</v>
      </c>
      <c r="C3196" s="5">
        <v>103.8</v>
      </c>
      <c r="D3196" s="5">
        <v>0.1</v>
      </c>
      <c r="E3196" s="5">
        <v>104</v>
      </c>
      <c r="F3196" s="5">
        <v>207.2</v>
      </c>
      <c r="G3196" s="5">
        <v>103.4</v>
      </c>
      <c r="H3196" s="5">
        <v>103.2</v>
      </c>
      <c r="I3196" s="5">
        <v>0</v>
      </c>
      <c r="J3196" s="5">
        <v>0</v>
      </c>
      <c r="K3196" s="5">
        <v>0</v>
      </c>
    </row>
    <row r="3197" spans="1:11" x14ac:dyDescent="0.25">
      <c r="A3197" s="5">
        <f>3190</f>
      </c>
      <c r="B3197" s="5" t="s">
        <v>3205</v>
      </c>
      <c r="C3197" s="5">
        <v>103.7</v>
      </c>
      <c r="D3197" s="5">
        <v>0.1</v>
      </c>
      <c r="E3197" s="5">
        <v>103.9</v>
      </c>
      <c r="F3197" s="5">
        <v>206.9</v>
      </c>
      <c r="G3197" s="5">
        <v>103.2</v>
      </c>
      <c r="H3197" s="5">
        <v>103.1</v>
      </c>
      <c r="I3197" s="5">
        <v>0</v>
      </c>
      <c r="J3197" s="5">
        <v>0</v>
      </c>
      <c r="K3197" s="5">
        <v>0</v>
      </c>
    </row>
    <row r="3198" spans="1:11" x14ac:dyDescent="0.25">
      <c r="A3198" s="5">
        <f>3191</f>
      </c>
      <c r="B3198" s="5" t="s">
        <v>3206</v>
      </c>
      <c r="C3198" s="5">
        <v>103.7</v>
      </c>
      <c r="D3198" s="5">
        <v>0.1</v>
      </c>
      <c r="E3198" s="5">
        <v>103.9</v>
      </c>
      <c r="F3198" s="5">
        <v>206.9</v>
      </c>
      <c r="G3198" s="5">
        <v>103.2</v>
      </c>
      <c r="H3198" s="5">
        <v>103.1</v>
      </c>
      <c r="I3198" s="5">
        <v>0</v>
      </c>
      <c r="J3198" s="5">
        <v>0</v>
      </c>
      <c r="K3198" s="5">
        <v>0</v>
      </c>
    </row>
    <row r="3199" spans="1:11" x14ac:dyDescent="0.25">
      <c r="A3199" s="5">
        <f>3192</f>
      </c>
      <c r="B3199" s="5" t="s">
        <v>3207</v>
      </c>
      <c r="C3199" s="5">
        <v>103.7</v>
      </c>
      <c r="D3199" s="5">
        <v>0.1</v>
      </c>
      <c r="E3199" s="5">
        <v>103.9</v>
      </c>
      <c r="F3199" s="5">
        <v>206.9</v>
      </c>
      <c r="G3199" s="5">
        <v>103.2</v>
      </c>
      <c r="H3199" s="5">
        <v>103.1</v>
      </c>
      <c r="I3199" s="5">
        <v>0</v>
      </c>
      <c r="J3199" s="5">
        <v>0</v>
      </c>
      <c r="K3199" s="5">
        <v>0</v>
      </c>
    </row>
    <row r="3200" spans="1:11" x14ac:dyDescent="0.25">
      <c r="A3200" s="5">
        <f>3193</f>
      </c>
      <c r="B3200" s="5" t="s">
        <v>3208</v>
      </c>
      <c r="C3200" s="5">
        <v>103.7</v>
      </c>
      <c r="D3200" s="5">
        <v>0.1</v>
      </c>
      <c r="E3200" s="5">
        <v>103.9</v>
      </c>
      <c r="F3200" s="5">
        <v>206.9</v>
      </c>
      <c r="G3200" s="5">
        <v>103.2</v>
      </c>
      <c r="H3200" s="5">
        <v>103.1</v>
      </c>
      <c r="I3200" s="5">
        <v>0</v>
      </c>
      <c r="J3200" s="5">
        <v>0</v>
      </c>
      <c r="K3200" s="5">
        <v>0</v>
      </c>
    </row>
    <row r="3201" spans="1:11" x14ac:dyDescent="0.25">
      <c r="A3201" s="5">
        <f>3194</f>
      </c>
      <c r="B3201" s="5" t="s">
        <v>3209</v>
      </c>
      <c r="C3201" s="5">
        <v>104.2</v>
      </c>
      <c r="D3201" s="5">
        <v>0.1</v>
      </c>
      <c r="E3201" s="5">
        <v>104.3</v>
      </c>
      <c r="F3201" s="5">
        <v>207.8</v>
      </c>
      <c r="G3201" s="5">
        <v>103.6</v>
      </c>
      <c r="H3201" s="5">
        <v>103.5</v>
      </c>
      <c r="I3201" s="5">
        <v>0</v>
      </c>
      <c r="J3201" s="5">
        <v>0</v>
      </c>
      <c r="K3201" s="5">
        <v>0</v>
      </c>
    </row>
    <row r="3202" spans="1:11" x14ac:dyDescent="0.25">
      <c r="A3202" s="5">
        <f>3195</f>
      </c>
      <c r="B3202" s="5" t="s">
        <v>3210</v>
      </c>
      <c r="C3202" s="5">
        <v>104.2</v>
      </c>
      <c r="D3202" s="5">
        <v>0.1</v>
      </c>
      <c r="E3202" s="5">
        <v>104.3</v>
      </c>
      <c r="F3202" s="5">
        <v>207.8</v>
      </c>
      <c r="G3202" s="5">
        <v>103.6</v>
      </c>
      <c r="H3202" s="5">
        <v>103.5</v>
      </c>
      <c r="I3202" s="5">
        <v>0</v>
      </c>
      <c r="J3202" s="5">
        <v>0</v>
      </c>
      <c r="K3202" s="5">
        <v>0</v>
      </c>
    </row>
    <row r="3203" spans="1:11" x14ac:dyDescent="0.25">
      <c r="A3203" s="5">
        <f>3196</f>
      </c>
      <c r="B3203" s="5" t="s">
        <v>3211</v>
      </c>
      <c r="C3203" s="5">
        <v>103.9</v>
      </c>
      <c r="D3203" s="5">
        <v>0.1</v>
      </c>
      <c r="E3203" s="5">
        <v>104</v>
      </c>
      <c r="F3203" s="5">
        <v>207.4</v>
      </c>
      <c r="G3203" s="5">
        <v>103.5</v>
      </c>
      <c r="H3203" s="5">
        <v>103.5</v>
      </c>
      <c r="I3203" s="5">
        <v>0</v>
      </c>
      <c r="J3203" s="5">
        <v>0</v>
      </c>
      <c r="K3203" s="5">
        <v>0</v>
      </c>
    </row>
    <row r="3204" spans="1:11" x14ac:dyDescent="0.25">
      <c r="A3204" s="5">
        <f>3197</f>
      </c>
      <c r="B3204" s="5" t="s">
        <v>3212</v>
      </c>
      <c r="C3204" s="5">
        <v>103.9</v>
      </c>
      <c r="D3204" s="5">
        <v>0.1</v>
      </c>
      <c r="E3204" s="5">
        <v>104</v>
      </c>
      <c r="F3204" s="5">
        <v>207.4</v>
      </c>
      <c r="G3204" s="5">
        <v>103.5</v>
      </c>
      <c r="H3204" s="5">
        <v>103.5</v>
      </c>
      <c r="I3204" s="5">
        <v>0</v>
      </c>
      <c r="J3204" s="5">
        <v>0</v>
      </c>
      <c r="K3204" s="5">
        <v>0</v>
      </c>
    </row>
    <row r="3205" spans="1:11" x14ac:dyDescent="0.25">
      <c r="A3205" s="5">
        <f>3198</f>
      </c>
      <c r="B3205" s="5" t="s">
        <v>3213</v>
      </c>
      <c r="C3205" s="5">
        <v>103.8</v>
      </c>
      <c r="D3205" s="5">
        <v>0.1</v>
      </c>
      <c r="E3205" s="5">
        <v>104</v>
      </c>
      <c r="F3205" s="5">
        <v>207.2</v>
      </c>
      <c r="G3205" s="5">
        <v>103.4</v>
      </c>
      <c r="H3205" s="5">
        <v>103.3</v>
      </c>
      <c r="I3205" s="5">
        <v>0</v>
      </c>
      <c r="J3205" s="5">
        <v>0</v>
      </c>
      <c r="K3205" s="5">
        <v>0</v>
      </c>
    </row>
    <row r="3206" spans="1:11" x14ac:dyDescent="0.25">
      <c r="A3206" s="5">
        <f>3199</f>
      </c>
      <c r="B3206" s="5" t="s">
        <v>3214</v>
      </c>
      <c r="C3206" s="5">
        <v>103.8</v>
      </c>
      <c r="D3206" s="5">
        <v>0.1</v>
      </c>
      <c r="E3206" s="5">
        <v>104</v>
      </c>
      <c r="F3206" s="5">
        <v>207.2</v>
      </c>
      <c r="G3206" s="5">
        <v>103.4</v>
      </c>
      <c r="H3206" s="5">
        <v>103.3</v>
      </c>
      <c r="I3206" s="5">
        <v>0</v>
      </c>
      <c r="J3206" s="5">
        <v>0</v>
      </c>
      <c r="K3206" s="5">
        <v>0</v>
      </c>
    </row>
    <row r="3207" spans="1:11" x14ac:dyDescent="0.25">
      <c r="A3207" s="5">
        <f>3200</f>
      </c>
      <c r="B3207" s="5" t="s">
        <v>3215</v>
      </c>
      <c r="C3207" s="5">
        <v>103.4</v>
      </c>
      <c r="D3207" s="5">
        <v>0.1</v>
      </c>
      <c r="E3207" s="5">
        <v>103.6</v>
      </c>
      <c r="F3207" s="5">
        <v>206.6</v>
      </c>
      <c r="G3207" s="5">
        <v>103.1</v>
      </c>
      <c r="H3207" s="5">
        <v>103</v>
      </c>
      <c r="I3207" s="5">
        <v>0</v>
      </c>
      <c r="J3207" s="5">
        <v>0</v>
      </c>
      <c r="K3207" s="5">
        <v>0</v>
      </c>
    </row>
    <row r="3208" spans="1:11" x14ac:dyDescent="0.25">
      <c r="A3208" s="5">
        <f>3201</f>
      </c>
      <c r="B3208" s="5" t="s">
        <v>3216</v>
      </c>
      <c r="C3208" s="5">
        <v>103.4</v>
      </c>
      <c r="D3208" s="5">
        <v>0.1</v>
      </c>
      <c r="E3208" s="5">
        <v>103.6</v>
      </c>
      <c r="F3208" s="5">
        <v>206.6</v>
      </c>
      <c r="G3208" s="5">
        <v>103.1</v>
      </c>
      <c r="H3208" s="5">
        <v>103</v>
      </c>
      <c r="I3208" s="5">
        <v>0</v>
      </c>
      <c r="J3208" s="5">
        <v>0</v>
      </c>
      <c r="K3208" s="5">
        <v>0</v>
      </c>
    </row>
    <row r="3209" spans="1:11" x14ac:dyDescent="0.25">
      <c r="A3209" s="5">
        <f>3202</f>
      </c>
      <c r="B3209" s="5" t="s">
        <v>3217</v>
      </c>
      <c r="C3209" s="5">
        <v>103.4</v>
      </c>
      <c r="D3209" s="5">
        <v>0.1</v>
      </c>
      <c r="E3209" s="5">
        <v>103.6</v>
      </c>
      <c r="F3209" s="5">
        <v>206.6</v>
      </c>
      <c r="G3209" s="5">
        <v>103.1</v>
      </c>
      <c r="H3209" s="5">
        <v>103</v>
      </c>
      <c r="I3209" s="5">
        <v>0</v>
      </c>
      <c r="J3209" s="5">
        <v>0</v>
      </c>
      <c r="K3209" s="5">
        <v>0</v>
      </c>
    </row>
    <row r="3210" spans="1:11" x14ac:dyDescent="0.25">
      <c r="A3210" s="5">
        <f>3203</f>
      </c>
      <c r="B3210" s="5" t="s">
        <v>3218</v>
      </c>
      <c r="C3210" s="5">
        <v>103.4</v>
      </c>
      <c r="D3210" s="5">
        <v>0.1</v>
      </c>
      <c r="E3210" s="5">
        <v>103.6</v>
      </c>
      <c r="F3210" s="5">
        <v>206.6</v>
      </c>
      <c r="G3210" s="5">
        <v>103.1</v>
      </c>
      <c r="H3210" s="5">
        <v>103</v>
      </c>
      <c r="I3210" s="5">
        <v>0</v>
      </c>
      <c r="J3210" s="5">
        <v>0</v>
      </c>
      <c r="K3210" s="5">
        <v>0</v>
      </c>
    </row>
    <row r="3211" spans="1:11" x14ac:dyDescent="0.25">
      <c r="A3211" s="5">
        <f>3204</f>
      </c>
      <c r="B3211" s="5" t="s">
        <v>3219</v>
      </c>
      <c r="C3211" s="5">
        <v>103.2</v>
      </c>
      <c r="D3211" s="5">
        <v>0.1</v>
      </c>
      <c r="E3211" s="5">
        <v>103.4</v>
      </c>
      <c r="F3211" s="5">
        <v>206.8</v>
      </c>
      <c r="G3211" s="5">
        <v>103.1</v>
      </c>
      <c r="H3211" s="5">
        <v>102.9</v>
      </c>
      <c r="I3211" s="5">
        <v>0</v>
      </c>
      <c r="J3211" s="5">
        <v>0</v>
      </c>
      <c r="K3211" s="5">
        <v>0</v>
      </c>
    </row>
    <row r="3212" spans="1:11" x14ac:dyDescent="0.25">
      <c r="A3212" s="5">
        <f>3205</f>
      </c>
      <c r="B3212" s="5" t="s">
        <v>3220</v>
      </c>
      <c r="C3212" s="5">
        <v>103.2</v>
      </c>
      <c r="D3212" s="5">
        <v>0.1</v>
      </c>
      <c r="E3212" s="5">
        <v>103.4</v>
      </c>
      <c r="F3212" s="5">
        <v>206.8</v>
      </c>
      <c r="G3212" s="5">
        <v>103.1</v>
      </c>
      <c r="H3212" s="5">
        <v>102.9</v>
      </c>
      <c r="I3212" s="5">
        <v>0</v>
      </c>
      <c r="J3212" s="5">
        <v>0</v>
      </c>
      <c r="K3212" s="5">
        <v>0</v>
      </c>
    </row>
    <row r="3213" spans="1:11" x14ac:dyDescent="0.25">
      <c r="A3213" s="5">
        <f>3206</f>
      </c>
      <c r="B3213" s="5" t="s">
        <v>3221</v>
      </c>
      <c r="C3213" s="5">
        <v>103.6</v>
      </c>
      <c r="D3213" s="5">
        <v>0.1</v>
      </c>
      <c r="E3213" s="5">
        <v>103.7</v>
      </c>
      <c r="F3213" s="5">
        <v>207.4</v>
      </c>
      <c r="G3213" s="5">
        <v>103.5</v>
      </c>
      <c r="H3213" s="5">
        <v>103.4</v>
      </c>
      <c r="I3213" s="5">
        <v>0</v>
      </c>
      <c r="J3213" s="5">
        <v>0</v>
      </c>
      <c r="K3213" s="5">
        <v>0</v>
      </c>
    </row>
    <row r="3214" spans="1:11" x14ac:dyDescent="0.25">
      <c r="A3214" s="5">
        <f>3207</f>
      </c>
      <c r="B3214" s="5" t="s">
        <v>3222</v>
      </c>
      <c r="C3214" s="5">
        <v>103.6</v>
      </c>
      <c r="D3214" s="5">
        <v>0.1</v>
      </c>
      <c r="E3214" s="5">
        <v>103.7</v>
      </c>
      <c r="F3214" s="5">
        <v>207.4</v>
      </c>
      <c r="G3214" s="5">
        <v>103.5</v>
      </c>
      <c r="H3214" s="5">
        <v>103.4</v>
      </c>
      <c r="I3214" s="5">
        <v>0</v>
      </c>
      <c r="J3214" s="5">
        <v>0</v>
      </c>
      <c r="K3214" s="5">
        <v>0</v>
      </c>
    </row>
    <row r="3215" spans="1:11" x14ac:dyDescent="0.25">
      <c r="A3215" s="5">
        <f>3208</f>
      </c>
      <c r="B3215" s="5" t="s">
        <v>3223</v>
      </c>
      <c r="C3215" s="5">
        <v>103.4</v>
      </c>
      <c r="D3215" s="5">
        <v>0.1</v>
      </c>
      <c r="E3215" s="5">
        <v>103.6</v>
      </c>
      <c r="F3215" s="5">
        <v>206.8</v>
      </c>
      <c r="G3215" s="5">
        <v>103.2</v>
      </c>
      <c r="H3215" s="5">
        <v>103.1</v>
      </c>
      <c r="I3215" s="5">
        <v>0</v>
      </c>
      <c r="J3215" s="5">
        <v>0</v>
      </c>
      <c r="K3215" s="5">
        <v>0</v>
      </c>
    </row>
    <row r="3216" spans="1:11" x14ac:dyDescent="0.25">
      <c r="A3216" s="5">
        <f>3209</f>
      </c>
      <c r="B3216" s="5" t="s">
        <v>3224</v>
      </c>
      <c r="C3216" s="5">
        <v>103.4</v>
      </c>
      <c r="D3216" s="5">
        <v>0.1</v>
      </c>
      <c r="E3216" s="5">
        <v>103.6</v>
      </c>
      <c r="F3216" s="5">
        <v>206.8</v>
      </c>
      <c r="G3216" s="5">
        <v>103.2</v>
      </c>
      <c r="H3216" s="5">
        <v>103.1</v>
      </c>
      <c r="I3216" s="5">
        <v>0</v>
      </c>
      <c r="J3216" s="5">
        <v>0</v>
      </c>
      <c r="K3216" s="5">
        <v>0</v>
      </c>
    </row>
    <row r="3217" spans="1:11" x14ac:dyDescent="0.25">
      <c r="A3217" s="5">
        <f>3210</f>
      </c>
      <c r="B3217" s="5" t="s">
        <v>3225</v>
      </c>
      <c r="C3217" s="5">
        <v>104</v>
      </c>
      <c r="D3217" s="5">
        <v>0.1</v>
      </c>
      <c r="E3217" s="5">
        <v>104.1</v>
      </c>
      <c r="F3217" s="5">
        <v>207.2</v>
      </c>
      <c r="G3217" s="5">
        <v>103.3</v>
      </c>
      <c r="H3217" s="5">
        <v>103.2</v>
      </c>
      <c r="I3217" s="5">
        <v>0</v>
      </c>
      <c r="J3217" s="5">
        <v>0</v>
      </c>
      <c r="K3217" s="5">
        <v>0</v>
      </c>
    </row>
    <row r="3218" spans="1:11" x14ac:dyDescent="0.25">
      <c r="A3218" s="5">
        <f>3211</f>
      </c>
      <c r="B3218" s="5" t="s">
        <v>3226</v>
      </c>
      <c r="C3218" s="5">
        <v>104</v>
      </c>
      <c r="D3218" s="5">
        <v>0.1</v>
      </c>
      <c r="E3218" s="5">
        <v>104.1</v>
      </c>
      <c r="F3218" s="5">
        <v>207.2</v>
      </c>
      <c r="G3218" s="5">
        <v>103.3</v>
      </c>
      <c r="H3218" s="5">
        <v>103.2</v>
      </c>
      <c r="I3218" s="5">
        <v>0</v>
      </c>
      <c r="J3218" s="5">
        <v>0</v>
      </c>
      <c r="K3218" s="5">
        <v>0</v>
      </c>
    </row>
    <row r="3219" spans="1:11" x14ac:dyDescent="0.25">
      <c r="A3219" s="5">
        <f>3212</f>
      </c>
      <c r="B3219" s="5" t="s">
        <v>3227</v>
      </c>
      <c r="C3219" s="5">
        <v>104</v>
      </c>
      <c r="D3219" s="5">
        <v>0.1</v>
      </c>
      <c r="E3219" s="5">
        <v>104.1</v>
      </c>
      <c r="F3219" s="5">
        <v>207.2</v>
      </c>
      <c r="G3219" s="5">
        <v>103.3</v>
      </c>
      <c r="H3219" s="5">
        <v>103.2</v>
      </c>
      <c r="I3219" s="5">
        <v>0</v>
      </c>
      <c r="J3219" s="5">
        <v>0</v>
      </c>
      <c r="K3219" s="5">
        <v>0</v>
      </c>
    </row>
    <row r="3220" spans="1:11" x14ac:dyDescent="0.25">
      <c r="A3220" s="5">
        <f>3213</f>
      </c>
      <c r="B3220" s="5" t="s">
        <v>3228</v>
      </c>
      <c r="C3220" s="5">
        <v>104</v>
      </c>
      <c r="D3220" s="5">
        <v>0.1</v>
      </c>
      <c r="E3220" s="5">
        <v>104.1</v>
      </c>
      <c r="F3220" s="5">
        <v>207.2</v>
      </c>
      <c r="G3220" s="5">
        <v>103.6</v>
      </c>
      <c r="H3220" s="5">
        <v>103.4</v>
      </c>
      <c r="I3220" s="5">
        <v>0</v>
      </c>
      <c r="J3220" s="5">
        <v>0</v>
      </c>
      <c r="K3220" s="5">
        <v>0</v>
      </c>
    </row>
    <row r="3221" spans="1:11" x14ac:dyDescent="0.25">
      <c r="A3221" s="5">
        <f>3214</f>
      </c>
      <c r="B3221" s="5" t="s">
        <v>3229</v>
      </c>
      <c r="C3221" s="5">
        <v>104</v>
      </c>
      <c r="D3221" s="5">
        <v>0.1</v>
      </c>
      <c r="E3221" s="5">
        <v>104.1</v>
      </c>
      <c r="F3221" s="5">
        <v>207.7</v>
      </c>
      <c r="G3221" s="5">
        <v>103.6</v>
      </c>
      <c r="H3221" s="5">
        <v>103.4</v>
      </c>
      <c r="I3221" s="5">
        <v>0</v>
      </c>
      <c r="J3221" s="5">
        <v>0</v>
      </c>
      <c r="K3221" s="5">
        <v>0</v>
      </c>
    </row>
    <row r="3222" spans="1:11" x14ac:dyDescent="0.25">
      <c r="A3222" s="5">
        <f>3215</f>
      </c>
      <c r="B3222" s="5" t="s">
        <v>3230</v>
      </c>
      <c r="C3222" s="5">
        <v>104</v>
      </c>
      <c r="D3222" s="5">
        <v>0.1</v>
      </c>
      <c r="E3222" s="5">
        <v>104.1</v>
      </c>
      <c r="F3222" s="5">
        <v>207.7</v>
      </c>
      <c r="G3222" s="5">
        <v>103.6</v>
      </c>
      <c r="H3222" s="5">
        <v>103.9</v>
      </c>
      <c r="I3222" s="5">
        <v>0</v>
      </c>
      <c r="J3222" s="5">
        <v>0</v>
      </c>
      <c r="K3222" s="5">
        <v>0</v>
      </c>
    </row>
    <row r="3223" spans="1:11" x14ac:dyDescent="0.25">
      <c r="A3223" s="5">
        <f>3216</f>
      </c>
      <c r="B3223" s="5" t="s">
        <v>3231</v>
      </c>
      <c r="C3223" s="5">
        <v>104.6</v>
      </c>
      <c r="D3223" s="5">
        <v>0.1</v>
      </c>
      <c r="E3223" s="5">
        <v>104.7</v>
      </c>
      <c r="F3223" s="5">
        <v>208.9</v>
      </c>
      <c r="G3223" s="5">
        <v>104.2</v>
      </c>
      <c r="H3223" s="5">
        <v>103.9</v>
      </c>
      <c r="I3223" s="5">
        <v>0</v>
      </c>
      <c r="J3223" s="5">
        <v>0</v>
      </c>
      <c r="K3223" s="5">
        <v>0</v>
      </c>
    </row>
    <row r="3224" spans="1:11" x14ac:dyDescent="0.25">
      <c r="A3224" s="5">
        <f>3217</f>
      </c>
      <c r="B3224" s="5" t="s">
        <v>3232</v>
      </c>
      <c r="C3224" s="5">
        <v>104.6</v>
      </c>
      <c r="D3224" s="5">
        <v>0.1</v>
      </c>
      <c r="E3224" s="5">
        <v>104.7</v>
      </c>
      <c r="F3224" s="5">
        <v>208.9</v>
      </c>
      <c r="G3224" s="5">
        <v>104.2</v>
      </c>
      <c r="H3224" s="5">
        <v>103.9</v>
      </c>
      <c r="I3224" s="5">
        <v>0</v>
      </c>
      <c r="J3224" s="5">
        <v>0</v>
      </c>
      <c r="K3224" s="5">
        <v>0</v>
      </c>
    </row>
    <row r="3225" spans="1:11" x14ac:dyDescent="0.25">
      <c r="A3225" s="5">
        <f>3218</f>
      </c>
      <c r="B3225" s="5" t="s">
        <v>3233</v>
      </c>
      <c r="C3225" s="5">
        <v>103.7</v>
      </c>
      <c r="D3225" s="5">
        <v>0.1</v>
      </c>
      <c r="E3225" s="5">
        <v>103.9</v>
      </c>
      <c r="F3225" s="5">
        <v>206.8</v>
      </c>
      <c r="G3225" s="5">
        <v>103.2</v>
      </c>
      <c r="H3225" s="5">
        <v>103</v>
      </c>
      <c r="I3225" s="5">
        <v>0</v>
      </c>
      <c r="J3225" s="5">
        <v>0</v>
      </c>
      <c r="K3225" s="5">
        <v>0</v>
      </c>
    </row>
    <row r="3226" spans="1:11" x14ac:dyDescent="0.25">
      <c r="A3226" s="5">
        <f>3219</f>
      </c>
      <c r="B3226" s="5" t="s">
        <v>3234</v>
      </c>
      <c r="C3226" s="5">
        <v>103.7</v>
      </c>
      <c r="D3226" s="5">
        <v>0.1</v>
      </c>
      <c r="E3226" s="5">
        <v>103.9</v>
      </c>
      <c r="F3226" s="5">
        <v>206.8</v>
      </c>
      <c r="G3226" s="5">
        <v>103.2</v>
      </c>
      <c r="H3226" s="5">
        <v>103</v>
      </c>
      <c r="I3226" s="5">
        <v>0</v>
      </c>
      <c r="J3226" s="5">
        <v>0</v>
      </c>
      <c r="K3226" s="5">
        <v>0</v>
      </c>
    </row>
    <row r="3227" spans="1:11" x14ac:dyDescent="0.25">
      <c r="A3227" s="5">
        <f>3220</f>
      </c>
      <c r="B3227" s="5" t="s">
        <v>3235</v>
      </c>
      <c r="C3227" s="5">
        <v>103</v>
      </c>
      <c r="D3227" s="5">
        <v>0.1</v>
      </c>
      <c r="E3227" s="5">
        <v>103.1</v>
      </c>
      <c r="F3227" s="5">
        <v>206.1</v>
      </c>
      <c r="G3227" s="5">
        <v>102.8</v>
      </c>
      <c r="H3227" s="5">
        <v>102.6</v>
      </c>
      <c r="I3227" s="5">
        <v>0</v>
      </c>
      <c r="J3227" s="5">
        <v>0</v>
      </c>
      <c r="K3227" s="5">
        <v>0</v>
      </c>
    </row>
    <row r="3228" spans="1:11" x14ac:dyDescent="0.25">
      <c r="A3228" s="5">
        <f>3221</f>
      </c>
      <c r="B3228" s="5" t="s">
        <v>3236</v>
      </c>
      <c r="C3228" s="5">
        <v>103</v>
      </c>
      <c r="D3228" s="5">
        <v>0.1</v>
      </c>
      <c r="E3228" s="5">
        <v>103.1</v>
      </c>
      <c r="F3228" s="5">
        <v>206.1</v>
      </c>
      <c r="G3228" s="5">
        <v>102.8</v>
      </c>
      <c r="H3228" s="5">
        <v>102.6</v>
      </c>
      <c r="I3228" s="5">
        <v>0</v>
      </c>
      <c r="J3228" s="5">
        <v>0</v>
      </c>
      <c r="K3228" s="5">
        <v>0</v>
      </c>
    </row>
    <row r="3229" spans="1:11" x14ac:dyDescent="0.25">
      <c r="A3229" s="5">
        <f>3222</f>
      </c>
      <c r="B3229" s="5" t="s">
        <v>3237</v>
      </c>
      <c r="C3229" s="5">
        <v>103</v>
      </c>
      <c r="D3229" s="5">
        <v>0.1</v>
      </c>
      <c r="E3229" s="5">
        <v>103.1</v>
      </c>
      <c r="F3229" s="5">
        <v>206.1</v>
      </c>
      <c r="G3229" s="5">
        <v>102.8</v>
      </c>
      <c r="H3229" s="5">
        <v>102.6</v>
      </c>
      <c r="I3229" s="5">
        <v>0</v>
      </c>
      <c r="J3229" s="5">
        <v>0</v>
      </c>
      <c r="K3229" s="5">
        <v>0</v>
      </c>
    </row>
    <row r="3230" spans="1:11" x14ac:dyDescent="0.25">
      <c r="A3230" s="5">
        <f>3223</f>
      </c>
      <c r="B3230" s="5" t="s">
        <v>3238</v>
      </c>
      <c r="C3230" s="5">
        <v>103</v>
      </c>
      <c r="D3230" s="5">
        <v>0.1</v>
      </c>
      <c r="E3230" s="5">
        <v>103.1</v>
      </c>
      <c r="F3230" s="5">
        <v>205.7</v>
      </c>
      <c r="G3230" s="5">
        <v>102.2</v>
      </c>
      <c r="H3230" s="5">
        <v>102.1</v>
      </c>
      <c r="I3230" s="5">
        <v>0</v>
      </c>
      <c r="J3230" s="5">
        <v>0</v>
      </c>
      <c r="K3230" s="5">
        <v>0</v>
      </c>
    </row>
    <row r="3231" spans="1:11" x14ac:dyDescent="0.25">
      <c r="A3231" s="5">
        <f>3224</f>
      </c>
      <c r="B3231" s="5" t="s">
        <v>3239</v>
      </c>
      <c r="C3231" s="5">
        <v>103</v>
      </c>
      <c r="D3231" s="5">
        <v>0.1</v>
      </c>
      <c r="E3231" s="5">
        <v>103.1</v>
      </c>
      <c r="F3231" s="5">
        <v>205.7</v>
      </c>
      <c r="G3231" s="5">
        <v>102.2</v>
      </c>
      <c r="H3231" s="5">
        <v>102.1</v>
      </c>
      <c r="I3231" s="5">
        <v>0</v>
      </c>
      <c r="J3231" s="5">
        <v>0</v>
      </c>
      <c r="K3231" s="5">
        <v>0</v>
      </c>
    </row>
    <row r="3232" spans="1:11" x14ac:dyDescent="0.25">
      <c r="A3232" s="5">
        <f>3225</f>
      </c>
      <c r="B3232" s="5" t="s">
        <v>3240</v>
      </c>
      <c r="C3232" s="5">
        <v>103.1</v>
      </c>
      <c r="D3232" s="5">
        <v>0.1</v>
      </c>
      <c r="E3232" s="5">
        <v>103.2</v>
      </c>
      <c r="F3232" s="5">
        <v>206.4</v>
      </c>
      <c r="G3232" s="5">
        <v>103</v>
      </c>
      <c r="H3232" s="5">
        <v>102.9</v>
      </c>
      <c r="I3232" s="5">
        <v>0</v>
      </c>
      <c r="J3232" s="5">
        <v>0</v>
      </c>
      <c r="K3232" s="5">
        <v>0</v>
      </c>
    </row>
    <row r="3233" spans="1:11" x14ac:dyDescent="0.25">
      <c r="A3233" s="5">
        <f>3226</f>
      </c>
      <c r="B3233" s="5" t="s">
        <v>3241</v>
      </c>
      <c r="C3233" s="5">
        <v>103.1</v>
      </c>
      <c r="D3233" s="5">
        <v>0.1</v>
      </c>
      <c r="E3233" s="5">
        <v>103.2</v>
      </c>
      <c r="F3233" s="5">
        <v>206.4</v>
      </c>
      <c r="G3233" s="5">
        <v>103</v>
      </c>
      <c r="H3233" s="5">
        <v>102.9</v>
      </c>
      <c r="I3233" s="5">
        <v>0</v>
      </c>
      <c r="J3233" s="5">
        <v>0</v>
      </c>
      <c r="K3233" s="5">
        <v>0</v>
      </c>
    </row>
    <row r="3234" spans="1:11" x14ac:dyDescent="0.25">
      <c r="A3234" s="5">
        <f>3227</f>
      </c>
      <c r="B3234" s="5" t="s">
        <v>3242</v>
      </c>
      <c r="C3234" s="5">
        <v>103</v>
      </c>
      <c r="D3234" s="5">
        <v>0.1</v>
      </c>
      <c r="E3234" s="5">
        <v>103.1</v>
      </c>
      <c r="F3234" s="5">
        <v>205.9</v>
      </c>
      <c r="G3234" s="5">
        <v>102.8</v>
      </c>
      <c r="H3234" s="5">
        <v>102.7</v>
      </c>
      <c r="I3234" s="5">
        <v>0</v>
      </c>
      <c r="J3234" s="5">
        <v>0</v>
      </c>
      <c r="K3234" s="5">
        <v>0</v>
      </c>
    </row>
    <row r="3235" spans="1:11" x14ac:dyDescent="0.25">
      <c r="A3235" s="5">
        <f>3228</f>
      </c>
      <c r="B3235" s="5" t="s">
        <v>3243</v>
      </c>
      <c r="C3235" s="5">
        <v>103</v>
      </c>
      <c r="D3235" s="5">
        <v>0.1</v>
      </c>
      <c r="E3235" s="5">
        <v>103.1</v>
      </c>
      <c r="F3235" s="5">
        <v>205.9</v>
      </c>
      <c r="G3235" s="5">
        <v>102.8</v>
      </c>
      <c r="H3235" s="5">
        <v>102.7</v>
      </c>
      <c r="I3235" s="5">
        <v>0</v>
      </c>
      <c r="J3235" s="5">
        <v>0</v>
      </c>
      <c r="K3235" s="5">
        <v>0</v>
      </c>
    </row>
    <row r="3236" spans="1:11" x14ac:dyDescent="0.25">
      <c r="A3236" s="5">
        <f>3229</f>
      </c>
      <c r="B3236" s="5" t="s">
        <v>3244</v>
      </c>
      <c r="C3236" s="5">
        <v>102.9</v>
      </c>
      <c r="D3236" s="5">
        <v>0.1</v>
      </c>
      <c r="E3236" s="5">
        <v>103.1</v>
      </c>
      <c r="F3236" s="5">
        <v>206</v>
      </c>
      <c r="G3236" s="5">
        <v>102.8</v>
      </c>
      <c r="H3236" s="5">
        <v>102.7</v>
      </c>
      <c r="I3236" s="5">
        <v>0</v>
      </c>
      <c r="J3236" s="5">
        <v>0</v>
      </c>
      <c r="K3236" s="5">
        <v>0</v>
      </c>
    </row>
    <row r="3237" spans="1:11" x14ac:dyDescent="0.25">
      <c r="A3237" s="5">
        <f>3230</f>
      </c>
      <c r="B3237" s="5" t="s">
        <v>3245</v>
      </c>
      <c r="C3237" s="5">
        <v>102.9</v>
      </c>
      <c r="D3237" s="5">
        <v>0.1</v>
      </c>
      <c r="E3237" s="5">
        <v>103.1</v>
      </c>
      <c r="F3237" s="5">
        <v>206</v>
      </c>
      <c r="G3237" s="5">
        <v>102.8</v>
      </c>
      <c r="H3237" s="5">
        <v>102.7</v>
      </c>
      <c r="I3237" s="5">
        <v>0</v>
      </c>
      <c r="J3237" s="5">
        <v>0</v>
      </c>
      <c r="K3237" s="5">
        <v>0</v>
      </c>
    </row>
    <row r="3238" spans="1:11" x14ac:dyDescent="0.25">
      <c r="A3238" s="5">
        <f>3231</f>
      </c>
      <c r="B3238" s="5" t="s">
        <v>3246</v>
      </c>
      <c r="C3238" s="5">
        <v>102.9</v>
      </c>
      <c r="D3238" s="5">
        <v>0.1</v>
      </c>
      <c r="E3238" s="5">
        <v>103.1</v>
      </c>
      <c r="F3238" s="5">
        <v>206</v>
      </c>
      <c r="G3238" s="5">
        <v>102.8</v>
      </c>
      <c r="H3238" s="5">
        <v>102.7</v>
      </c>
      <c r="I3238" s="5">
        <v>0</v>
      </c>
      <c r="J3238" s="5">
        <v>0</v>
      </c>
      <c r="K3238" s="5">
        <v>0</v>
      </c>
    </row>
    <row r="3239" spans="1:11" x14ac:dyDescent="0.25">
      <c r="A3239" s="5">
        <f>3232</f>
      </c>
      <c r="B3239" s="5" t="s">
        <v>3247</v>
      </c>
      <c r="C3239" s="5">
        <v>102.9</v>
      </c>
      <c r="D3239" s="5">
        <v>0.1</v>
      </c>
      <c r="E3239" s="5">
        <v>103.1</v>
      </c>
      <c r="F3239" s="5">
        <v>206</v>
      </c>
      <c r="G3239" s="5">
        <v>102.8</v>
      </c>
      <c r="H3239" s="5">
        <v>102.7</v>
      </c>
      <c r="I3239" s="5">
        <v>0</v>
      </c>
      <c r="J3239" s="5">
        <v>0</v>
      </c>
      <c r="K3239" s="5">
        <v>0</v>
      </c>
    </row>
    <row r="3240" spans="1:11" x14ac:dyDescent="0.25">
      <c r="A3240" s="5">
        <f>3233</f>
      </c>
      <c r="B3240" s="5" t="s">
        <v>3248</v>
      </c>
      <c r="C3240" s="5">
        <v>103.7</v>
      </c>
      <c r="D3240" s="5">
        <v>0.1</v>
      </c>
      <c r="E3240" s="5">
        <v>103.8</v>
      </c>
      <c r="F3240" s="5">
        <v>207.2</v>
      </c>
      <c r="G3240" s="5">
        <v>103.4</v>
      </c>
      <c r="H3240" s="5">
        <v>103.2</v>
      </c>
      <c r="I3240" s="5">
        <v>0</v>
      </c>
      <c r="J3240" s="5">
        <v>0</v>
      </c>
      <c r="K3240" s="5">
        <v>0</v>
      </c>
    </row>
    <row r="3241" spans="1:11" x14ac:dyDescent="0.25">
      <c r="A3241" s="5">
        <f>3234</f>
      </c>
      <c r="B3241" s="5" t="s">
        <v>3249</v>
      </c>
      <c r="C3241" s="5">
        <v>103.7</v>
      </c>
      <c r="D3241" s="5">
        <v>0.1</v>
      </c>
      <c r="E3241" s="5">
        <v>103.8</v>
      </c>
      <c r="F3241" s="5">
        <v>207.2</v>
      </c>
      <c r="G3241" s="5">
        <v>103.4</v>
      </c>
      <c r="H3241" s="5">
        <v>103.2</v>
      </c>
      <c r="I3241" s="5">
        <v>0</v>
      </c>
      <c r="J3241" s="5">
        <v>0</v>
      </c>
      <c r="K3241" s="5">
        <v>0</v>
      </c>
    </row>
    <row r="3242" spans="1:11" x14ac:dyDescent="0.25">
      <c r="A3242" s="5">
        <f>3235</f>
      </c>
      <c r="B3242" s="5" t="s">
        <v>3250</v>
      </c>
      <c r="C3242" s="5">
        <v>103.9</v>
      </c>
      <c r="D3242" s="5">
        <v>0.1</v>
      </c>
      <c r="E3242" s="5">
        <v>104</v>
      </c>
      <c r="F3242" s="5">
        <v>207.6</v>
      </c>
      <c r="G3242" s="5">
        <v>103.6</v>
      </c>
      <c r="H3242" s="5">
        <v>103.5</v>
      </c>
      <c r="I3242" s="5">
        <v>0</v>
      </c>
      <c r="J3242" s="5">
        <v>0</v>
      </c>
      <c r="K3242" s="5">
        <v>0</v>
      </c>
    </row>
    <row r="3243" spans="1:11" x14ac:dyDescent="0.25">
      <c r="A3243" s="5">
        <f>3236</f>
      </c>
      <c r="B3243" s="5" t="s">
        <v>3251</v>
      </c>
      <c r="C3243" s="5">
        <v>103.9</v>
      </c>
      <c r="D3243" s="5">
        <v>0.1</v>
      </c>
      <c r="E3243" s="5">
        <v>104</v>
      </c>
      <c r="F3243" s="5">
        <v>207.6</v>
      </c>
      <c r="G3243" s="5">
        <v>103.6</v>
      </c>
      <c r="H3243" s="5">
        <v>103.5</v>
      </c>
      <c r="I3243" s="5">
        <v>0</v>
      </c>
      <c r="J3243" s="5">
        <v>0</v>
      </c>
      <c r="K3243" s="5">
        <v>0</v>
      </c>
    </row>
    <row r="3244" spans="1:11" x14ac:dyDescent="0.25">
      <c r="A3244" s="5">
        <f>3237</f>
      </c>
      <c r="B3244" s="5" t="s">
        <v>3252</v>
      </c>
      <c r="C3244" s="5">
        <v>103.4</v>
      </c>
      <c r="D3244" s="5">
        <v>0.1</v>
      </c>
      <c r="E3244" s="5">
        <v>103.6</v>
      </c>
      <c r="F3244" s="5">
        <v>207</v>
      </c>
      <c r="G3244" s="5">
        <v>103.3</v>
      </c>
      <c r="H3244" s="5">
        <v>103.2</v>
      </c>
      <c r="I3244" s="5">
        <v>0</v>
      </c>
      <c r="J3244" s="5">
        <v>0</v>
      </c>
      <c r="K3244" s="5">
        <v>0</v>
      </c>
    </row>
    <row r="3245" spans="1:11" x14ac:dyDescent="0.25">
      <c r="A3245" s="5">
        <f>3238</f>
      </c>
      <c r="B3245" s="5" t="s">
        <v>3253</v>
      </c>
      <c r="C3245" s="5">
        <v>103.4</v>
      </c>
      <c r="D3245" s="5">
        <v>0.1</v>
      </c>
      <c r="E3245" s="5">
        <v>103.6</v>
      </c>
      <c r="F3245" s="5">
        <v>207</v>
      </c>
      <c r="G3245" s="5">
        <v>103.3</v>
      </c>
      <c r="H3245" s="5">
        <v>103.2</v>
      </c>
      <c r="I3245" s="5">
        <v>0</v>
      </c>
      <c r="J3245" s="5">
        <v>0</v>
      </c>
      <c r="K3245" s="5">
        <v>0</v>
      </c>
    </row>
    <row r="3246" spans="1:11" x14ac:dyDescent="0.25">
      <c r="A3246" s="5">
        <f>3239</f>
      </c>
      <c r="B3246" s="5" t="s">
        <v>3254</v>
      </c>
      <c r="C3246" s="5">
        <v>103</v>
      </c>
      <c r="D3246" s="5">
        <v>0.1</v>
      </c>
      <c r="E3246" s="5">
        <v>103.1</v>
      </c>
      <c r="F3246" s="5">
        <v>206.7</v>
      </c>
      <c r="G3246" s="5">
        <v>103.1</v>
      </c>
      <c r="H3246" s="5">
        <v>103.2</v>
      </c>
      <c r="I3246" s="5">
        <v>0</v>
      </c>
      <c r="J3246" s="5">
        <v>0</v>
      </c>
      <c r="K3246" s="5">
        <v>0</v>
      </c>
    </row>
    <row r="3247" spans="1:11" x14ac:dyDescent="0.25">
      <c r="A3247" s="5">
        <f>3240</f>
      </c>
      <c r="B3247" s="5" t="s">
        <v>3255</v>
      </c>
      <c r="C3247" s="5">
        <v>103</v>
      </c>
      <c r="D3247" s="5">
        <v>0.1</v>
      </c>
      <c r="E3247" s="5">
        <v>103.1</v>
      </c>
      <c r="F3247" s="5">
        <v>206.7</v>
      </c>
      <c r="G3247" s="5">
        <v>103.1</v>
      </c>
      <c r="H3247" s="5">
        <v>102.9</v>
      </c>
      <c r="I3247" s="5">
        <v>0</v>
      </c>
      <c r="J3247" s="5">
        <v>0</v>
      </c>
      <c r="K3247" s="5">
        <v>0</v>
      </c>
    </row>
    <row r="3248" spans="1:11" x14ac:dyDescent="0.25">
      <c r="A3248" s="5">
        <f>3241</f>
      </c>
      <c r="B3248" s="5" t="s">
        <v>3256</v>
      </c>
      <c r="C3248" s="5">
        <v>103</v>
      </c>
      <c r="D3248" s="5">
        <v>0.1</v>
      </c>
      <c r="E3248" s="5">
        <v>103.1</v>
      </c>
      <c r="F3248" s="5">
        <v>206.7</v>
      </c>
      <c r="G3248" s="5">
        <v>103.1</v>
      </c>
      <c r="H3248" s="5">
        <v>102.9</v>
      </c>
      <c r="I3248" s="5">
        <v>0</v>
      </c>
      <c r="J3248" s="5">
        <v>0</v>
      </c>
      <c r="K3248" s="5">
        <v>0</v>
      </c>
    </row>
    <row r="3249" spans="1:11" x14ac:dyDescent="0.25">
      <c r="A3249" s="5">
        <f>3242</f>
      </c>
      <c r="B3249" s="5" t="s">
        <v>3257</v>
      </c>
      <c r="C3249" s="5">
        <v>103</v>
      </c>
      <c r="D3249" s="5">
        <v>0.1</v>
      </c>
      <c r="E3249" s="5">
        <v>103.1</v>
      </c>
      <c r="F3249" s="5">
        <v>206.7</v>
      </c>
      <c r="G3249" s="5">
        <v>103.1</v>
      </c>
      <c r="H3249" s="5">
        <v>102.9</v>
      </c>
      <c r="I3249" s="5">
        <v>0</v>
      </c>
      <c r="J3249" s="5">
        <v>0</v>
      </c>
      <c r="K3249" s="5">
        <v>0</v>
      </c>
    </row>
    <row r="3250" spans="1:11" x14ac:dyDescent="0.25">
      <c r="A3250" s="5">
        <f>3243</f>
      </c>
      <c r="B3250" s="5" t="s">
        <v>3258</v>
      </c>
      <c r="C3250" s="5">
        <v>98.7</v>
      </c>
      <c r="D3250" s="5">
        <v>0.1</v>
      </c>
      <c r="E3250" s="5">
        <v>103.1</v>
      </c>
      <c r="F3250" s="5">
        <v>206.7</v>
      </c>
      <c r="G3250" s="5">
        <v>103.1</v>
      </c>
      <c r="H3250" s="5">
        <v>102.9</v>
      </c>
      <c r="I3250" s="5">
        <v>0</v>
      </c>
      <c r="J3250" s="5">
        <v>0</v>
      </c>
      <c r="K3250" s="5">
        <v>0</v>
      </c>
    </row>
    <row r="3251" spans="1:11" x14ac:dyDescent="0.25">
      <c r="A3251" s="5">
        <f>3244</f>
      </c>
      <c r="B3251" s="5" t="s">
        <v>3259</v>
      </c>
      <c r="C3251" s="5">
        <v>98.7</v>
      </c>
      <c r="D3251" s="5">
        <v>0.1</v>
      </c>
      <c r="E3251" s="5">
        <v>98.9</v>
      </c>
      <c r="F3251" s="5">
        <v>197.6</v>
      </c>
      <c r="G3251" s="5">
        <v>98.5</v>
      </c>
      <c r="H3251" s="5">
        <v>98.7</v>
      </c>
      <c r="I3251" s="5">
        <v>0</v>
      </c>
      <c r="J3251" s="5">
        <v>0</v>
      </c>
      <c r="K3251" s="5">
        <v>0</v>
      </c>
    </row>
    <row r="3252" spans="1:11" x14ac:dyDescent="0.25">
      <c r="A3252" s="5">
        <f>3245</f>
      </c>
      <c r="B3252" s="5" t="s">
        <v>3260</v>
      </c>
      <c r="C3252" s="5">
        <v>98.7</v>
      </c>
      <c r="D3252" s="5">
        <v>0.1</v>
      </c>
      <c r="E3252" s="5">
        <v>98.9</v>
      </c>
      <c r="F3252" s="5">
        <v>197.6</v>
      </c>
      <c r="G3252" s="5">
        <v>98.5</v>
      </c>
      <c r="H3252" s="5">
        <v>98.7</v>
      </c>
      <c r="I3252" s="5">
        <v>0</v>
      </c>
      <c r="J3252" s="5">
        <v>0</v>
      </c>
      <c r="K3252" s="5">
        <v>0</v>
      </c>
    </row>
    <row r="3253" spans="1:11" x14ac:dyDescent="0.25">
      <c r="A3253" s="5">
        <f>3246</f>
      </c>
      <c r="B3253" s="5" t="s">
        <v>3261</v>
      </c>
      <c r="C3253" s="5">
        <v>103.2</v>
      </c>
      <c r="D3253" s="5">
        <v>0.1</v>
      </c>
      <c r="E3253" s="5">
        <v>103.4</v>
      </c>
      <c r="F3253" s="5">
        <v>205.4</v>
      </c>
      <c r="G3253" s="5">
        <v>102.5</v>
      </c>
      <c r="H3253" s="5">
        <v>102.6</v>
      </c>
      <c r="I3253" s="5">
        <v>0</v>
      </c>
      <c r="J3253" s="5">
        <v>0</v>
      </c>
      <c r="K3253" s="5">
        <v>0</v>
      </c>
    </row>
    <row r="3254" spans="1:11" x14ac:dyDescent="0.25">
      <c r="A3254" s="5">
        <f>3247</f>
      </c>
      <c r="B3254" s="5" t="s">
        <v>3262</v>
      </c>
      <c r="C3254" s="5">
        <v>103.2</v>
      </c>
      <c r="D3254" s="5">
        <v>0.1</v>
      </c>
      <c r="E3254" s="5">
        <v>103.4</v>
      </c>
      <c r="F3254" s="5">
        <v>205.4</v>
      </c>
      <c r="G3254" s="5">
        <v>102.5</v>
      </c>
      <c r="H3254" s="5">
        <v>102.6</v>
      </c>
      <c r="I3254" s="5">
        <v>0</v>
      </c>
      <c r="J3254" s="5">
        <v>0</v>
      </c>
      <c r="K3254" s="5">
        <v>0</v>
      </c>
    </row>
    <row r="3255" spans="1:11" x14ac:dyDescent="0.25">
      <c r="A3255" s="5">
        <f>3248</f>
      </c>
      <c r="B3255" s="5" t="s">
        <v>3263</v>
      </c>
      <c r="C3255" s="5">
        <v>101.8</v>
      </c>
      <c r="D3255" s="5">
        <v>0.1</v>
      </c>
      <c r="E3255" s="5">
        <v>102</v>
      </c>
      <c r="F3255" s="5">
        <v>203.7</v>
      </c>
      <c r="G3255" s="5">
        <v>101.7</v>
      </c>
      <c r="H3255" s="5">
        <v>101.6</v>
      </c>
      <c r="I3255" s="5">
        <v>0</v>
      </c>
      <c r="J3255" s="5">
        <v>0</v>
      </c>
      <c r="K3255" s="5">
        <v>0</v>
      </c>
    </row>
    <row r="3256" spans="1:11" x14ac:dyDescent="0.25">
      <c r="A3256" s="5">
        <f>3249</f>
      </c>
      <c r="B3256" s="5" t="s">
        <v>3264</v>
      </c>
      <c r="C3256" s="5">
        <v>101.8</v>
      </c>
      <c r="D3256" s="5">
        <v>0.1</v>
      </c>
      <c r="E3256" s="5">
        <v>102</v>
      </c>
      <c r="F3256" s="5">
        <v>203.7</v>
      </c>
      <c r="G3256" s="5">
        <v>101.7</v>
      </c>
      <c r="H3256" s="5">
        <v>101.6</v>
      </c>
      <c r="I3256" s="5">
        <v>0</v>
      </c>
      <c r="J3256" s="5">
        <v>0</v>
      </c>
      <c r="K3256" s="5">
        <v>0</v>
      </c>
    </row>
    <row r="3257" spans="1:11" x14ac:dyDescent="0.25">
      <c r="A3257" s="5">
        <f>3250</f>
      </c>
      <c r="B3257" s="5" t="s">
        <v>3265</v>
      </c>
      <c r="C3257" s="5">
        <v>103.4</v>
      </c>
      <c r="D3257" s="5">
        <v>0.1</v>
      </c>
      <c r="E3257" s="5">
        <v>103.5</v>
      </c>
      <c r="F3257" s="5">
        <v>206</v>
      </c>
      <c r="G3257" s="5">
        <v>102.7</v>
      </c>
      <c r="H3257" s="5">
        <v>102.6</v>
      </c>
      <c r="I3257" s="5">
        <v>0</v>
      </c>
      <c r="J3257" s="5">
        <v>0</v>
      </c>
      <c r="K3257" s="5">
        <v>0</v>
      </c>
    </row>
    <row r="3258" spans="1:11" x14ac:dyDescent="0.25">
      <c r="A3258" s="5">
        <f>3251</f>
      </c>
      <c r="B3258" s="5" t="s">
        <v>3266</v>
      </c>
      <c r="C3258" s="5">
        <v>103.4</v>
      </c>
      <c r="D3258" s="5">
        <v>0.1</v>
      </c>
      <c r="E3258" s="5">
        <v>103.5</v>
      </c>
      <c r="F3258" s="5">
        <v>206</v>
      </c>
      <c r="G3258" s="5">
        <v>102.7</v>
      </c>
      <c r="H3258" s="5">
        <v>102.6</v>
      </c>
      <c r="I3258" s="5">
        <v>0</v>
      </c>
      <c r="J3258" s="5">
        <v>0</v>
      </c>
      <c r="K3258" s="5">
        <v>0</v>
      </c>
    </row>
    <row r="3259" spans="1:11" x14ac:dyDescent="0.25">
      <c r="A3259" s="5">
        <f>3252</f>
      </c>
      <c r="B3259" s="5" t="s">
        <v>3267</v>
      </c>
      <c r="C3259" s="5">
        <v>103.4</v>
      </c>
      <c r="D3259" s="5">
        <v>0.1</v>
      </c>
      <c r="E3259" s="5">
        <v>103.5</v>
      </c>
      <c r="F3259" s="5">
        <v>206</v>
      </c>
      <c r="G3259" s="5">
        <v>102.7</v>
      </c>
      <c r="H3259" s="5">
        <v>102.6</v>
      </c>
      <c r="I3259" s="5">
        <v>0</v>
      </c>
      <c r="J3259" s="5">
        <v>0</v>
      </c>
      <c r="K3259" s="5">
        <v>0</v>
      </c>
    </row>
    <row r="3260" spans="1:11" x14ac:dyDescent="0.25">
      <c r="A3260" s="5">
        <f>3253</f>
      </c>
      <c r="B3260" s="5" t="s">
        <v>3268</v>
      </c>
      <c r="C3260" s="5">
        <v>103.3</v>
      </c>
      <c r="D3260" s="5">
        <v>0.1</v>
      </c>
      <c r="E3260" s="5">
        <v>103.4</v>
      </c>
      <c r="F3260" s="5">
        <v>206.4</v>
      </c>
      <c r="G3260" s="5">
        <v>103</v>
      </c>
      <c r="H3260" s="5">
        <v>102.8</v>
      </c>
      <c r="I3260" s="5">
        <v>0</v>
      </c>
      <c r="J3260" s="5">
        <v>0</v>
      </c>
      <c r="K3260" s="5">
        <v>0</v>
      </c>
    </row>
    <row r="3261" spans="1:11" x14ac:dyDescent="0.25">
      <c r="A3261" s="5">
        <f>3254</f>
      </c>
      <c r="B3261" s="5" t="s">
        <v>3269</v>
      </c>
      <c r="C3261" s="5">
        <v>103.3</v>
      </c>
      <c r="D3261" s="5">
        <v>0.1</v>
      </c>
      <c r="E3261" s="5">
        <v>103.4</v>
      </c>
      <c r="F3261" s="5">
        <v>206.4</v>
      </c>
      <c r="G3261" s="5">
        <v>103</v>
      </c>
      <c r="H3261" s="5">
        <v>102.8</v>
      </c>
      <c r="I3261" s="5">
        <v>0</v>
      </c>
      <c r="J3261" s="5">
        <v>0</v>
      </c>
      <c r="K3261" s="5">
        <v>0</v>
      </c>
    </row>
    <row r="3262" spans="1:11" x14ac:dyDescent="0.25">
      <c r="A3262" s="5">
        <f>3255</f>
      </c>
      <c r="B3262" s="5" t="s">
        <v>3270</v>
      </c>
      <c r="C3262" s="5">
        <v>103.6</v>
      </c>
      <c r="D3262" s="5">
        <v>0.1</v>
      </c>
      <c r="E3262" s="5">
        <v>103.7</v>
      </c>
      <c r="F3262" s="5">
        <v>206.6</v>
      </c>
      <c r="G3262" s="5">
        <v>103.1</v>
      </c>
      <c r="H3262" s="5">
        <v>103</v>
      </c>
      <c r="I3262" s="5">
        <v>0</v>
      </c>
      <c r="J3262" s="5">
        <v>0</v>
      </c>
      <c r="K3262" s="5">
        <v>0</v>
      </c>
    </row>
    <row r="3263" spans="1:11" x14ac:dyDescent="0.25">
      <c r="A3263" s="5">
        <f>3256</f>
      </c>
      <c r="B3263" s="5" t="s">
        <v>3271</v>
      </c>
      <c r="C3263" s="5">
        <v>103.6</v>
      </c>
      <c r="D3263" s="5">
        <v>0.1</v>
      </c>
      <c r="E3263" s="5">
        <v>103.7</v>
      </c>
      <c r="F3263" s="5">
        <v>206.6</v>
      </c>
      <c r="G3263" s="5">
        <v>103.1</v>
      </c>
      <c r="H3263" s="5">
        <v>103</v>
      </c>
      <c r="I3263" s="5">
        <v>0</v>
      </c>
      <c r="J3263" s="5">
        <v>0</v>
      </c>
      <c r="K3263" s="5">
        <v>0</v>
      </c>
    </row>
    <row r="3264" spans="1:11" x14ac:dyDescent="0.25">
      <c r="A3264" s="5">
        <f>3257</f>
      </c>
      <c r="B3264" s="5" t="s">
        <v>3272</v>
      </c>
      <c r="C3264" s="5">
        <v>103.8</v>
      </c>
      <c r="D3264" s="5">
        <v>0.1</v>
      </c>
      <c r="E3264" s="5">
        <v>104</v>
      </c>
      <c r="F3264" s="5">
        <v>206.8</v>
      </c>
      <c r="G3264" s="5">
        <v>103.2</v>
      </c>
      <c r="H3264" s="5">
        <v>102.9</v>
      </c>
      <c r="I3264" s="5">
        <v>0</v>
      </c>
      <c r="J3264" s="5">
        <v>0</v>
      </c>
      <c r="K3264" s="5">
        <v>0</v>
      </c>
    </row>
    <row r="3265" spans="1:11" x14ac:dyDescent="0.25">
      <c r="A3265" s="5">
        <f>3258</f>
      </c>
      <c r="B3265" s="5" t="s">
        <v>3273</v>
      </c>
      <c r="C3265" s="5">
        <v>103.8</v>
      </c>
      <c r="D3265" s="5">
        <v>0.1</v>
      </c>
      <c r="E3265" s="5">
        <v>104</v>
      </c>
      <c r="F3265" s="5">
        <v>206.8</v>
      </c>
      <c r="G3265" s="5">
        <v>103.2</v>
      </c>
      <c r="H3265" s="5">
        <v>102.9</v>
      </c>
      <c r="I3265" s="5">
        <v>0</v>
      </c>
      <c r="J3265" s="5">
        <v>0</v>
      </c>
      <c r="K3265" s="5">
        <v>0</v>
      </c>
    </row>
    <row r="3266" spans="1:11" x14ac:dyDescent="0.25">
      <c r="A3266" s="5">
        <f>3259</f>
      </c>
      <c r="B3266" s="5" t="s">
        <v>3274</v>
      </c>
      <c r="C3266" s="5">
        <v>103.3</v>
      </c>
      <c r="D3266" s="5">
        <v>0.1</v>
      </c>
      <c r="E3266" s="5">
        <v>103.4</v>
      </c>
      <c r="F3266" s="5">
        <v>206.6</v>
      </c>
      <c r="G3266" s="5">
        <v>103</v>
      </c>
      <c r="H3266" s="5">
        <v>102.9</v>
      </c>
      <c r="I3266" s="5">
        <v>0</v>
      </c>
      <c r="J3266" s="5">
        <v>0</v>
      </c>
      <c r="K3266" s="5">
        <v>0</v>
      </c>
    </row>
    <row r="3267" spans="1:11" x14ac:dyDescent="0.25">
      <c r="A3267" s="5">
        <f>3260</f>
      </c>
      <c r="B3267" s="5" t="s">
        <v>3275</v>
      </c>
      <c r="C3267" s="5">
        <v>103.3</v>
      </c>
      <c r="D3267" s="5">
        <v>0.1</v>
      </c>
      <c r="E3267" s="5">
        <v>103.4</v>
      </c>
      <c r="F3267" s="5">
        <v>206.6</v>
      </c>
      <c r="G3267" s="5">
        <v>103</v>
      </c>
      <c r="H3267" s="5">
        <v>102.9</v>
      </c>
      <c r="I3267" s="5">
        <v>0</v>
      </c>
      <c r="J3267" s="5">
        <v>0</v>
      </c>
      <c r="K3267" s="5">
        <v>0</v>
      </c>
    </row>
    <row r="3268" spans="1:11" x14ac:dyDescent="0.25">
      <c r="A3268" s="5">
        <f>3261</f>
      </c>
      <c r="B3268" s="5" t="s">
        <v>3276</v>
      </c>
      <c r="C3268" s="5">
        <v>103.3</v>
      </c>
      <c r="D3268" s="5">
        <v>0.1</v>
      </c>
      <c r="E3268" s="5">
        <v>103.4</v>
      </c>
      <c r="F3268" s="5">
        <v>206.6</v>
      </c>
      <c r="G3268" s="5">
        <v>103</v>
      </c>
      <c r="H3268" s="5">
        <v>102.9</v>
      </c>
      <c r="I3268" s="5">
        <v>0</v>
      </c>
      <c r="J3268" s="5">
        <v>0</v>
      </c>
      <c r="K3268" s="5">
        <v>0</v>
      </c>
    </row>
    <row r="3269" spans="1:11" x14ac:dyDescent="0.25">
      <c r="A3269" s="5">
        <f>3262</f>
      </c>
      <c r="B3269" s="5" t="s">
        <v>3277</v>
      </c>
      <c r="C3269" s="5">
        <v>103.3</v>
      </c>
      <c r="D3269" s="5">
        <v>0.1</v>
      </c>
      <c r="E3269" s="5">
        <v>103.4</v>
      </c>
      <c r="F3269" s="5">
        <v>206.6</v>
      </c>
      <c r="G3269" s="5">
        <v>103</v>
      </c>
      <c r="H3269" s="5">
        <v>102.9</v>
      </c>
      <c r="I3269" s="5">
        <v>0</v>
      </c>
      <c r="J3269" s="5">
        <v>0</v>
      </c>
      <c r="K3269" s="5">
        <v>0</v>
      </c>
    </row>
    <row r="3270" spans="1:11" x14ac:dyDescent="0.25">
      <c r="A3270" s="5">
        <f>3263</f>
      </c>
      <c r="B3270" s="5" t="s">
        <v>3278</v>
      </c>
      <c r="C3270" s="5">
        <v>102.9</v>
      </c>
      <c r="D3270" s="5">
        <v>0.1</v>
      </c>
      <c r="E3270" s="5">
        <v>103.1</v>
      </c>
      <c r="F3270" s="5">
        <v>205.7</v>
      </c>
      <c r="G3270" s="5">
        <v>102.7</v>
      </c>
      <c r="H3270" s="5">
        <v>102.5</v>
      </c>
      <c r="I3270" s="5">
        <v>0</v>
      </c>
      <c r="J3270" s="5">
        <v>0</v>
      </c>
      <c r="K3270" s="5">
        <v>0</v>
      </c>
    </row>
    <row r="3271" spans="1:11" x14ac:dyDescent="0.25">
      <c r="A3271" s="5">
        <f>3264</f>
      </c>
      <c r="B3271" s="5" t="s">
        <v>3279</v>
      </c>
      <c r="C3271" s="5">
        <v>102.9</v>
      </c>
      <c r="D3271" s="5">
        <v>0.1</v>
      </c>
      <c r="E3271" s="5">
        <v>103.1</v>
      </c>
      <c r="F3271" s="5">
        <v>205.7</v>
      </c>
      <c r="G3271" s="5">
        <v>102.7</v>
      </c>
      <c r="H3271" s="5">
        <v>102.5</v>
      </c>
      <c r="I3271" s="5">
        <v>0</v>
      </c>
      <c r="J3271" s="5">
        <v>0</v>
      </c>
      <c r="K3271" s="5">
        <v>0</v>
      </c>
    </row>
    <row r="3272" spans="1:11" x14ac:dyDescent="0.25">
      <c r="A3272" s="5">
        <f>3265</f>
      </c>
      <c r="B3272" s="5" t="s">
        <v>3280</v>
      </c>
      <c r="C3272" s="5">
        <v>103.6</v>
      </c>
      <c r="D3272" s="5">
        <v>0.1</v>
      </c>
      <c r="E3272" s="5">
        <v>103.7</v>
      </c>
      <c r="F3272" s="5">
        <v>206.5</v>
      </c>
      <c r="G3272" s="5">
        <v>103.1</v>
      </c>
      <c r="H3272" s="5">
        <v>103</v>
      </c>
      <c r="I3272" s="5">
        <v>0</v>
      </c>
      <c r="J3272" s="5">
        <v>0</v>
      </c>
      <c r="K3272" s="5">
        <v>0</v>
      </c>
    </row>
    <row r="3273" spans="1:11" x14ac:dyDescent="0.25">
      <c r="A3273" s="5">
        <f>3266</f>
      </c>
      <c r="B3273" s="5" t="s">
        <v>3281</v>
      </c>
      <c r="C3273" s="5">
        <v>103.6</v>
      </c>
      <c r="D3273" s="5">
        <v>0.1</v>
      </c>
      <c r="E3273" s="5">
        <v>103.7</v>
      </c>
      <c r="F3273" s="5">
        <v>206.5</v>
      </c>
      <c r="G3273" s="5">
        <v>103.1</v>
      </c>
      <c r="H3273" s="5">
        <v>103</v>
      </c>
      <c r="I3273" s="5">
        <v>0</v>
      </c>
      <c r="J3273" s="5">
        <v>0</v>
      </c>
      <c r="K3273" s="5">
        <v>0</v>
      </c>
    </row>
    <row r="3274" spans="1:11" x14ac:dyDescent="0.25">
      <c r="A3274" s="5">
        <f>3267</f>
      </c>
      <c r="B3274" s="5" t="s">
        <v>3282</v>
      </c>
      <c r="C3274" s="5">
        <v>102.8</v>
      </c>
      <c r="D3274" s="5">
        <v>0.1</v>
      </c>
      <c r="E3274" s="5">
        <v>103</v>
      </c>
      <c r="F3274" s="5">
        <v>205.8</v>
      </c>
      <c r="G3274" s="5">
        <v>102.7</v>
      </c>
      <c r="H3274" s="5">
        <v>102.5</v>
      </c>
      <c r="I3274" s="5">
        <v>0</v>
      </c>
      <c r="J3274" s="5">
        <v>0</v>
      </c>
      <c r="K3274" s="5">
        <v>0</v>
      </c>
    </row>
    <row r="3275" spans="1:11" x14ac:dyDescent="0.25">
      <c r="A3275" s="5">
        <f>3268</f>
      </c>
      <c r="B3275" s="5" t="s">
        <v>3283</v>
      </c>
      <c r="C3275" s="5">
        <v>102.8</v>
      </c>
      <c r="D3275" s="5">
        <v>0.1</v>
      </c>
      <c r="E3275" s="5">
        <v>103</v>
      </c>
      <c r="F3275" s="5">
        <v>205.8</v>
      </c>
      <c r="G3275" s="5">
        <v>102.7</v>
      </c>
      <c r="H3275" s="5">
        <v>102.5</v>
      </c>
      <c r="I3275" s="5">
        <v>0</v>
      </c>
      <c r="J3275" s="5">
        <v>0</v>
      </c>
      <c r="K3275" s="5">
        <v>0</v>
      </c>
    </row>
    <row r="3276" spans="1:11" x14ac:dyDescent="0.25">
      <c r="A3276" s="5">
        <f>3269</f>
      </c>
      <c r="B3276" s="5" t="s">
        <v>3284</v>
      </c>
      <c r="C3276" s="5">
        <v>103.1</v>
      </c>
      <c r="D3276" s="5">
        <v>0.1</v>
      </c>
      <c r="E3276" s="5">
        <v>103.2</v>
      </c>
      <c r="F3276" s="5">
        <v>206.1</v>
      </c>
      <c r="G3276" s="5">
        <v>102.8</v>
      </c>
      <c r="H3276" s="5">
        <v>102.7</v>
      </c>
      <c r="I3276" s="5">
        <v>0</v>
      </c>
      <c r="J3276" s="5">
        <v>0</v>
      </c>
      <c r="K3276" s="5">
        <v>0</v>
      </c>
    </row>
    <row r="3277" spans="1:11" x14ac:dyDescent="0.25">
      <c r="A3277" s="5">
        <f>3270</f>
      </c>
      <c r="B3277" s="5" t="s">
        <v>3285</v>
      </c>
      <c r="C3277" s="5">
        <v>103.1</v>
      </c>
      <c r="D3277" s="5">
        <v>0.1</v>
      </c>
      <c r="E3277" s="5">
        <v>103.2</v>
      </c>
      <c r="F3277" s="5">
        <v>206.1</v>
      </c>
      <c r="G3277" s="5">
        <v>102.8</v>
      </c>
      <c r="H3277" s="5">
        <v>102.7</v>
      </c>
      <c r="I3277" s="5">
        <v>0</v>
      </c>
      <c r="J3277" s="5">
        <v>0</v>
      </c>
      <c r="K3277" s="5">
        <v>0</v>
      </c>
    </row>
    <row r="3278" spans="1:11" x14ac:dyDescent="0.25">
      <c r="A3278" s="5">
        <f>3271</f>
      </c>
      <c r="B3278" s="5" t="s">
        <v>3286</v>
      </c>
      <c r="C3278" s="5">
        <v>103.1</v>
      </c>
      <c r="D3278" s="5">
        <v>0.1</v>
      </c>
      <c r="E3278" s="5">
        <v>103.2</v>
      </c>
      <c r="F3278" s="5">
        <v>206.1</v>
      </c>
      <c r="G3278" s="5">
        <v>102.8</v>
      </c>
      <c r="H3278" s="5">
        <v>102.7</v>
      </c>
      <c r="I3278" s="5">
        <v>0</v>
      </c>
      <c r="J3278" s="5">
        <v>0</v>
      </c>
      <c r="K3278" s="5">
        <v>0</v>
      </c>
    </row>
    <row r="3279" spans="1:11" x14ac:dyDescent="0.25">
      <c r="A3279" s="5">
        <f>3272</f>
      </c>
      <c r="B3279" s="5" t="s">
        <v>3287</v>
      </c>
      <c r="C3279" s="5">
        <v>103.1</v>
      </c>
      <c r="D3279" s="5">
        <v>0.1</v>
      </c>
      <c r="E3279" s="5">
        <v>103.2</v>
      </c>
      <c r="F3279" s="5">
        <v>206.1</v>
      </c>
      <c r="G3279" s="5">
        <v>102.8</v>
      </c>
      <c r="H3279" s="5">
        <v>102.7</v>
      </c>
      <c r="I3279" s="5">
        <v>0</v>
      </c>
      <c r="J3279" s="5">
        <v>0</v>
      </c>
      <c r="K3279" s="5">
        <v>0</v>
      </c>
    </row>
    <row r="3280" spans="1:11" x14ac:dyDescent="0.25">
      <c r="A3280" s="5">
        <f>3273</f>
      </c>
      <c r="B3280" s="5" t="s">
        <v>3288</v>
      </c>
      <c r="C3280" s="5">
        <v>103.4</v>
      </c>
      <c r="D3280" s="5">
        <v>0.1</v>
      </c>
      <c r="E3280" s="5">
        <v>103.6</v>
      </c>
      <c r="F3280" s="5">
        <v>206.5</v>
      </c>
      <c r="G3280" s="5">
        <v>103</v>
      </c>
      <c r="H3280" s="5">
        <v>102.9</v>
      </c>
      <c r="I3280" s="5">
        <v>0</v>
      </c>
      <c r="J3280" s="5">
        <v>0</v>
      </c>
      <c r="K3280" s="5">
        <v>0</v>
      </c>
    </row>
    <row r="3281" spans="1:11" x14ac:dyDescent="0.25">
      <c r="A3281" s="5">
        <f>3274</f>
      </c>
      <c r="B3281" s="5" t="s">
        <v>3289</v>
      </c>
      <c r="C3281" s="5">
        <v>103.4</v>
      </c>
      <c r="D3281" s="5">
        <v>0.1</v>
      </c>
      <c r="E3281" s="5">
        <v>103.6</v>
      </c>
      <c r="F3281" s="5">
        <v>206.5</v>
      </c>
      <c r="G3281" s="5">
        <v>103</v>
      </c>
      <c r="H3281" s="5">
        <v>102.9</v>
      </c>
      <c r="I3281" s="5">
        <v>0</v>
      </c>
      <c r="J3281" s="5">
        <v>0</v>
      </c>
      <c r="K3281" s="5">
        <v>0</v>
      </c>
    </row>
    <row r="3282" spans="1:11" x14ac:dyDescent="0.25">
      <c r="A3282" s="5">
        <f>3275</f>
      </c>
      <c r="B3282" s="5" t="s">
        <v>3290</v>
      </c>
      <c r="C3282" s="5">
        <v>104</v>
      </c>
      <c r="D3282" s="5">
        <v>0.1</v>
      </c>
      <c r="E3282" s="5">
        <v>104.1</v>
      </c>
      <c r="F3282" s="5">
        <v>207.2</v>
      </c>
      <c r="G3282" s="5">
        <v>103.4</v>
      </c>
      <c r="H3282" s="5">
        <v>103.2</v>
      </c>
      <c r="I3282" s="5">
        <v>0</v>
      </c>
      <c r="J3282" s="5">
        <v>0</v>
      </c>
      <c r="K3282" s="5">
        <v>0</v>
      </c>
    </row>
    <row r="3283" spans="1:11" x14ac:dyDescent="0.25">
      <c r="A3283" s="5">
        <f>3276</f>
      </c>
      <c r="B3283" s="5" t="s">
        <v>3291</v>
      </c>
      <c r="C3283" s="5">
        <v>104</v>
      </c>
      <c r="D3283" s="5">
        <v>0.1</v>
      </c>
      <c r="E3283" s="5">
        <v>104.1</v>
      </c>
      <c r="F3283" s="5">
        <v>207.2</v>
      </c>
      <c r="G3283" s="5">
        <v>103.4</v>
      </c>
      <c r="H3283" s="5">
        <v>103.2</v>
      </c>
      <c r="I3283" s="5">
        <v>0</v>
      </c>
      <c r="J3283" s="5">
        <v>0</v>
      </c>
      <c r="K3283" s="5">
        <v>0</v>
      </c>
    </row>
    <row r="3284" spans="1:11" x14ac:dyDescent="0.25">
      <c r="A3284" s="5">
        <f>3277</f>
      </c>
      <c r="B3284" s="5" t="s">
        <v>3292</v>
      </c>
      <c r="C3284" s="5">
        <v>98.3</v>
      </c>
      <c r="D3284" s="5">
        <v>0.1</v>
      </c>
      <c r="E3284" s="5">
        <v>98.5</v>
      </c>
      <c r="F3284" s="5">
        <v>197.6</v>
      </c>
      <c r="G3284" s="5">
        <v>98.7</v>
      </c>
      <c r="H3284" s="5">
        <v>98.8</v>
      </c>
      <c r="I3284" s="5">
        <v>0</v>
      </c>
      <c r="J3284" s="5">
        <v>0</v>
      </c>
      <c r="K3284" s="5">
        <v>0</v>
      </c>
    </row>
    <row r="3285" spans="1:11" x14ac:dyDescent="0.25">
      <c r="A3285" s="5">
        <f>3278</f>
      </c>
      <c r="B3285" s="5" t="s">
        <v>3293</v>
      </c>
      <c r="C3285" s="5">
        <v>98.3</v>
      </c>
      <c r="D3285" s="5">
        <v>0.1</v>
      </c>
      <c r="E3285" s="5">
        <v>98.5</v>
      </c>
      <c r="F3285" s="5">
        <v>197.6</v>
      </c>
      <c r="G3285" s="5">
        <v>98.7</v>
      </c>
      <c r="H3285" s="5">
        <v>98.8</v>
      </c>
      <c r="I3285" s="5">
        <v>0</v>
      </c>
      <c r="J3285" s="5">
        <v>0</v>
      </c>
      <c r="K3285" s="5">
        <v>0</v>
      </c>
    </row>
    <row r="3286" spans="1:11" x14ac:dyDescent="0.25">
      <c r="A3286" s="5">
        <f>3279</f>
      </c>
      <c r="B3286" s="5" t="s">
        <v>3294</v>
      </c>
      <c r="C3286" s="5">
        <v>104</v>
      </c>
      <c r="D3286" s="5">
        <v>0.1</v>
      </c>
      <c r="E3286" s="5">
        <v>104</v>
      </c>
      <c r="F3286" s="5">
        <v>207.4</v>
      </c>
      <c r="G3286" s="5">
        <v>103.5</v>
      </c>
      <c r="H3286" s="5">
        <v>103.4</v>
      </c>
      <c r="I3286" s="5">
        <v>0</v>
      </c>
      <c r="J3286" s="5">
        <v>0</v>
      </c>
      <c r="K3286" s="5">
        <v>0</v>
      </c>
    </row>
    <row r="3287" spans="1:11" x14ac:dyDescent="0.25">
      <c r="A3287" s="5">
        <f>3280</f>
      </c>
      <c r="B3287" s="5" t="s">
        <v>3295</v>
      </c>
      <c r="C3287" s="5">
        <v>104</v>
      </c>
      <c r="D3287" s="5">
        <v>0.1</v>
      </c>
      <c r="E3287" s="5">
        <v>104</v>
      </c>
      <c r="F3287" s="5">
        <v>207.4</v>
      </c>
      <c r="G3287" s="5">
        <v>103.5</v>
      </c>
      <c r="H3287" s="5">
        <v>103.4</v>
      </c>
      <c r="I3287" s="5">
        <v>0</v>
      </c>
      <c r="J3287" s="5">
        <v>0</v>
      </c>
      <c r="K3287" s="5">
        <v>0</v>
      </c>
    </row>
    <row r="3288" spans="1:11" x14ac:dyDescent="0.25">
      <c r="A3288" s="5">
        <f>3281</f>
      </c>
      <c r="B3288" s="5" t="s">
        <v>3296</v>
      </c>
      <c r="C3288" s="5">
        <v>104</v>
      </c>
      <c r="D3288" s="5">
        <v>0.1</v>
      </c>
      <c r="E3288" s="5">
        <v>104</v>
      </c>
      <c r="F3288" s="5">
        <v>207.4</v>
      </c>
      <c r="G3288" s="5">
        <v>103.5</v>
      </c>
      <c r="H3288" s="5">
        <v>103.4</v>
      </c>
      <c r="I3288" s="5">
        <v>0</v>
      </c>
      <c r="J3288" s="5">
        <v>0</v>
      </c>
      <c r="K3288" s="5">
        <v>0</v>
      </c>
    </row>
    <row r="3289" spans="1:11" x14ac:dyDescent="0.25">
      <c r="A3289" s="5">
        <f>3282</f>
      </c>
      <c r="B3289" s="5" t="s">
        <v>3297</v>
      </c>
      <c r="C3289" s="5">
        <v>104</v>
      </c>
      <c r="D3289" s="5">
        <v>0.1</v>
      </c>
      <c r="E3289" s="5">
        <v>104</v>
      </c>
      <c r="F3289" s="5">
        <v>207.4</v>
      </c>
      <c r="G3289" s="5">
        <v>103.5</v>
      </c>
      <c r="H3289" s="5">
        <v>103.4</v>
      </c>
      <c r="I3289" s="5">
        <v>0</v>
      </c>
      <c r="J3289" s="5">
        <v>0</v>
      </c>
      <c r="K3289" s="5">
        <v>0</v>
      </c>
    </row>
    <row r="3290" spans="1:11" x14ac:dyDescent="0.25">
      <c r="A3290" s="5">
        <f>3283</f>
      </c>
      <c r="B3290" s="5" t="s">
        <v>3298</v>
      </c>
      <c r="C3290" s="5">
        <v>104.2</v>
      </c>
      <c r="D3290" s="5">
        <v>0.1</v>
      </c>
      <c r="E3290" s="5">
        <v>104.3</v>
      </c>
      <c r="F3290" s="5">
        <v>207.9</v>
      </c>
      <c r="G3290" s="5">
        <v>103.7</v>
      </c>
      <c r="H3290" s="5">
        <v>103.5</v>
      </c>
      <c r="I3290" s="5">
        <v>0</v>
      </c>
      <c r="J3290" s="5">
        <v>0</v>
      </c>
      <c r="K3290" s="5">
        <v>0</v>
      </c>
    </row>
    <row r="3291" spans="1:11" x14ac:dyDescent="0.25">
      <c r="A3291" s="5">
        <f>3284</f>
      </c>
      <c r="B3291" s="5" t="s">
        <v>3299</v>
      </c>
      <c r="C3291" s="5">
        <v>104.2</v>
      </c>
      <c r="D3291" s="5">
        <v>0.1</v>
      </c>
      <c r="E3291" s="5">
        <v>104.3</v>
      </c>
      <c r="F3291" s="5">
        <v>207.9</v>
      </c>
      <c r="G3291" s="5">
        <v>103.7</v>
      </c>
      <c r="H3291" s="5">
        <v>103.5</v>
      </c>
      <c r="I3291" s="5">
        <v>0</v>
      </c>
      <c r="J3291" s="5">
        <v>0</v>
      </c>
      <c r="K3291" s="5">
        <v>0</v>
      </c>
    </row>
    <row r="3292" spans="1:11" x14ac:dyDescent="0.25">
      <c r="A3292" s="5">
        <f>3285</f>
      </c>
      <c r="B3292" s="5" t="s">
        <v>3300</v>
      </c>
      <c r="C3292" s="5">
        <v>104.3</v>
      </c>
      <c r="D3292" s="5">
        <v>0.1</v>
      </c>
      <c r="E3292" s="5">
        <v>104.4</v>
      </c>
      <c r="F3292" s="5">
        <v>208.2</v>
      </c>
      <c r="G3292" s="5">
        <v>103.9</v>
      </c>
      <c r="H3292" s="5">
        <v>103.7</v>
      </c>
      <c r="I3292" s="5">
        <v>0</v>
      </c>
      <c r="J3292" s="5">
        <v>0</v>
      </c>
      <c r="K3292" s="5">
        <v>0</v>
      </c>
    </row>
    <row r="3293" spans="1:11" x14ac:dyDescent="0.25">
      <c r="A3293" s="5">
        <f>3286</f>
      </c>
      <c r="B3293" s="5" t="s">
        <v>3301</v>
      </c>
      <c r="C3293" s="5">
        <v>104.3</v>
      </c>
      <c r="D3293" s="5">
        <v>0.1</v>
      </c>
      <c r="E3293" s="5">
        <v>104.4</v>
      </c>
      <c r="F3293" s="5">
        <v>208.2</v>
      </c>
      <c r="G3293" s="5">
        <v>103.9</v>
      </c>
      <c r="H3293" s="5">
        <v>103.7</v>
      </c>
      <c r="I3293" s="5">
        <v>0</v>
      </c>
      <c r="J3293" s="5">
        <v>0</v>
      </c>
      <c r="K3293" s="5">
        <v>0</v>
      </c>
    </row>
    <row r="3294" spans="1:11" x14ac:dyDescent="0.25">
      <c r="A3294" s="5">
        <f>3287</f>
      </c>
      <c r="B3294" s="5" t="s">
        <v>3302</v>
      </c>
      <c r="C3294" s="5">
        <v>104.3</v>
      </c>
      <c r="D3294" s="5">
        <v>0.1</v>
      </c>
      <c r="E3294" s="5">
        <v>104.4</v>
      </c>
      <c r="F3294" s="5">
        <v>207.5</v>
      </c>
      <c r="G3294" s="5">
        <v>103.6</v>
      </c>
      <c r="H3294" s="5">
        <v>103.5</v>
      </c>
      <c r="I3294" s="5">
        <v>0</v>
      </c>
      <c r="J3294" s="5">
        <v>0</v>
      </c>
      <c r="K3294" s="5">
        <v>0</v>
      </c>
    </row>
    <row r="3295" spans="1:11" x14ac:dyDescent="0.25">
      <c r="A3295" s="5">
        <f>3288</f>
      </c>
      <c r="B3295" s="5" t="s">
        <v>3303</v>
      </c>
      <c r="C3295" s="5">
        <v>104.3</v>
      </c>
      <c r="D3295" s="5">
        <v>0.1</v>
      </c>
      <c r="E3295" s="5">
        <v>104.4</v>
      </c>
      <c r="F3295" s="5">
        <v>207.5</v>
      </c>
      <c r="G3295" s="5">
        <v>103.6</v>
      </c>
      <c r="H3295" s="5">
        <v>103.5</v>
      </c>
      <c r="I3295" s="5">
        <v>0</v>
      </c>
      <c r="J3295" s="5">
        <v>0</v>
      </c>
      <c r="K3295" s="5">
        <v>0</v>
      </c>
    </row>
    <row r="3296" spans="1:11" x14ac:dyDescent="0.25">
      <c r="A3296" s="5">
        <f>3289</f>
      </c>
      <c r="B3296" s="5" t="s">
        <v>3304</v>
      </c>
      <c r="C3296" s="5">
        <v>103.5</v>
      </c>
      <c r="D3296" s="5">
        <v>0.1</v>
      </c>
      <c r="E3296" s="5">
        <v>103.7</v>
      </c>
      <c r="F3296" s="5">
        <v>203.4</v>
      </c>
      <c r="G3296" s="5">
        <v>101.8</v>
      </c>
      <c r="H3296" s="5">
        <v>102</v>
      </c>
      <c r="I3296" s="5">
        <v>0</v>
      </c>
      <c r="J3296" s="5">
        <v>0</v>
      </c>
      <c r="K3296" s="5">
        <v>0</v>
      </c>
    </row>
    <row r="3297" spans="1:11" x14ac:dyDescent="0.25">
      <c r="A3297" s="5">
        <f>3290</f>
      </c>
      <c r="B3297" s="5" t="s">
        <v>3305</v>
      </c>
      <c r="C3297" s="5">
        <v>103.5</v>
      </c>
      <c r="D3297" s="5">
        <v>0.1</v>
      </c>
      <c r="E3297" s="5">
        <v>103.7</v>
      </c>
      <c r="F3297" s="5">
        <v>203.4</v>
      </c>
      <c r="G3297" s="5">
        <v>101.8</v>
      </c>
      <c r="H3297" s="5">
        <v>102</v>
      </c>
      <c r="I3297" s="5">
        <v>0</v>
      </c>
      <c r="J3297" s="5">
        <v>0</v>
      </c>
      <c r="K3297" s="5">
        <v>0</v>
      </c>
    </row>
    <row r="3298" spans="1:11" x14ac:dyDescent="0.25">
      <c r="A3298" s="5">
        <f>3291</f>
      </c>
      <c r="B3298" s="5" t="s">
        <v>3306</v>
      </c>
      <c r="C3298" s="5">
        <v>103.5</v>
      </c>
      <c r="D3298" s="5">
        <v>0.1</v>
      </c>
      <c r="E3298" s="5">
        <v>103.7</v>
      </c>
      <c r="F3298" s="5">
        <v>203.4</v>
      </c>
      <c r="G3298" s="5">
        <v>101.8</v>
      </c>
      <c r="H3298" s="5">
        <v>102</v>
      </c>
      <c r="I3298" s="5">
        <v>0</v>
      </c>
      <c r="J3298" s="5">
        <v>0</v>
      </c>
      <c r="K3298" s="5">
        <v>0</v>
      </c>
    </row>
    <row r="3299" spans="1:11" x14ac:dyDescent="0.25">
      <c r="A3299" s="5">
        <f>3292</f>
      </c>
      <c r="B3299" s="5" t="s">
        <v>3307</v>
      </c>
      <c r="C3299" s="5">
        <v>103.5</v>
      </c>
      <c r="D3299" s="5">
        <v>0.1</v>
      </c>
      <c r="E3299" s="5">
        <v>103.7</v>
      </c>
      <c r="F3299" s="5">
        <v>203.4</v>
      </c>
      <c r="G3299" s="5">
        <v>101.8</v>
      </c>
      <c r="H3299" s="5">
        <v>102</v>
      </c>
      <c r="I3299" s="5">
        <v>0</v>
      </c>
      <c r="J3299" s="5">
        <v>0</v>
      </c>
      <c r="K3299" s="5">
        <v>0</v>
      </c>
    </row>
    <row r="3300" spans="1:11" x14ac:dyDescent="0.25">
      <c r="A3300" s="5">
        <f>3293</f>
      </c>
      <c r="B3300" s="5" t="s">
        <v>3308</v>
      </c>
      <c r="C3300" s="5">
        <v>104</v>
      </c>
      <c r="D3300" s="5">
        <v>0.1</v>
      </c>
      <c r="E3300" s="5">
        <v>104.2</v>
      </c>
      <c r="F3300" s="5">
        <v>207.7</v>
      </c>
      <c r="G3300" s="5">
        <v>103.6</v>
      </c>
      <c r="H3300" s="5">
        <v>103.5</v>
      </c>
      <c r="I3300" s="5">
        <v>0</v>
      </c>
      <c r="J3300" s="5">
        <v>0</v>
      </c>
      <c r="K3300" s="5">
        <v>0</v>
      </c>
    </row>
    <row r="3301" spans="1:11" x14ac:dyDescent="0.25">
      <c r="A3301" s="5">
        <f>3294</f>
      </c>
      <c r="B3301" s="5" t="s">
        <v>3309</v>
      </c>
      <c r="C3301" s="5">
        <v>104</v>
      </c>
      <c r="D3301" s="5">
        <v>0.1</v>
      </c>
      <c r="E3301" s="5">
        <v>104.2</v>
      </c>
      <c r="F3301" s="5">
        <v>207.7</v>
      </c>
      <c r="G3301" s="5">
        <v>103.6</v>
      </c>
      <c r="H3301" s="5">
        <v>103.5</v>
      </c>
      <c r="I3301" s="5">
        <v>0</v>
      </c>
      <c r="J3301" s="5">
        <v>0</v>
      </c>
      <c r="K3301" s="5">
        <v>0</v>
      </c>
    </row>
    <row r="3302" spans="1:11" x14ac:dyDescent="0.25">
      <c r="A3302" s="5">
        <f>3295</f>
      </c>
      <c r="B3302" s="5" t="s">
        <v>3310</v>
      </c>
      <c r="C3302" s="5">
        <v>103.8</v>
      </c>
      <c r="D3302" s="5">
        <v>0.1</v>
      </c>
      <c r="E3302" s="5">
        <v>103.9</v>
      </c>
      <c r="F3302" s="5">
        <v>205.7</v>
      </c>
      <c r="G3302" s="5">
        <v>102.6</v>
      </c>
      <c r="H3302" s="5">
        <v>102.5</v>
      </c>
      <c r="I3302" s="5">
        <v>0</v>
      </c>
      <c r="J3302" s="5">
        <v>0</v>
      </c>
      <c r="K3302" s="5">
        <v>0</v>
      </c>
    </row>
    <row r="3303" spans="1:11" x14ac:dyDescent="0.25">
      <c r="A3303" s="5">
        <f>3296</f>
      </c>
      <c r="B3303" s="5" t="s">
        <v>3311</v>
      </c>
      <c r="C3303" s="5">
        <v>103.8</v>
      </c>
      <c r="D3303" s="5">
        <v>0.1</v>
      </c>
      <c r="E3303" s="5">
        <v>103.9</v>
      </c>
      <c r="F3303" s="5">
        <v>205.7</v>
      </c>
      <c r="G3303" s="5">
        <v>102.6</v>
      </c>
      <c r="H3303" s="5">
        <v>102.5</v>
      </c>
      <c r="I3303" s="5">
        <v>0</v>
      </c>
      <c r="J3303" s="5">
        <v>0</v>
      </c>
      <c r="K3303" s="5">
        <v>0</v>
      </c>
    </row>
    <row r="3304" spans="1:11" x14ac:dyDescent="0.25">
      <c r="A3304" s="5">
        <f>3297</f>
      </c>
      <c r="B3304" s="5" t="s">
        <v>3312</v>
      </c>
      <c r="C3304" s="5">
        <v>104.2</v>
      </c>
      <c r="D3304" s="5">
        <v>0.1</v>
      </c>
      <c r="E3304" s="5">
        <v>104.3</v>
      </c>
      <c r="F3304" s="5">
        <v>207.7</v>
      </c>
      <c r="G3304" s="5">
        <v>103.6</v>
      </c>
      <c r="H3304" s="5">
        <v>103.5</v>
      </c>
      <c r="I3304" s="5">
        <v>0</v>
      </c>
      <c r="J3304" s="5">
        <v>0</v>
      </c>
      <c r="K3304" s="5">
        <v>0</v>
      </c>
    </row>
    <row r="3305" spans="1:11" x14ac:dyDescent="0.25">
      <c r="A3305" s="5">
        <f>3298</f>
      </c>
      <c r="B3305" s="5" t="s">
        <v>3313</v>
      </c>
      <c r="C3305" s="5">
        <v>104.2</v>
      </c>
      <c r="D3305" s="5">
        <v>0.1</v>
      </c>
      <c r="E3305" s="5">
        <v>104.3</v>
      </c>
      <c r="F3305" s="5">
        <v>207.7</v>
      </c>
      <c r="G3305" s="5">
        <v>103.6</v>
      </c>
      <c r="H3305" s="5">
        <v>103.5</v>
      </c>
      <c r="I3305" s="5">
        <v>0</v>
      </c>
      <c r="J3305" s="5">
        <v>0</v>
      </c>
      <c r="K3305" s="5">
        <v>0</v>
      </c>
    </row>
    <row r="3306" spans="1:11" x14ac:dyDescent="0.25">
      <c r="A3306" s="5">
        <f>3299</f>
      </c>
      <c r="B3306" s="5" t="s">
        <v>3314</v>
      </c>
      <c r="C3306" s="5">
        <v>103.6</v>
      </c>
      <c r="D3306" s="5">
        <v>0.1</v>
      </c>
      <c r="E3306" s="5">
        <v>103.7</v>
      </c>
      <c r="F3306" s="5">
        <v>207.1</v>
      </c>
      <c r="G3306" s="5">
        <v>103.3</v>
      </c>
      <c r="H3306" s="5">
        <v>103.2</v>
      </c>
      <c r="I3306" s="5">
        <v>0</v>
      </c>
      <c r="J3306" s="5">
        <v>0</v>
      </c>
      <c r="K3306" s="5">
        <v>0</v>
      </c>
    </row>
    <row r="3307" spans="1:11" x14ac:dyDescent="0.25">
      <c r="A3307" s="5">
        <f>3300</f>
      </c>
      <c r="B3307" s="5" t="s">
        <v>3315</v>
      </c>
      <c r="C3307" s="5">
        <v>103.6</v>
      </c>
      <c r="D3307" s="5">
        <v>0.1</v>
      </c>
      <c r="E3307" s="5">
        <v>103.7</v>
      </c>
      <c r="F3307" s="5">
        <v>207.1</v>
      </c>
      <c r="G3307" s="5">
        <v>103.3</v>
      </c>
      <c r="H3307" s="5">
        <v>103.2</v>
      </c>
      <c r="I3307" s="5">
        <v>0</v>
      </c>
      <c r="J3307" s="5">
        <v>0</v>
      </c>
      <c r="K3307" s="5">
        <v>0</v>
      </c>
    </row>
    <row r="3308" spans="1:11" x14ac:dyDescent="0.25">
      <c r="A3308" s="5">
        <f>3301</f>
      </c>
      <c r="B3308" s="5" t="s">
        <v>3316</v>
      </c>
      <c r="C3308" s="5">
        <v>103.6</v>
      </c>
      <c r="D3308" s="5">
        <v>0.1</v>
      </c>
      <c r="E3308" s="5">
        <v>103.7</v>
      </c>
      <c r="F3308" s="5">
        <v>207.1</v>
      </c>
      <c r="G3308" s="5">
        <v>103.3</v>
      </c>
      <c r="H3308" s="5">
        <v>103.2</v>
      </c>
      <c r="I3308" s="5">
        <v>0</v>
      </c>
      <c r="J3308" s="5">
        <v>0</v>
      </c>
      <c r="K3308" s="5">
        <v>0</v>
      </c>
    </row>
    <row r="3309" spans="1:11" x14ac:dyDescent="0.25">
      <c r="A3309" s="5">
        <f>3302</f>
      </c>
      <c r="B3309" s="5" t="s">
        <v>3317</v>
      </c>
      <c r="C3309" s="5">
        <v>103.6</v>
      </c>
      <c r="D3309" s="5">
        <v>0.1</v>
      </c>
      <c r="E3309" s="5">
        <v>103.7</v>
      </c>
      <c r="F3309" s="5">
        <v>207.1</v>
      </c>
      <c r="G3309" s="5">
        <v>103.3</v>
      </c>
      <c r="H3309" s="5">
        <v>103.2</v>
      </c>
      <c r="I3309" s="5">
        <v>0</v>
      </c>
      <c r="J3309" s="5">
        <v>0</v>
      </c>
      <c r="K3309" s="5">
        <v>0</v>
      </c>
    </row>
    <row r="3310" spans="1:11" x14ac:dyDescent="0.25">
      <c r="A3310" s="5">
        <f>3303</f>
      </c>
      <c r="B3310" s="5" t="s">
        <v>3318</v>
      </c>
      <c r="C3310" s="5">
        <v>102.5</v>
      </c>
      <c r="D3310" s="5">
        <v>0.1</v>
      </c>
      <c r="E3310" s="5">
        <v>102.6</v>
      </c>
      <c r="F3310" s="5">
        <v>205.2</v>
      </c>
      <c r="G3310" s="5">
        <v>102.4</v>
      </c>
      <c r="H3310" s="5">
        <v>102.3</v>
      </c>
      <c r="I3310" s="5">
        <v>0</v>
      </c>
      <c r="J3310" s="5">
        <v>0</v>
      </c>
      <c r="K3310" s="5">
        <v>0</v>
      </c>
    </row>
    <row r="3311" spans="1:11" x14ac:dyDescent="0.25">
      <c r="A3311" s="5">
        <f>3304</f>
      </c>
      <c r="B3311" s="5" t="s">
        <v>3319</v>
      </c>
      <c r="C3311" s="5">
        <v>102.5</v>
      </c>
      <c r="D3311" s="5">
        <v>0.1</v>
      </c>
      <c r="E3311" s="5">
        <v>102.6</v>
      </c>
      <c r="F3311" s="5">
        <v>205.2</v>
      </c>
      <c r="G3311" s="5">
        <v>102.4</v>
      </c>
      <c r="H3311" s="5">
        <v>102.3</v>
      </c>
      <c r="I3311" s="5">
        <v>0</v>
      </c>
      <c r="J3311" s="5">
        <v>0</v>
      </c>
      <c r="K3311" s="5">
        <v>0</v>
      </c>
    </row>
    <row r="3312" spans="1:11" x14ac:dyDescent="0.25">
      <c r="A3312" s="5">
        <f>3305</f>
      </c>
      <c r="B3312" s="5" t="s">
        <v>3320</v>
      </c>
      <c r="C3312" s="5">
        <v>102.9</v>
      </c>
      <c r="D3312" s="5">
        <v>0.1</v>
      </c>
      <c r="E3312" s="5">
        <v>103.1</v>
      </c>
      <c r="F3312" s="5">
        <v>206</v>
      </c>
      <c r="G3312" s="5">
        <v>102.8</v>
      </c>
      <c r="H3312" s="5">
        <v>102.6</v>
      </c>
      <c r="I3312" s="5">
        <v>0</v>
      </c>
      <c r="J3312" s="5">
        <v>0</v>
      </c>
      <c r="K3312" s="5">
        <v>0</v>
      </c>
    </row>
    <row r="3313" spans="1:11" x14ac:dyDescent="0.25">
      <c r="A3313" s="5">
        <f>3306</f>
      </c>
      <c r="B3313" s="5" t="s">
        <v>3321</v>
      </c>
      <c r="C3313" s="5">
        <v>102.9</v>
      </c>
      <c r="D3313" s="5">
        <v>0.1</v>
      </c>
      <c r="E3313" s="5">
        <v>103.1</v>
      </c>
      <c r="F3313" s="5">
        <v>206</v>
      </c>
      <c r="G3313" s="5">
        <v>102.8</v>
      </c>
      <c r="H3313" s="5">
        <v>102.6</v>
      </c>
      <c r="I3313" s="5">
        <v>0</v>
      </c>
      <c r="J3313" s="5">
        <v>0</v>
      </c>
      <c r="K3313" s="5">
        <v>0</v>
      </c>
    </row>
    <row r="3314" spans="1:11" x14ac:dyDescent="0.25">
      <c r="A3314" s="5">
        <f>3307</f>
      </c>
      <c r="B3314" s="5" t="s">
        <v>3322</v>
      </c>
      <c r="C3314" s="5">
        <v>104</v>
      </c>
      <c r="D3314" s="5">
        <v>0.1</v>
      </c>
      <c r="E3314" s="5">
        <v>104.1</v>
      </c>
      <c r="F3314" s="5">
        <v>207.7</v>
      </c>
      <c r="G3314" s="5">
        <v>103.7</v>
      </c>
      <c r="H3314" s="5">
        <v>103.5</v>
      </c>
      <c r="I3314" s="5">
        <v>0</v>
      </c>
      <c r="J3314" s="5">
        <v>0</v>
      </c>
      <c r="K3314" s="5">
        <v>0</v>
      </c>
    </row>
    <row r="3315" spans="1:11" x14ac:dyDescent="0.25">
      <c r="A3315" s="5">
        <f>3308</f>
      </c>
      <c r="B3315" s="5" t="s">
        <v>3323</v>
      </c>
      <c r="C3315" s="5">
        <v>104</v>
      </c>
      <c r="D3315" s="5">
        <v>0.1</v>
      </c>
      <c r="E3315" s="5">
        <v>104.1</v>
      </c>
      <c r="F3315" s="5">
        <v>207.7</v>
      </c>
      <c r="G3315" s="5">
        <v>103.7</v>
      </c>
      <c r="H3315" s="5">
        <v>103.5</v>
      </c>
      <c r="I3315" s="5">
        <v>0</v>
      </c>
      <c r="J3315" s="5">
        <v>0</v>
      </c>
      <c r="K3315" s="5">
        <v>0</v>
      </c>
    </row>
    <row r="3316" spans="1:11" x14ac:dyDescent="0.25">
      <c r="A3316" s="5">
        <f>3309</f>
      </c>
      <c r="B3316" s="5" t="s">
        <v>3324</v>
      </c>
      <c r="C3316" s="5">
        <v>103.3</v>
      </c>
      <c r="D3316" s="5">
        <v>0.1</v>
      </c>
      <c r="E3316" s="5">
        <v>103.4</v>
      </c>
      <c r="F3316" s="5">
        <v>206.7</v>
      </c>
      <c r="G3316" s="5">
        <v>103.1</v>
      </c>
      <c r="H3316" s="5">
        <v>102.9</v>
      </c>
      <c r="I3316" s="5">
        <v>0</v>
      </c>
      <c r="J3316" s="5">
        <v>0</v>
      </c>
      <c r="K3316" s="5">
        <v>0</v>
      </c>
    </row>
    <row r="3317" spans="1:11" x14ac:dyDescent="0.25">
      <c r="A3317" s="5">
        <f>3310</f>
      </c>
      <c r="B3317" s="5" t="s">
        <v>3325</v>
      </c>
      <c r="C3317" s="5">
        <v>103.3</v>
      </c>
      <c r="D3317" s="5">
        <v>0.1</v>
      </c>
      <c r="E3317" s="5">
        <v>103.4</v>
      </c>
      <c r="F3317" s="5">
        <v>206.7</v>
      </c>
      <c r="G3317" s="5">
        <v>103.1</v>
      </c>
      <c r="H3317" s="5">
        <v>102.9</v>
      </c>
      <c r="I3317" s="5">
        <v>0</v>
      </c>
      <c r="J3317" s="5">
        <v>0</v>
      </c>
      <c r="K3317" s="5">
        <v>0</v>
      </c>
    </row>
    <row r="3318" spans="1:11" x14ac:dyDescent="0.25">
      <c r="A3318" s="5">
        <f>3311</f>
      </c>
      <c r="B3318" s="5" t="s">
        <v>3326</v>
      </c>
      <c r="C3318" s="5">
        <v>103.3</v>
      </c>
      <c r="D3318" s="5">
        <v>0.1</v>
      </c>
      <c r="E3318" s="5">
        <v>103.4</v>
      </c>
      <c r="F3318" s="5">
        <v>206.7</v>
      </c>
      <c r="G3318" s="5">
        <v>103.1</v>
      </c>
      <c r="H3318" s="5">
        <v>102.9</v>
      </c>
      <c r="I3318" s="5">
        <v>0</v>
      </c>
      <c r="J3318" s="5">
        <v>0</v>
      </c>
      <c r="K3318" s="5">
        <v>0</v>
      </c>
    </row>
    <row r="3319" spans="1:11" x14ac:dyDescent="0.25">
      <c r="A3319" s="5">
        <f>3312</f>
      </c>
      <c r="B3319" s="5" t="s">
        <v>3327</v>
      </c>
      <c r="C3319" s="5">
        <v>103.3</v>
      </c>
      <c r="D3319" s="5">
        <v>0.1</v>
      </c>
      <c r="E3319" s="5">
        <v>103.4</v>
      </c>
      <c r="F3319" s="5">
        <v>206.7</v>
      </c>
      <c r="G3319" s="5">
        <v>103.1</v>
      </c>
      <c r="H3319" s="5">
        <v>102.9</v>
      </c>
      <c r="I3319" s="5">
        <v>0</v>
      </c>
      <c r="J3319" s="5">
        <v>0</v>
      </c>
      <c r="K3319" s="5">
        <v>0</v>
      </c>
    </row>
    <row r="3320" spans="1:11" x14ac:dyDescent="0.25">
      <c r="A3320" s="5">
        <f>3313</f>
      </c>
      <c r="B3320" s="5" t="s">
        <v>3328</v>
      </c>
      <c r="C3320" s="5">
        <v>103.2</v>
      </c>
      <c r="D3320" s="5">
        <v>0.1</v>
      </c>
      <c r="E3320" s="5">
        <v>103.4</v>
      </c>
      <c r="F3320" s="5">
        <v>206</v>
      </c>
      <c r="G3320" s="5">
        <v>102.8</v>
      </c>
      <c r="H3320" s="5">
        <v>102.6</v>
      </c>
      <c r="I3320" s="5">
        <v>0</v>
      </c>
      <c r="J3320" s="5">
        <v>0</v>
      </c>
      <c r="K3320" s="5">
        <v>0</v>
      </c>
    </row>
    <row r="3321" spans="1:11" x14ac:dyDescent="0.25">
      <c r="A3321" s="5">
        <f>3314</f>
      </c>
      <c r="B3321" s="5" t="s">
        <v>3329</v>
      </c>
      <c r="C3321" s="5">
        <v>103.2</v>
      </c>
      <c r="D3321" s="5">
        <v>0.1</v>
      </c>
      <c r="E3321" s="5">
        <v>103.4</v>
      </c>
      <c r="F3321" s="5">
        <v>206</v>
      </c>
      <c r="G3321" s="5">
        <v>102.8</v>
      </c>
      <c r="H3321" s="5">
        <v>102.6</v>
      </c>
      <c r="I3321" s="5">
        <v>0</v>
      </c>
      <c r="J3321" s="5">
        <v>0</v>
      </c>
      <c r="K3321" s="5">
        <v>0</v>
      </c>
    </row>
    <row r="3322" spans="1:11" x14ac:dyDescent="0.25">
      <c r="A3322" s="5">
        <f>3315</f>
      </c>
      <c r="B3322" s="5" t="s">
        <v>3330</v>
      </c>
      <c r="C3322" s="5">
        <v>103.4</v>
      </c>
      <c r="D3322" s="5">
        <v>0.1</v>
      </c>
      <c r="E3322" s="5">
        <v>103.5</v>
      </c>
      <c r="F3322" s="5">
        <v>206.6</v>
      </c>
      <c r="G3322" s="5">
        <v>103.1</v>
      </c>
      <c r="H3322" s="5">
        <v>102.9</v>
      </c>
      <c r="I3322" s="5">
        <v>0</v>
      </c>
      <c r="J3322" s="5">
        <v>0</v>
      </c>
      <c r="K3322" s="5">
        <v>0</v>
      </c>
    </row>
    <row r="3323" spans="1:11" x14ac:dyDescent="0.25">
      <c r="A3323" s="5">
        <f>3316</f>
      </c>
      <c r="B3323" s="5" t="s">
        <v>3331</v>
      </c>
      <c r="C3323" s="5">
        <v>103.4</v>
      </c>
      <c r="D3323" s="5">
        <v>0.1</v>
      </c>
      <c r="E3323" s="5">
        <v>103.5</v>
      </c>
      <c r="F3323" s="5">
        <v>206.6</v>
      </c>
      <c r="G3323" s="5">
        <v>103.1</v>
      </c>
      <c r="H3323" s="5">
        <v>102.9</v>
      </c>
      <c r="I3323" s="5">
        <v>0</v>
      </c>
      <c r="J3323" s="5">
        <v>0</v>
      </c>
      <c r="K3323" s="5">
        <v>0</v>
      </c>
    </row>
    <row r="3324" spans="1:11" x14ac:dyDescent="0.25">
      <c r="A3324" s="5">
        <f>3317</f>
      </c>
      <c r="B3324" s="5" t="s">
        <v>3332</v>
      </c>
      <c r="C3324" s="5">
        <v>103.5</v>
      </c>
      <c r="D3324" s="5">
        <v>0.1</v>
      </c>
      <c r="E3324" s="5">
        <v>103.7</v>
      </c>
      <c r="F3324" s="5">
        <v>206.6</v>
      </c>
      <c r="G3324" s="5">
        <v>103</v>
      </c>
      <c r="H3324" s="5">
        <v>102.9</v>
      </c>
      <c r="I3324" s="5">
        <v>0</v>
      </c>
      <c r="J3324" s="5">
        <v>0</v>
      </c>
      <c r="K3324" s="5">
        <v>0</v>
      </c>
    </row>
    <row r="3325" spans="1:11" x14ac:dyDescent="0.25">
      <c r="A3325" s="5">
        <f>3318</f>
      </c>
      <c r="B3325" s="5" t="s">
        <v>3333</v>
      </c>
      <c r="C3325" s="5">
        <v>103.5</v>
      </c>
      <c r="D3325" s="5">
        <v>0.1</v>
      </c>
      <c r="E3325" s="5">
        <v>103.7</v>
      </c>
      <c r="F3325" s="5">
        <v>206.6</v>
      </c>
      <c r="G3325" s="5">
        <v>103</v>
      </c>
      <c r="H3325" s="5">
        <v>102.9</v>
      </c>
      <c r="I3325" s="5">
        <v>0</v>
      </c>
      <c r="J3325" s="5">
        <v>0</v>
      </c>
      <c r="K3325" s="5">
        <v>0</v>
      </c>
    </row>
    <row r="3326" spans="1:11" x14ac:dyDescent="0.25">
      <c r="A3326" s="5">
        <f>3319</f>
      </c>
      <c r="B3326" s="5" t="s">
        <v>3334</v>
      </c>
      <c r="C3326" s="5">
        <v>104</v>
      </c>
      <c r="D3326" s="5">
        <v>0.1</v>
      </c>
      <c r="E3326" s="5">
        <v>104.2</v>
      </c>
      <c r="F3326" s="5">
        <v>207.4</v>
      </c>
      <c r="G3326" s="5">
        <v>103.5</v>
      </c>
      <c r="H3326" s="5">
        <v>103.5</v>
      </c>
      <c r="I3326" s="5">
        <v>0</v>
      </c>
      <c r="J3326" s="5">
        <v>0</v>
      </c>
      <c r="K3326" s="5">
        <v>0</v>
      </c>
    </row>
    <row r="3327" spans="1:11" x14ac:dyDescent="0.25">
      <c r="A3327" s="5">
        <f>3320</f>
      </c>
      <c r="B3327" s="5" t="s">
        <v>3335</v>
      </c>
      <c r="C3327" s="5">
        <v>104</v>
      </c>
      <c r="D3327" s="5">
        <v>0.1</v>
      </c>
      <c r="E3327" s="5">
        <v>104.2</v>
      </c>
      <c r="F3327" s="5">
        <v>207.4</v>
      </c>
      <c r="G3327" s="5">
        <v>103.5</v>
      </c>
      <c r="H3327" s="5">
        <v>103.5</v>
      </c>
      <c r="I3327" s="5">
        <v>0</v>
      </c>
      <c r="J3327" s="5">
        <v>0</v>
      </c>
      <c r="K3327" s="5">
        <v>0</v>
      </c>
    </row>
    <row r="3328" spans="1:11" x14ac:dyDescent="0.25">
      <c r="A3328" s="5">
        <f>3321</f>
      </c>
      <c r="B3328" s="5" t="s">
        <v>3336</v>
      </c>
      <c r="C3328" s="5">
        <v>104</v>
      </c>
      <c r="D3328" s="5">
        <v>0.1</v>
      </c>
      <c r="E3328" s="5">
        <v>104.2</v>
      </c>
      <c r="F3328" s="5">
        <v>207.4</v>
      </c>
      <c r="G3328" s="5">
        <v>103.5</v>
      </c>
      <c r="H3328" s="5">
        <v>103.5</v>
      </c>
      <c r="I3328" s="5">
        <v>0</v>
      </c>
      <c r="J3328" s="5">
        <v>0</v>
      </c>
      <c r="K3328" s="5">
        <v>0</v>
      </c>
    </row>
    <row r="3329" spans="1:11" x14ac:dyDescent="0.25">
      <c r="A3329" s="5">
        <f>3322</f>
      </c>
      <c r="B3329" s="5" t="s">
        <v>3337</v>
      </c>
      <c r="C3329" s="5">
        <v>104</v>
      </c>
      <c r="D3329" s="5">
        <v>0.1</v>
      </c>
      <c r="E3329" s="5">
        <v>104.2</v>
      </c>
      <c r="F3329" s="5">
        <v>207.4</v>
      </c>
      <c r="G3329" s="5">
        <v>103.5</v>
      </c>
      <c r="H3329" s="5">
        <v>103.5</v>
      </c>
      <c r="I3329" s="5">
        <v>0</v>
      </c>
      <c r="J3329" s="5">
        <v>0</v>
      </c>
      <c r="K3329" s="5">
        <v>0</v>
      </c>
    </row>
    <row r="3330" spans="1:11" x14ac:dyDescent="0.25">
      <c r="A3330" s="5">
        <f>3323</f>
      </c>
      <c r="B3330" s="5" t="s">
        <v>3338</v>
      </c>
      <c r="C3330" s="5">
        <v>104</v>
      </c>
      <c r="D3330" s="5">
        <v>0.1</v>
      </c>
      <c r="E3330" s="5">
        <v>104.1</v>
      </c>
      <c r="F3330" s="5">
        <v>207.4</v>
      </c>
      <c r="G3330" s="5">
        <v>103.5</v>
      </c>
      <c r="H3330" s="5">
        <v>103.3</v>
      </c>
      <c r="I3330" s="5">
        <v>0</v>
      </c>
      <c r="J3330" s="5">
        <v>0</v>
      </c>
      <c r="K3330" s="5">
        <v>0</v>
      </c>
    </row>
    <row r="3331" spans="1:11" x14ac:dyDescent="0.25">
      <c r="A3331" s="5">
        <f>3324</f>
      </c>
      <c r="B3331" s="5" t="s">
        <v>3339</v>
      </c>
      <c r="C3331" s="5">
        <v>104</v>
      </c>
      <c r="D3331" s="5">
        <v>0.1</v>
      </c>
      <c r="E3331" s="5">
        <v>104.1</v>
      </c>
      <c r="F3331" s="5">
        <v>207.4</v>
      </c>
      <c r="G3331" s="5">
        <v>103.5</v>
      </c>
      <c r="H3331" s="5">
        <v>103.3</v>
      </c>
      <c r="I3331" s="5">
        <v>0</v>
      </c>
      <c r="J3331" s="5">
        <v>0</v>
      </c>
      <c r="K3331" s="5">
        <v>0</v>
      </c>
    </row>
    <row r="3332" spans="1:11" x14ac:dyDescent="0.25">
      <c r="A3332" s="5">
        <f>3325</f>
      </c>
      <c r="B3332" s="5" t="s">
        <v>3340</v>
      </c>
      <c r="C3332" s="5">
        <v>103.6</v>
      </c>
      <c r="D3332" s="5">
        <v>0.1</v>
      </c>
      <c r="E3332" s="5">
        <v>103.7</v>
      </c>
      <c r="F3332" s="5">
        <v>206.5</v>
      </c>
      <c r="G3332" s="5">
        <v>103</v>
      </c>
      <c r="H3332" s="5">
        <v>102.9</v>
      </c>
      <c r="I3332" s="5">
        <v>0</v>
      </c>
      <c r="J3332" s="5">
        <v>0</v>
      </c>
      <c r="K3332" s="5">
        <v>0</v>
      </c>
    </row>
    <row r="3333" spans="1:11" x14ac:dyDescent="0.25">
      <c r="A3333" s="5">
        <f>3326</f>
      </c>
      <c r="B3333" s="5" t="s">
        <v>3341</v>
      </c>
      <c r="C3333" s="5">
        <v>103.6</v>
      </c>
      <c r="D3333" s="5">
        <v>0.1</v>
      </c>
      <c r="E3333" s="5">
        <v>103.7</v>
      </c>
      <c r="F3333" s="5">
        <v>206.5</v>
      </c>
      <c r="G3333" s="5">
        <v>103</v>
      </c>
      <c r="H3333" s="5">
        <v>102.9</v>
      </c>
      <c r="I3333" s="5">
        <v>0</v>
      </c>
      <c r="J3333" s="5">
        <v>0</v>
      </c>
      <c r="K3333" s="5">
        <v>0</v>
      </c>
    </row>
    <row r="3334" spans="1:11" x14ac:dyDescent="0.25">
      <c r="A3334" s="5">
        <f>3327</f>
      </c>
      <c r="B3334" s="5" t="s">
        <v>3342</v>
      </c>
      <c r="C3334" s="5">
        <v>103.1</v>
      </c>
      <c r="D3334" s="5">
        <v>0.1</v>
      </c>
      <c r="E3334" s="5">
        <v>103.3</v>
      </c>
      <c r="F3334" s="5">
        <v>205.9</v>
      </c>
      <c r="G3334" s="5">
        <v>102.8</v>
      </c>
      <c r="H3334" s="5">
        <v>102.6</v>
      </c>
      <c r="I3334" s="5">
        <v>0</v>
      </c>
      <c r="J3334" s="5">
        <v>0</v>
      </c>
      <c r="K3334" s="5">
        <v>0</v>
      </c>
    </row>
    <row r="3335" spans="1:11" x14ac:dyDescent="0.25">
      <c r="A3335" s="5">
        <f>3328</f>
      </c>
      <c r="B3335" s="5" t="s">
        <v>3343</v>
      </c>
      <c r="C3335" s="5">
        <v>103.1</v>
      </c>
      <c r="D3335" s="5">
        <v>0.1</v>
      </c>
      <c r="E3335" s="5">
        <v>103.3</v>
      </c>
      <c r="F3335" s="5">
        <v>205.9</v>
      </c>
      <c r="G3335" s="5">
        <v>102.8</v>
      </c>
      <c r="H3335" s="5">
        <v>102.6</v>
      </c>
      <c r="I3335" s="5">
        <v>0</v>
      </c>
      <c r="J3335" s="5">
        <v>0</v>
      </c>
      <c r="K3335" s="5">
        <v>0</v>
      </c>
    </row>
    <row r="3336" spans="1:11" x14ac:dyDescent="0.25">
      <c r="A3336" s="5">
        <f>3329</f>
      </c>
      <c r="B3336" s="5" t="s">
        <v>3344</v>
      </c>
      <c r="C3336" s="5">
        <v>103.5</v>
      </c>
      <c r="D3336" s="5">
        <v>0.1</v>
      </c>
      <c r="E3336" s="5">
        <v>103.7</v>
      </c>
      <c r="F3336" s="5">
        <v>207</v>
      </c>
      <c r="G3336" s="5">
        <v>103.2</v>
      </c>
      <c r="H3336" s="5">
        <v>103.1</v>
      </c>
      <c r="I3336" s="5">
        <v>0</v>
      </c>
      <c r="J3336" s="5">
        <v>0</v>
      </c>
      <c r="K3336" s="5">
        <v>0</v>
      </c>
    </row>
    <row r="3337" spans="1:11" x14ac:dyDescent="0.25">
      <c r="A3337" s="5">
        <f>3330</f>
      </c>
      <c r="B3337" s="5" t="s">
        <v>3345</v>
      </c>
      <c r="C3337" s="5">
        <v>103.5</v>
      </c>
      <c r="D3337" s="5">
        <v>0.1</v>
      </c>
      <c r="E3337" s="5">
        <v>103.7</v>
      </c>
      <c r="F3337" s="5">
        <v>207</v>
      </c>
      <c r="G3337" s="5">
        <v>103.2</v>
      </c>
      <c r="H3337" s="5">
        <v>103.1</v>
      </c>
      <c r="I3337" s="5">
        <v>0</v>
      </c>
      <c r="J3337" s="5">
        <v>0</v>
      </c>
      <c r="K3337" s="5">
        <v>0</v>
      </c>
    </row>
    <row r="3338" spans="1:11" x14ac:dyDescent="0.25">
      <c r="A3338" s="5">
        <f>3331</f>
      </c>
      <c r="B3338" s="5" t="s">
        <v>3346</v>
      </c>
      <c r="C3338" s="5">
        <v>103.5</v>
      </c>
      <c r="D3338" s="5">
        <v>0.1</v>
      </c>
      <c r="E3338" s="5">
        <v>103.7</v>
      </c>
      <c r="F3338" s="5">
        <v>207</v>
      </c>
      <c r="G3338" s="5">
        <v>103.2</v>
      </c>
      <c r="H3338" s="5">
        <v>103.1</v>
      </c>
      <c r="I3338" s="5">
        <v>0</v>
      </c>
      <c r="J3338" s="5">
        <v>0</v>
      </c>
      <c r="K3338" s="5">
        <v>0</v>
      </c>
    </row>
    <row r="3339" spans="1:11" x14ac:dyDescent="0.25">
      <c r="A3339" s="5">
        <f>3332</f>
      </c>
      <c r="B3339" s="5" t="s">
        <v>3347</v>
      </c>
      <c r="C3339" s="5">
        <v>103.5</v>
      </c>
      <c r="D3339" s="5">
        <v>0.1</v>
      </c>
      <c r="E3339" s="5">
        <v>103.7</v>
      </c>
      <c r="F3339" s="5">
        <v>207</v>
      </c>
      <c r="G3339" s="5">
        <v>103.2</v>
      </c>
      <c r="H3339" s="5">
        <v>103.1</v>
      </c>
      <c r="I3339" s="5">
        <v>0</v>
      </c>
      <c r="J3339" s="5">
        <v>0</v>
      </c>
      <c r="K3339" s="5">
        <v>0</v>
      </c>
    </row>
    <row r="3340" spans="1:11" x14ac:dyDescent="0.25">
      <c r="A3340" s="5">
        <f>3333</f>
      </c>
      <c r="B3340" s="5" t="s">
        <v>3348</v>
      </c>
      <c r="C3340" s="5">
        <v>103</v>
      </c>
      <c r="D3340" s="5">
        <v>0.1</v>
      </c>
      <c r="E3340" s="5">
        <v>103.1</v>
      </c>
      <c r="F3340" s="5">
        <v>200.9</v>
      </c>
      <c r="G3340" s="5">
        <v>100.4</v>
      </c>
      <c r="H3340" s="5">
        <v>100.5</v>
      </c>
      <c r="I3340" s="5">
        <v>0</v>
      </c>
      <c r="J3340" s="5">
        <v>0</v>
      </c>
      <c r="K3340" s="5">
        <v>0</v>
      </c>
    </row>
    <row r="3341" spans="1:11" x14ac:dyDescent="0.25">
      <c r="A3341" s="5">
        <f>3334</f>
      </c>
      <c r="B3341" s="5" t="s">
        <v>3349</v>
      </c>
      <c r="C3341" s="5">
        <v>103</v>
      </c>
      <c r="D3341" s="5">
        <v>0.1</v>
      </c>
      <c r="E3341" s="5">
        <v>103.1</v>
      </c>
      <c r="F3341" s="5">
        <v>200.9</v>
      </c>
      <c r="G3341" s="5">
        <v>100.4</v>
      </c>
      <c r="H3341" s="5">
        <v>100.5</v>
      </c>
      <c r="I3341" s="5">
        <v>0</v>
      </c>
      <c r="J3341" s="5">
        <v>0</v>
      </c>
      <c r="K3341" s="5">
        <v>0</v>
      </c>
    </row>
    <row r="3342" spans="1:11" x14ac:dyDescent="0.25">
      <c r="A3342" s="5">
        <f>3335</f>
      </c>
      <c r="B3342" s="5" t="s">
        <v>3350</v>
      </c>
      <c r="C3342" s="5">
        <v>103.4</v>
      </c>
      <c r="D3342" s="5">
        <v>0.1</v>
      </c>
      <c r="E3342" s="5">
        <v>103.5</v>
      </c>
      <c r="F3342" s="5">
        <v>203.4</v>
      </c>
      <c r="G3342" s="5">
        <v>101.4</v>
      </c>
      <c r="H3342" s="5">
        <v>101.4</v>
      </c>
      <c r="I3342" s="5">
        <v>0</v>
      </c>
      <c r="J3342" s="5">
        <v>0</v>
      </c>
      <c r="K3342" s="5">
        <v>0</v>
      </c>
    </row>
    <row r="3343" spans="1:11" x14ac:dyDescent="0.25">
      <c r="A3343" s="5">
        <f>3336</f>
      </c>
      <c r="B3343" s="5" t="s">
        <v>3351</v>
      </c>
      <c r="C3343" s="5">
        <v>103.4</v>
      </c>
      <c r="D3343" s="5">
        <v>0.1</v>
      </c>
      <c r="E3343" s="5">
        <v>103.5</v>
      </c>
      <c r="F3343" s="5">
        <v>203.4</v>
      </c>
      <c r="G3343" s="5">
        <v>101.4</v>
      </c>
      <c r="H3343" s="5">
        <v>101.4</v>
      </c>
      <c r="I3343" s="5">
        <v>0</v>
      </c>
      <c r="J3343" s="5">
        <v>0</v>
      </c>
      <c r="K3343" s="5">
        <v>0</v>
      </c>
    </row>
    <row r="3344" spans="1:11" x14ac:dyDescent="0.25">
      <c r="A3344" s="5">
        <f>3337</f>
      </c>
      <c r="B3344" s="5" t="s">
        <v>3352</v>
      </c>
      <c r="C3344" s="5">
        <v>97</v>
      </c>
      <c r="D3344" s="5">
        <v>0.1</v>
      </c>
      <c r="E3344" s="5">
        <v>97.2</v>
      </c>
      <c r="F3344" s="5">
        <v>204.8</v>
      </c>
      <c r="G3344" s="5">
        <v>102.1</v>
      </c>
      <c r="H3344" s="5">
        <v>101.8</v>
      </c>
      <c r="I3344" s="5">
        <v>0</v>
      </c>
      <c r="J3344" s="5">
        <v>0</v>
      </c>
      <c r="K3344" s="5">
        <v>0</v>
      </c>
    </row>
    <row r="3345" spans="1:11" x14ac:dyDescent="0.25">
      <c r="A3345" s="5">
        <f>3338</f>
      </c>
      <c r="B3345" s="5" t="s">
        <v>3353</v>
      </c>
      <c r="C3345" s="5">
        <v>97</v>
      </c>
      <c r="D3345" s="5">
        <v>0.1</v>
      </c>
      <c r="E3345" s="5">
        <v>97.2</v>
      </c>
      <c r="F3345" s="5">
        <v>204.8</v>
      </c>
      <c r="G3345" s="5">
        <v>102.1</v>
      </c>
      <c r="H3345" s="5">
        <v>101.8</v>
      </c>
      <c r="I3345" s="5">
        <v>0</v>
      </c>
      <c r="J3345" s="5">
        <v>0</v>
      </c>
      <c r="K3345" s="5">
        <v>0</v>
      </c>
    </row>
    <row r="3346" spans="1:11" x14ac:dyDescent="0.25">
      <c r="A3346" s="5">
        <f>3339</f>
      </c>
      <c r="B3346" s="5" t="s">
        <v>3354</v>
      </c>
      <c r="C3346" s="5">
        <v>102.4</v>
      </c>
      <c r="D3346" s="5">
        <v>0.1</v>
      </c>
      <c r="E3346" s="5">
        <v>102.6</v>
      </c>
      <c r="F3346" s="5">
        <v>204.9</v>
      </c>
      <c r="G3346" s="5">
        <v>102.3</v>
      </c>
      <c r="H3346" s="5">
        <v>101.9</v>
      </c>
      <c r="I3346" s="5">
        <v>0</v>
      </c>
      <c r="J3346" s="5">
        <v>0</v>
      </c>
      <c r="K3346" s="5">
        <v>0</v>
      </c>
    </row>
    <row r="3347" spans="1:11" x14ac:dyDescent="0.25">
      <c r="A3347" s="5">
        <f>3340</f>
      </c>
      <c r="B3347" s="5" t="s">
        <v>3355</v>
      </c>
      <c r="C3347" s="5">
        <v>102.4</v>
      </c>
      <c r="D3347" s="5">
        <v>0.1</v>
      </c>
      <c r="E3347" s="5">
        <v>102.6</v>
      </c>
      <c r="F3347" s="5">
        <v>204.9</v>
      </c>
      <c r="G3347" s="5">
        <v>102.3</v>
      </c>
      <c r="H3347" s="5">
        <v>101.9</v>
      </c>
      <c r="I3347" s="5">
        <v>0</v>
      </c>
      <c r="J3347" s="5">
        <v>0</v>
      </c>
      <c r="K3347" s="5">
        <v>0</v>
      </c>
    </row>
    <row r="3348" spans="1:11" x14ac:dyDescent="0.25">
      <c r="A3348" s="5">
        <f>3341</f>
      </c>
      <c r="B3348" s="5" t="s">
        <v>3356</v>
      </c>
      <c r="C3348" s="5">
        <v>102.4</v>
      </c>
      <c r="D3348" s="5">
        <v>0.1</v>
      </c>
      <c r="E3348" s="5">
        <v>102.6</v>
      </c>
      <c r="F3348" s="5">
        <v>204.9</v>
      </c>
      <c r="G3348" s="5">
        <v>102.3</v>
      </c>
      <c r="H3348" s="5">
        <v>101.9</v>
      </c>
      <c r="I3348" s="5">
        <v>0</v>
      </c>
      <c r="J3348" s="5">
        <v>0</v>
      </c>
      <c r="K3348" s="5">
        <v>0</v>
      </c>
    </row>
    <row r="3349" spans="1:11" x14ac:dyDescent="0.25">
      <c r="A3349" s="5">
        <f>3342</f>
      </c>
      <c r="B3349" s="5" t="s">
        <v>3357</v>
      </c>
      <c r="C3349" s="5">
        <v>102.4</v>
      </c>
      <c r="D3349" s="5">
        <v>0.1</v>
      </c>
      <c r="E3349" s="5">
        <v>102.6</v>
      </c>
      <c r="F3349" s="5">
        <v>204.9</v>
      </c>
      <c r="G3349" s="5">
        <v>102.3</v>
      </c>
      <c r="H3349" s="5">
        <v>101.9</v>
      </c>
      <c r="I3349" s="5">
        <v>0</v>
      </c>
      <c r="J3349" s="5">
        <v>0</v>
      </c>
      <c r="K3349" s="5">
        <v>0</v>
      </c>
    </row>
    <row r="3350" spans="1:11" x14ac:dyDescent="0.25">
      <c r="A3350" s="5">
        <f>3343</f>
      </c>
      <c r="B3350" s="5" t="s">
        <v>3358</v>
      </c>
      <c r="C3350" s="5">
        <v>103.1</v>
      </c>
      <c r="D3350" s="5">
        <v>0.1</v>
      </c>
      <c r="E3350" s="5">
        <v>103.2</v>
      </c>
      <c r="F3350" s="5">
        <v>206.3</v>
      </c>
      <c r="G3350" s="5">
        <v>102.9</v>
      </c>
      <c r="H3350" s="5">
        <v>102.8</v>
      </c>
      <c r="I3350" s="5">
        <v>0</v>
      </c>
      <c r="J3350" s="5">
        <v>0</v>
      </c>
      <c r="K3350" s="5">
        <v>0</v>
      </c>
    </row>
    <row r="3351" spans="1:11" x14ac:dyDescent="0.25">
      <c r="A3351" s="5">
        <f>3344</f>
      </c>
      <c r="B3351" s="5" t="s">
        <v>3359</v>
      </c>
      <c r="C3351" s="5">
        <v>103.1</v>
      </c>
      <c r="D3351" s="5">
        <v>0.1</v>
      </c>
      <c r="E3351" s="5">
        <v>103.2</v>
      </c>
      <c r="F3351" s="5">
        <v>206.3</v>
      </c>
      <c r="G3351" s="5">
        <v>102.9</v>
      </c>
      <c r="H3351" s="5">
        <v>102.8</v>
      </c>
      <c r="I3351" s="5">
        <v>0</v>
      </c>
      <c r="J3351" s="5">
        <v>0</v>
      </c>
      <c r="K3351" s="5">
        <v>0</v>
      </c>
    </row>
    <row r="3352" spans="1:11" x14ac:dyDescent="0.25">
      <c r="A3352" s="5">
        <f>3345</f>
      </c>
      <c r="B3352" s="5" t="s">
        <v>3360</v>
      </c>
      <c r="C3352" s="5">
        <v>103</v>
      </c>
      <c r="D3352" s="5">
        <v>0.1</v>
      </c>
      <c r="E3352" s="5">
        <v>103.1</v>
      </c>
      <c r="F3352" s="5">
        <v>205.8</v>
      </c>
      <c r="G3352" s="5">
        <v>102.6</v>
      </c>
      <c r="H3352" s="5">
        <v>102.5</v>
      </c>
      <c r="I3352" s="5">
        <v>0</v>
      </c>
      <c r="J3352" s="5">
        <v>0</v>
      </c>
      <c r="K3352" s="5">
        <v>0</v>
      </c>
    </row>
    <row r="3353" spans="1:11" x14ac:dyDescent="0.25">
      <c r="A3353" s="5">
        <f>3346</f>
      </c>
      <c r="B3353" s="5" t="s">
        <v>3361</v>
      </c>
      <c r="C3353" s="5">
        <v>103</v>
      </c>
      <c r="D3353" s="5">
        <v>0.1</v>
      </c>
      <c r="E3353" s="5">
        <v>103.1</v>
      </c>
      <c r="F3353" s="5">
        <v>205.8</v>
      </c>
      <c r="G3353" s="5">
        <v>102.6</v>
      </c>
      <c r="H3353" s="5">
        <v>102.5</v>
      </c>
      <c r="I3353" s="5">
        <v>0</v>
      </c>
      <c r="J3353" s="5">
        <v>0</v>
      </c>
      <c r="K3353" s="5">
        <v>0</v>
      </c>
    </row>
    <row r="3354" spans="1:11" x14ac:dyDescent="0.25">
      <c r="A3354" s="5">
        <f>3347</f>
      </c>
      <c r="B3354" s="5" t="s">
        <v>3362</v>
      </c>
      <c r="C3354" s="5">
        <v>103.1</v>
      </c>
      <c r="D3354" s="5">
        <v>0.1</v>
      </c>
      <c r="E3354" s="5">
        <v>103.3</v>
      </c>
      <c r="F3354" s="5">
        <v>206.4</v>
      </c>
      <c r="G3354" s="5">
        <v>102.9</v>
      </c>
      <c r="H3354" s="5">
        <v>102.8</v>
      </c>
      <c r="I3354" s="5">
        <v>0</v>
      </c>
      <c r="J3354" s="5">
        <v>0</v>
      </c>
      <c r="K3354" s="5">
        <v>0</v>
      </c>
    </row>
    <row r="3355" spans="1:11" x14ac:dyDescent="0.25">
      <c r="A3355" s="5">
        <f>3348</f>
      </c>
      <c r="B3355" s="5" t="s">
        <v>3363</v>
      </c>
      <c r="C3355" s="5">
        <v>103.1</v>
      </c>
      <c r="D3355" s="5">
        <v>0.1</v>
      </c>
      <c r="E3355" s="5">
        <v>103.3</v>
      </c>
      <c r="F3355" s="5">
        <v>206.4</v>
      </c>
      <c r="G3355" s="5">
        <v>102.9</v>
      </c>
      <c r="H3355" s="5">
        <v>102.8</v>
      </c>
      <c r="I3355" s="5">
        <v>0</v>
      </c>
      <c r="J3355" s="5">
        <v>0</v>
      </c>
      <c r="K3355" s="5">
        <v>0</v>
      </c>
    </row>
    <row r="3356" spans="1:11" x14ac:dyDescent="0.25">
      <c r="A3356" s="5">
        <f>3349</f>
      </c>
      <c r="B3356" s="5" t="s">
        <v>3364</v>
      </c>
      <c r="C3356" s="5">
        <v>97.6</v>
      </c>
      <c r="D3356" s="5">
        <v>0.1</v>
      </c>
      <c r="E3356" s="5">
        <v>97.8</v>
      </c>
      <c r="F3356" s="5">
        <v>200.1</v>
      </c>
      <c r="G3356" s="5">
        <v>99.9</v>
      </c>
      <c r="H3356" s="5">
        <v>99.8</v>
      </c>
      <c r="I3356" s="5">
        <v>0</v>
      </c>
      <c r="J3356" s="5">
        <v>0</v>
      </c>
      <c r="K3356" s="5">
        <v>0</v>
      </c>
    </row>
    <row r="3357" spans="1:11" x14ac:dyDescent="0.25">
      <c r="A3357" s="5">
        <f>3350</f>
      </c>
      <c r="B3357" s="5" t="s">
        <v>3365</v>
      </c>
      <c r="C3357" s="5">
        <v>97.6</v>
      </c>
      <c r="D3357" s="5">
        <v>0.1</v>
      </c>
      <c r="E3357" s="5">
        <v>97.8</v>
      </c>
      <c r="F3357" s="5">
        <v>200.1</v>
      </c>
      <c r="G3357" s="5">
        <v>99.9</v>
      </c>
      <c r="H3357" s="5">
        <v>99.8</v>
      </c>
      <c r="I3357" s="5">
        <v>0</v>
      </c>
      <c r="J3357" s="5">
        <v>0</v>
      </c>
      <c r="K3357" s="5">
        <v>0</v>
      </c>
    </row>
    <row r="3358" spans="1:11" x14ac:dyDescent="0.25">
      <c r="A3358" s="5">
        <f>3351</f>
      </c>
      <c r="B3358" s="5" t="s">
        <v>3366</v>
      </c>
      <c r="C3358" s="5">
        <v>97.6</v>
      </c>
      <c r="D3358" s="5">
        <v>0.1</v>
      </c>
      <c r="E3358" s="5">
        <v>97.8</v>
      </c>
      <c r="F3358" s="5">
        <v>200.1</v>
      </c>
      <c r="G3358" s="5">
        <v>99.9</v>
      </c>
      <c r="H3358" s="5">
        <v>99.8</v>
      </c>
      <c r="I3358" s="5">
        <v>0</v>
      </c>
      <c r="J3358" s="5">
        <v>0</v>
      </c>
      <c r="K3358" s="5">
        <v>0</v>
      </c>
    </row>
    <row r="3359" spans="1:11" x14ac:dyDescent="0.25">
      <c r="A3359" s="5">
        <f>3352</f>
      </c>
      <c r="B3359" s="5" t="s">
        <v>3367</v>
      </c>
      <c r="C3359" s="5">
        <v>102.4</v>
      </c>
      <c r="D3359" s="5">
        <v>0.1</v>
      </c>
      <c r="E3359" s="5">
        <v>102.5</v>
      </c>
      <c r="F3359" s="5">
        <v>203.8</v>
      </c>
      <c r="G3359" s="5">
        <v>101.6</v>
      </c>
      <c r="H3359" s="5">
        <v>99.8</v>
      </c>
      <c r="I3359" s="5">
        <v>0</v>
      </c>
      <c r="J3359" s="5">
        <v>0</v>
      </c>
      <c r="K3359" s="5">
        <v>0</v>
      </c>
    </row>
    <row r="3360" spans="1:11" x14ac:dyDescent="0.25">
      <c r="A3360" s="5">
        <f>3353</f>
      </c>
      <c r="B3360" s="5" t="s">
        <v>3368</v>
      </c>
      <c r="C3360" s="5">
        <v>102.4</v>
      </c>
      <c r="D3360" s="5">
        <v>0.1</v>
      </c>
      <c r="E3360" s="5">
        <v>102.5</v>
      </c>
      <c r="F3360" s="5">
        <v>203.8</v>
      </c>
      <c r="G3360" s="5">
        <v>101.6</v>
      </c>
      <c r="H3360" s="5">
        <v>101.5</v>
      </c>
      <c r="I3360" s="5">
        <v>0</v>
      </c>
      <c r="J3360" s="5">
        <v>0</v>
      </c>
      <c r="K3360" s="5">
        <v>0</v>
      </c>
    </row>
    <row r="3361" spans="1:11" x14ac:dyDescent="0.25">
      <c r="A3361" s="5">
        <f>3354</f>
      </c>
      <c r="B3361" s="5" t="s">
        <v>3369</v>
      </c>
      <c r="C3361" s="5">
        <v>101.8</v>
      </c>
      <c r="D3361" s="5">
        <v>0.1</v>
      </c>
      <c r="E3361" s="5">
        <v>101.9</v>
      </c>
      <c r="F3361" s="5">
        <v>203.8</v>
      </c>
      <c r="G3361" s="5">
        <v>101.6</v>
      </c>
      <c r="H3361" s="5">
        <v>101.5</v>
      </c>
      <c r="I3361" s="5">
        <v>0</v>
      </c>
      <c r="J3361" s="5">
        <v>0</v>
      </c>
      <c r="K3361" s="5">
        <v>0</v>
      </c>
    </row>
    <row r="3362" spans="1:11" x14ac:dyDescent="0.25">
      <c r="A3362" s="5">
        <f>3355</f>
      </c>
      <c r="B3362" s="5" t="s">
        <v>3370</v>
      </c>
      <c r="C3362" s="5">
        <v>101.8</v>
      </c>
      <c r="D3362" s="5">
        <v>0.1</v>
      </c>
      <c r="E3362" s="5">
        <v>101.9</v>
      </c>
      <c r="F3362" s="5">
        <v>203.5</v>
      </c>
      <c r="G3362" s="5">
        <v>101.3</v>
      </c>
      <c r="H3362" s="5">
        <v>101.2</v>
      </c>
      <c r="I3362" s="5">
        <v>0</v>
      </c>
      <c r="J3362" s="5">
        <v>0</v>
      </c>
      <c r="K3362" s="5">
        <v>0</v>
      </c>
    </row>
    <row r="3363" spans="1:11" x14ac:dyDescent="0.25">
      <c r="A3363" s="5">
        <f>3356</f>
      </c>
      <c r="B3363" s="5" t="s">
        <v>3371</v>
      </c>
      <c r="C3363" s="5">
        <v>103</v>
      </c>
      <c r="D3363" s="5">
        <v>0.1</v>
      </c>
      <c r="E3363" s="5">
        <v>101.9</v>
      </c>
      <c r="F3363" s="5">
        <v>203.5</v>
      </c>
      <c r="G3363" s="5">
        <v>101.3</v>
      </c>
      <c r="H3363" s="5">
        <v>101.2</v>
      </c>
      <c r="I3363" s="5">
        <v>0</v>
      </c>
      <c r="J3363" s="5">
        <v>0</v>
      </c>
      <c r="K3363" s="5">
        <v>0</v>
      </c>
    </row>
    <row r="3364" spans="1:11" x14ac:dyDescent="0.25">
      <c r="A3364" s="5">
        <f>3357</f>
      </c>
      <c r="B3364" s="5" t="s">
        <v>3372</v>
      </c>
      <c r="C3364" s="5">
        <v>103</v>
      </c>
      <c r="D3364" s="5">
        <v>0.1</v>
      </c>
      <c r="E3364" s="5">
        <v>103.1</v>
      </c>
      <c r="F3364" s="5">
        <v>205.6</v>
      </c>
      <c r="G3364" s="5">
        <v>102.6</v>
      </c>
      <c r="H3364" s="5">
        <v>102.5</v>
      </c>
      <c r="I3364" s="5">
        <v>0</v>
      </c>
      <c r="J3364" s="5">
        <v>0</v>
      </c>
      <c r="K3364" s="5">
        <v>0</v>
      </c>
    </row>
    <row r="3365" spans="1:11" x14ac:dyDescent="0.25">
      <c r="A3365" s="5">
        <f>3358</f>
      </c>
      <c r="B3365" s="5" t="s">
        <v>3373</v>
      </c>
      <c r="C3365" s="5">
        <v>103</v>
      </c>
      <c r="D3365" s="5">
        <v>0.1</v>
      </c>
      <c r="E3365" s="5">
        <v>103.1</v>
      </c>
      <c r="F3365" s="5">
        <v>205.6</v>
      </c>
      <c r="G3365" s="5">
        <v>102.6</v>
      </c>
      <c r="H3365" s="5">
        <v>102.5</v>
      </c>
      <c r="I3365" s="5">
        <v>0</v>
      </c>
      <c r="J3365" s="5">
        <v>0</v>
      </c>
      <c r="K3365" s="5">
        <v>0</v>
      </c>
    </row>
    <row r="3366" spans="1:11" x14ac:dyDescent="0.25">
      <c r="A3366" s="5">
        <f>3359</f>
      </c>
      <c r="B3366" s="5" t="s">
        <v>3374</v>
      </c>
      <c r="C3366" s="5">
        <v>102.1</v>
      </c>
      <c r="D3366" s="5">
        <v>0.1</v>
      </c>
      <c r="E3366" s="5">
        <v>102.3</v>
      </c>
      <c r="F3366" s="5">
        <v>203.7</v>
      </c>
      <c r="G3366" s="5">
        <v>101.9</v>
      </c>
      <c r="H3366" s="5">
        <v>102</v>
      </c>
      <c r="I3366" s="5">
        <v>0</v>
      </c>
      <c r="J3366" s="5">
        <v>0</v>
      </c>
      <c r="K3366" s="5">
        <v>0</v>
      </c>
    </row>
    <row r="3367" spans="1:11" x14ac:dyDescent="0.25">
      <c r="A3367" s="5">
        <f>3360</f>
      </c>
      <c r="B3367" s="5" t="s">
        <v>3375</v>
      </c>
      <c r="C3367" s="5">
        <v>102.1</v>
      </c>
      <c r="D3367" s="5">
        <v>0.1</v>
      </c>
      <c r="E3367" s="5">
        <v>102.3</v>
      </c>
      <c r="F3367" s="5">
        <v>203.7</v>
      </c>
      <c r="G3367" s="5">
        <v>101.9</v>
      </c>
      <c r="H3367" s="5">
        <v>102</v>
      </c>
      <c r="I3367" s="5">
        <v>0</v>
      </c>
      <c r="J3367" s="5">
        <v>0</v>
      </c>
      <c r="K3367" s="5">
        <v>0</v>
      </c>
    </row>
    <row r="3368" spans="1:11" x14ac:dyDescent="0.25">
      <c r="A3368" s="5">
        <f>3361</f>
      </c>
      <c r="B3368" s="5" t="s">
        <v>3376</v>
      </c>
      <c r="C3368" s="5">
        <v>102.1</v>
      </c>
      <c r="D3368" s="5">
        <v>0.1</v>
      </c>
      <c r="E3368" s="5">
        <v>102.3</v>
      </c>
      <c r="F3368" s="5">
        <v>203.7</v>
      </c>
      <c r="G3368" s="5">
        <v>101.9</v>
      </c>
      <c r="H3368" s="5">
        <v>102</v>
      </c>
      <c r="I3368" s="5">
        <v>0</v>
      </c>
      <c r="J3368" s="5">
        <v>0</v>
      </c>
      <c r="K3368" s="5">
        <v>0</v>
      </c>
    </row>
    <row r="3369" spans="1:11" x14ac:dyDescent="0.25">
      <c r="A3369" s="5">
        <f>3362</f>
      </c>
      <c r="B3369" s="5" t="s">
        <v>3377</v>
      </c>
      <c r="C3369" s="5">
        <v>102.1</v>
      </c>
      <c r="D3369" s="5">
        <v>0.1</v>
      </c>
      <c r="E3369" s="5">
        <v>102.3</v>
      </c>
      <c r="F3369" s="5">
        <v>203.7</v>
      </c>
      <c r="G3369" s="5">
        <v>101.9</v>
      </c>
      <c r="H3369" s="5">
        <v>102</v>
      </c>
      <c r="I3369" s="5">
        <v>0</v>
      </c>
      <c r="J3369" s="5">
        <v>0</v>
      </c>
      <c r="K3369" s="5">
        <v>0</v>
      </c>
    </row>
    <row r="3370" spans="1:11" x14ac:dyDescent="0.25">
      <c r="A3370" s="5">
        <f>3363</f>
      </c>
      <c r="B3370" s="5" t="s">
        <v>3378</v>
      </c>
      <c r="C3370" s="5">
        <v>102.5</v>
      </c>
      <c r="D3370" s="5">
        <v>0.1</v>
      </c>
      <c r="E3370" s="5">
        <v>102.7</v>
      </c>
      <c r="F3370" s="5">
        <v>205.5</v>
      </c>
      <c r="G3370" s="5">
        <v>102.5</v>
      </c>
      <c r="H3370" s="5">
        <v>102.3</v>
      </c>
      <c r="I3370" s="5">
        <v>0</v>
      </c>
      <c r="J3370" s="5">
        <v>0</v>
      </c>
      <c r="K3370" s="5">
        <v>0</v>
      </c>
    </row>
    <row r="3371" spans="1:11" x14ac:dyDescent="0.25">
      <c r="A3371" s="5">
        <f>3364</f>
      </c>
      <c r="B3371" s="5" t="s">
        <v>3379</v>
      </c>
      <c r="C3371" s="5">
        <v>102.5</v>
      </c>
      <c r="D3371" s="5">
        <v>0.1</v>
      </c>
      <c r="E3371" s="5">
        <v>102.7</v>
      </c>
      <c r="F3371" s="5">
        <v>205.5</v>
      </c>
      <c r="G3371" s="5">
        <v>102.5</v>
      </c>
      <c r="H3371" s="5">
        <v>102.3</v>
      </c>
      <c r="I3371" s="5">
        <v>0</v>
      </c>
      <c r="J3371" s="5">
        <v>0</v>
      </c>
      <c r="K3371" s="5">
        <v>0</v>
      </c>
    </row>
    <row r="3372" spans="1:11" x14ac:dyDescent="0.25">
      <c r="A3372" s="5">
        <f>3365</f>
      </c>
      <c r="B3372" s="5" t="s">
        <v>3380</v>
      </c>
      <c r="C3372" s="5">
        <v>102.1</v>
      </c>
      <c r="D3372" s="5">
        <v>0.1</v>
      </c>
      <c r="E3372" s="5">
        <v>102.2</v>
      </c>
      <c r="F3372" s="5">
        <v>204.4</v>
      </c>
      <c r="G3372" s="5">
        <v>101.9</v>
      </c>
      <c r="H3372" s="5">
        <v>101.8</v>
      </c>
      <c r="I3372" s="5">
        <v>0</v>
      </c>
      <c r="J3372" s="5">
        <v>0</v>
      </c>
      <c r="K3372" s="5">
        <v>0</v>
      </c>
    </row>
    <row r="3373" spans="1:11" x14ac:dyDescent="0.25">
      <c r="A3373" s="5">
        <f>3366</f>
      </c>
      <c r="B3373" s="5" t="s">
        <v>3381</v>
      </c>
      <c r="C3373" s="5">
        <v>102.1</v>
      </c>
      <c r="D3373" s="5">
        <v>0.1</v>
      </c>
      <c r="E3373" s="5">
        <v>102.2</v>
      </c>
      <c r="F3373" s="5">
        <v>204.4</v>
      </c>
      <c r="G3373" s="5">
        <v>101.9</v>
      </c>
      <c r="H3373" s="5">
        <v>101.8</v>
      </c>
      <c r="I3373" s="5">
        <v>0</v>
      </c>
      <c r="J3373" s="5">
        <v>0</v>
      </c>
      <c r="K3373" s="5">
        <v>0</v>
      </c>
    </row>
    <row r="3374" spans="1:11" x14ac:dyDescent="0.25">
      <c r="A3374" s="5">
        <f>3367</f>
      </c>
      <c r="B3374" s="5" t="s">
        <v>3382</v>
      </c>
      <c r="C3374" s="5">
        <v>102</v>
      </c>
      <c r="D3374" s="5">
        <v>0.1</v>
      </c>
      <c r="E3374" s="5">
        <v>102.1</v>
      </c>
      <c r="F3374" s="5">
        <v>203.4</v>
      </c>
      <c r="G3374" s="5">
        <v>101.5</v>
      </c>
      <c r="H3374" s="5">
        <v>101.3</v>
      </c>
      <c r="I3374" s="5">
        <v>0</v>
      </c>
      <c r="J3374" s="5">
        <v>0</v>
      </c>
      <c r="K3374" s="5">
        <v>0</v>
      </c>
    </row>
    <row r="3375" spans="1:11" x14ac:dyDescent="0.25">
      <c r="A3375" s="5">
        <f>3368</f>
      </c>
      <c r="B3375" s="5" t="s">
        <v>3383</v>
      </c>
      <c r="C3375" s="5">
        <v>102</v>
      </c>
      <c r="D3375" s="5">
        <v>0.1</v>
      </c>
      <c r="E3375" s="5">
        <v>102.1</v>
      </c>
      <c r="F3375" s="5">
        <v>203.4</v>
      </c>
      <c r="G3375" s="5">
        <v>101.5</v>
      </c>
      <c r="H3375" s="5">
        <v>101.3</v>
      </c>
      <c r="I3375" s="5">
        <v>0</v>
      </c>
      <c r="J3375" s="5">
        <v>0</v>
      </c>
      <c r="K3375" s="5">
        <v>0</v>
      </c>
    </row>
    <row r="3376" spans="1:11" x14ac:dyDescent="0.25">
      <c r="A3376" s="5">
        <f>3369</f>
      </c>
      <c r="B3376" s="5" t="s">
        <v>3384</v>
      </c>
      <c r="C3376" s="5">
        <v>102.7</v>
      </c>
      <c r="D3376" s="5">
        <v>0.1</v>
      </c>
      <c r="E3376" s="5">
        <v>102.8</v>
      </c>
      <c r="F3376" s="5">
        <v>204.9</v>
      </c>
      <c r="G3376" s="5">
        <v>102</v>
      </c>
      <c r="H3376" s="5">
        <v>101.9</v>
      </c>
      <c r="I3376" s="5">
        <v>0</v>
      </c>
      <c r="J3376" s="5">
        <v>0</v>
      </c>
      <c r="K3376" s="5">
        <v>0</v>
      </c>
    </row>
    <row r="3377" spans="1:11" x14ac:dyDescent="0.25">
      <c r="A3377" s="5">
        <f>3370</f>
      </c>
      <c r="B3377" s="5" t="s">
        <v>3385</v>
      </c>
      <c r="C3377" s="5">
        <v>102.7</v>
      </c>
      <c r="D3377" s="5">
        <v>0.1</v>
      </c>
      <c r="E3377" s="5">
        <v>102.8</v>
      </c>
      <c r="F3377" s="5">
        <v>204.9</v>
      </c>
      <c r="G3377" s="5">
        <v>102</v>
      </c>
      <c r="H3377" s="5">
        <v>101.9</v>
      </c>
      <c r="I3377" s="5">
        <v>0</v>
      </c>
      <c r="J3377" s="5">
        <v>0</v>
      </c>
      <c r="K3377" s="5">
        <v>0</v>
      </c>
    </row>
    <row r="3378" spans="1:11" x14ac:dyDescent="0.25">
      <c r="A3378" s="5">
        <f>3371</f>
      </c>
      <c r="B3378" s="5" t="s">
        <v>3386</v>
      </c>
      <c r="C3378" s="5">
        <v>102.7</v>
      </c>
      <c r="D3378" s="5">
        <v>0.1</v>
      </c>
      <c r="E3378" s="5">
        <v>102.8</v>
      </c>
      <c r="F3378" s="5">
        <v>204.9</v>
      </c>
      <c r="G3378" s="5">
        <v>102</v>
      </c>
      <c r="H3378" s="5">
        <v>101.9</v>
      </c>
      <c r="I3378" s="5">
        <v>0</v>
      </c>
      <c r="J3378" s="5">
        <v>0</v>
      </c>
      <c r="K3378" s="5">
        <v>0</v>
      </c>
    </row>
    <row r="3379" spans="1:11" x14ac:dyDescent="0.25">
      <c r="A3379" s="5">
        <f>3372</f>
      </c>
      <c r="B3379" s="5" t="s">
        <v>3387</v>
      </c>
      <c r="C3379" s="5">
        <v>102.7</v>
      </c>
      <c r="D3379" s="5">
        <v>0.1</v>
      </c>
      <c r="E3379" s="5">
        <v>102.8</v>
      </c>
      <c r="F3379" s="5">
        <v>204.9</v>
      </c>
      <c r="G3379" s="5">
        <v>102</v>
      </c>
      <c r="H3379" s="5">
        <v>101.9</v>
      </c>
      <c r="I3379" s="5">
        <v>0</v>
      </c>
      <c r="J3379" s="5">
        <v>0</v>
      </c>
      <c r="K3379" s="5">
        <v>0</v>
      </c>
    </row>
    <row r="3380" spans="1:11" x14ac:dyDescent="0.25">
      <c r="A3380" s="5">
        <f>3373</f>
      </c>
      <c r="B3380" s="5" t="s">
        <v>3388</v>
      </c>
      <c r="C3380" s="5">
        <v>103.1</v>
      </c>
      <c r="D3380" s="5">
        <v>0.1</v>
      </c>
      <c r="E3380" s="5">
        <v>103.2</v>
      </c>
      <c r="F3380" s="5">
        <v>206</v>
      </c>
      <c r="G3380" s="5">
        <v>102.8</v>
      </c>
      <c r="H3380" s="5">
        <v>102.6</v>
      </c>
      <c r="I3380" s="5">
        <v>0</v>
      </c>
      <c r="J3380" s="5">
        <v>0</v>
      </c>
      <c r="K3380" s="5">
        <v>0</v>
      </c>
    </row>
    <row r="3381" spans="1:11" x14ac:dyDescent="0.25">
      <c r="A3381" s="5">
        <f>3374</f>
      </c>
      <c r="B3381" s="5" t="s">
        <v>3389</v>
      </c>
      <c r="C3381" s="5">
        <v>103.1</v>
      </c>
      <c r="D3381" s="5">
        <v>0.1</v>
      </c>
      <c r="E3381" s="5">
        <v>103.2</v>
      </c>
      <c r="F3381" s="5">
        <v>206</v>
      </c>
      <c r="G3381" s="5">
        <v>102.8</v>
      </c>
      <c r="H3381" s="5">
        <v>102.6</v>
      </c>
      <c r="I3381" s="5">
        <v>0</v>
      </c>
      <c r="J3381" s="5">
        <v>0</v>
      </c>
      <c r="K3381" s="5">
        <v>0</v>
      </c>
    </row>
    <row r="3382" spans="1:11" x14ac:dyDescent="0.25">
      <c r="A3382" s="5">
        <f>3375</f>
      </c>
      <c r="B3382" s="5" t="s">
        <v>3390</v>
      </c>
      <c r="C3382" s="5">
        <v>103</v>
      </c>
      <c r="D3382" s="5">
        <v>0.1</v>
      </c>
      <c r="E3382" s="5">
        <v>103.1</v>
      </c>
      <c r="F3382" s="5">
        <v>206.2</v>
      </c>
      <c r="G3382" s="5">
        <v>102.7</v>
      </c>
      <c r="H3382" s="5">
        <v>102.2</v>
      </c>
      <c r="I3382" s="5">
        <v>0</v>
      </c>
      <c r="J3382" s="5">
        <v>0</v>
      </c>
      <c r="K3382" s="5">
        <v>0</v>
      </c>
    </row>
    <row r="3383" spans="1:11" x14ac:dyDescent="0.25">
      <c r="A3383" s="5">
        <f>3376</f>
      </c>
      <c r="B3383" s="5" t="s">
        <v>3391</v>
      </c>
      <c r="C3383" s="5">
        <v>103</v>
      </c>
      <c r="D3383" s="5">
        <v>0.1</v>
      </c>
      <c r="E3383" s="5">
        <v>103.1</v>
      </c>
      <c r="F3383" s="5">
        <v>206.2</v>
      </c>
      <c r="G3383" s="5">
        <v>102.7</v>
      </c>
      <c r="H3383" s="5">
        <v>102.2</v>
      </c>
      <c r="I3383" s="5">
        <v>0</v>
      </c>
      <c r="J3383" s="5">
        <v>0</v>
      </c>
      <c r="K3383" s="5">
        <v>0</v>
      </c>
    </row>
    <row r="3384" spans="1:11" x14ac:dyDescent="0.25">
      <c r="A3384" s="5">
        <f>3377</f>
      </c>
      <c r="B3384" s="5" t="s">
        <v>3392</v>
      </c>
      <c r="C3384" s="5">
        <v>103.8</v>
      </c>
      <c r="D3384" s="5">
        <v>0.1</v>
      </c>
      <c r="E3384" s="5">
        <v>104</v>
      </c>
      <c r="F3384" s="5">
        <v>206.7</v>
      </c>
      <c r="G3384" s="5">
        <v>103.1</v>
      </c>
      <c r="H3384" s="5">
        <v>103.1</v>
      </c>
      <c r="I3384" s="5">
        <v>0</v>
      </c>
      <c r="J3384" s="5">
        <v>0</v>
      </c>
      <c r="K3384" s="5">
        <v>0</v>
      </c>
    </row>
    <row r="3385" spans="1:11" x14ac:dyDescent="0.25">
      <c r="A3385" s="5">
        <f>3378</f>
      </c>
      <c r="B3385" s="5" t="s">
        <v>3393</v>
      </c>
      <c r="C3385" s="5">
        <v>103.8</v>
      </c>
      <c r="D3385" s="5">
        <v>0.1</v>
      </c>
      <c r="E3385" s="5">
        <v>104</v>
      </c>
      <c r="F3385" s="5">
        <v>206.7</v>
      </c>
      <c r="G3385" s="5">
        <v>103.1</v>
      </c>
      <c r="H3385" s="5">
        <v>103.1</v>
      </c>
      <c r="I3385" s="5">
        <v>0</v>
      </c>
      <c r="J3385" s="5">
        <v>0</v>
      </c>
      <c r="K3385" s="5">
        <v>0</v>
      </c>
    </row>
    <row r="3386" spans="1:11" x14ac:dyDescent="0.25">
      <c r="A3386" s="5">
        <f>3379</f>
      </c>
      <c r="B3386" s="5" t="s">
        <v>3394</v>
      </c>
      <c r="C3386" s="5">
        <v>102.7</v>
      </c>
      <c r="D3386" s="5">
        <v>0.1</v>
      </c>
      <c r="E3386" s="5">
        <v>102.8</v>
      </c>
      <c r="F3386" s="5">
        <v>206</v>
      </c>
      <c r="G3386" s="5">
        <v>102.8</v>
      </c>
      <c r="H3386" s="5">
        <v>102.7</v>
      </c>
      <c r="I3386" s="5">
        <v>0</v>
      </c>
      <c r="J3386" s="5">
        <v>0</v>
      </c>
      <c r="K3386" s="5">
        <v>0</v>
      </c>
    </row>
    <row r="3387" spans="1:11" x14ac:dyDescent="0.25">
      <c r="A3387" s="5">
        <f>3380</f>
      </c>
      <c r="B3387" s="5" t="s">
        <v>3395</v>
      </c>
      <c r="C3387" s="5">
        <v>102.7</v>
      </c>
      <c r="D3387" s="5">
        <v>0.1</v>
      </c>
      <c r="E3387" s="5">
        <v>102.8</v>
      </c>
      <c r="F3387" s="5">
        <v>206</v>
      </c>
      <c r="G3387" s="5">
        <v>102.8</v>
      </c>
      <c r="H3387" s="5">
        <v>102.7</v>
      </c>
      <c r="I3387" s="5">
        <v>0</v>
      </c>
      <c r="J3387" s="5">
        <v>0</v>
      </c>
      <c r="K3387" s="5">
        <v>0</v>
      </c>
    </row>
    <row r="3388" spans="1:11" x14ac:dyDescent="0.25">
      <c r="A3388" s="5">
        <f>3381</f>
      </c>
      <c r="B3388" s="5" t="s">
        <v>3396</v>
      </c>
      <c r="C3388" s="5">
        <v>102.7</v>
      </c>
      <c r="D3388" s="5">
        <v>0.1</v>
      </c>
      <c r="E3388" s="5">
        <v>102.8</v>
      </c>
      <c r="F3388" s="5">
        <v>206</v>
      </c>
      <c r="G3388" s="5">
        <v>102.8</v>
      </c>
      <c r="H3388" s="5">
        <v>102.7</v>
      </c>
      <c r="I3388" s="5">
        <v>0</v>
      </c>
      <c r="J3388" s="5">
        <v>0</v>
      </c>
      <c r="K3388" s="5">
        <v>0</v>
      </c>
    </row>
    <row r="3389" spans="1:11" x14ac:dyDescent="0.25">
      <c r="A3389" s="5">
        <f>3382</f>
      </c>
      <c r="B3389" s="5" t="s">
        <v>3397</v>
      </c>
      <c r="C3389" s="5">
        <v>103.3</v>
      </c>
      <c r="D3389" s="5">
        <v>0.1</v>
      </c>
      <c r="E3389" s="5">
        <v>103.4</v>
      </c>
      <c r="F3389" s="5">
        <v>207.4</v>
      </c>
      <c r="G3389" s="5">
        <v>103.4</v>
      </c>
      <c r="H3389" s="5">
        <v>103.3</v>
      </c>
      <c r="I3389" s="5">
        <v>0</v>
      </c>
      <c r="J3389" s="5">
        <v>0</v>
      </c>
      <c r="K3389" s="5">
        <v>0</v>
      </c>
    </row>
    <row r="3390" spans="1:11" x14ac:dyDescent="0.25">
      <c r="A3390" s="5">
        <f>3383</f>
      </c>
      <c r="B3390" s="5" t="s">
        <v>3398</v>
      </c>
      <c r="C3390" s="5">
        <v>103.3</v>
      </c>
      <c r="D3390" s="5">
        <v>0.1</v>
      </c>
      <c r="E3390" s="5">
        <v>103.4</v>
      </c>
      <c r="F3390" s="5">
        <v>207.4</v>
      </c>
      <c r="G3390" s="5">
        <v>103.4</v>
      </c>
      <c r="H3390" s="5">
        <v>103.3</v>
      </c>
      <c r="I3390" s="5">
        <v>0</v>
      </c>
      <c r="J3390" s="5">
        <v>0</v>
      </c>
      <c r="K3390" s="5">
        <v>0</v>
      </c>
    </row>
    <row r="3391" spans="1:11" x14ac:dyDescent="0.25">
      <c r="A3391" s="5">
        <f>3384</f>
      </c>
      <c r="B3391" s="5" t="s">
        <v>3399</v>
      </c>
      <c r="C3391" s="5">
        <v>103.4</v>
      </c>
      <c r="D3391" s="5">
        <v>0.1</v>
      </c>
      <c r="E3391" s="5">
        <v>103.5</v>
      </c>
      <c r="F3391" s="5">
        <v>200.8</v>
      </c>
      <c r="G3391" s="5">
        <v>100.3</v>
      </c>
      <c r="H3391" s="5">
        <v>100.3</v>
      </c>
      <c r="I3391" s="5">
        <v>0</v>
      </c>
      <c r="J3391" s="5">
        <v>0</v>
      </c>
      <c r="K3391" s="5">
        <v>0</v>
      </c>
    </row>
    <row r="3392" spans="1:11" x14ac:dyDescent="0.25">
      <c r="A3392" s="5">
        <f>3385</f>
      </c>
      <c r="B3392" s="5" t="s">
        <v>3400</v>
      </c>
      <c r="C3392" s="5">
        <v>103.4</v>
      </c>
      <c r="D3392" s="5">
        <v>0.1</v>
      </c>
      <c r="E3392" s="5">
        <v>103.5</v>
      </c>
      <c r="F3392" s="5">
        <v>200.8</v>
      </c>
      <c r="G3392" s="5">
        <v>100.3</v>
      </c>
      <c r="H3392" s="5">
        <v>100.3</v>
      </c>
      <c r="I3392" s="5">
        <v>0</v>
      </c>
      <c r="J3392" s="5">
        <v>0</v>
      </c>
      <c r="K3392" s="5">
        <v>0</v>
      </c>
    </row>
    <row r="3393" spans="1:11" x14ac:dyDescent="0.25">
      <c r="A3393" s="5">
        <f>3386</f>
      </c>
      <c r="B3393" s="5" t="s">
        <v>3401</v>
      </c>
      <c r="C3393" s="5">
        <v>103.4</v>
      </c>
      <c r="D3393" s="5">
        <v>0.1</v>
      </c>
      <c r="E3393" s="5">
        <v>103.1</v>
      </c>
      <c r="F3393" s="5">
        <v>205.8</v>
      </c>
      <c r="G3393" s="5">
        <v>102.8</v>
      </c>
      <c r="H3393" s="5">
        <v>102.6</v>
      </c>
      <c r="I3393" s="5">
        <v>0</v>
      </c>
      <c r="J3393" s="5">
        <v>0</v>
      </c>
      <c r="K3393" s="5">
        <v>0</v>
      </c>
    </row>
    <row r="3394" spans="1:11" x14ac:dyDescent="0.25">
      <c r="A3394" s="5">
        <f>3387</f>
      </c>
      <c r="B3394" s="5" t="s">
        <v>3402</v>
      </c>
      <c r="C3394" s="5">
        <v>103</v>
      </c>
      <c r="D3394" s="5">
        <v>0.1</v>
      </c>
      <c r="E3394" s="5">
        <v>103.1</v>
      </c>
      <c r="F3394" s="5">
        <v>205.8</v>
      </c>
      <c r="G3394" s="5">
        <v>102.8</v>
      </c>
      <c r="H3394" s="5">
        <v>102.6</v>
      </c>
      <c r="I3394" s="5">
        <v>0</v>
      </c>
      <c r="J3394" s="5">
        <v>0</v>
      </c>
      <c r="K3394" s="5">
        <v>0</v>
      </c>
    </row>
    <row r="3395" spans="1:11" x14ac:dyDescent="0.25">
      <c r="A3395" s="5">
        <f>3388</f>
      </c>
      <c r="B3395" s="5" t="s">
        <v>3403</v>
      </c>
      <c r="C3395" s="5">
        <v>103</v>
      </c>
      <c r="D3395" s="5">
        <v>0.1</v>
      </c>
      <c r="E3395" s="5">
        <v>103.1</v>
      </c>
      <c r="F3395" s="5">
        <v>197.1</v>
      </c>
      <c r="G3395" s="5">
        <v>98.3</v>
      </c>
      <c r="H3395" s="5">
        <v>99</v>
      </c>
      <c r="I3395" s="5">
        <v>0</v>
      </c>
      <c r="J3395" s="5">
        <v>0</v>
      </c>
      <c r="K3395" s="5">
        <v>0</v>
      </c>
    </row>
    <row r="3396" spans="1:11" x14ac:dyDescent="0.25">
      <c r="A3396" s="5">
        <f>3389</f>
      </c>
      <c r="B3396" s="5" t="s">
        <v>3404</v>
      </c>
      <c r="C3396" s="5">
        <v>98.2</v>
      </c>
      <c r="D3396" s="5">
        <v>0.1</v>
      </c>
      <c r="E3396" s="5">
        <v>98.3</v>
      </c>
      <c r="F3396" s="5">
        <v>197.1</v>
      </c>
      <c r="G3396" s="5">
        <v>98.3</v>
      </c>
      <c r="H3396" s="5">
        <v>99</v>
      </c>
      <c r="I3396" s="5">
        <v>0</v>
      </c>
      <c r="J3396" s="5">
        <v>0</v>
      </c>
      <c r="K3396" s="5">
        <v>0</v>
      </c>
    </row>
    <row r="3397" spans="1:11" x14ac:dyDescent="0.25">
      <c r="A3397" s="5">
        <f>3390</f>
      </c>
      <c r="B3397" s="5" t="s">
        <v>3405</v>
      </c>
      <c r="C3397" s="5">
        <v>98.2</v>
      </c>
      <c r="D3397" s="5">
        <v>0.1</v>
      </c>
      <c r="E3397" s="5">
        <v>98.3</v>
      </c>
      <c r="F3397" s="5">
        <v>197.1</v>
      </c>
      <c r="G3397" s="5">
        <v>98.3</v>
      </c>
      <c r="H3397" s="5">
        <v>99</v>
      </c>
      <c r="I3397" s="5">
        <v>0</v>
      </c>
      <c r="J3397" s="5">
        <v>0</v>
      </c>
      <c r="K3397" s="5">
        <v>0</v>
      </c>
    </row>
    <row r="3398" spans="1:11" x14ac:dyDescent="0.25">
      <c r="A3398" s="5">
        <f>3391</f>
      </c>
      <c r="B3398" s="5" t="s">
        <v>3406</v>
      </c>
      <c r="C3398" s="5">
        <v>98.2</v>
      </c>
      <c r="D3398" s="5">
        <v>0.1</v>
      </c>
      <c r="E3398" s="5">
        <v>98.3</v>
      </c>
      <c r="F3398" s="5">
        <v>197.1</v>
      </c>
      <c r="G3398" s="5">
        <v>98.3</v>
      </c>
      <c r="H3398" s="5">
        <v>99</v>
      </c>
      <c r="I3398" s="5">
        <v>0</v>
      </c>
      <c r="J3398" s="5">
        <v>0</v>
      </c>
      <c r="K3398" s="5">
        <v>0</v>
      </c>
    </row>
    <row r="3399" spans="1:11" x14ac:dyDescent="0.25">
      <c r="A3399" s="5">
        <f>3392</f>
      </c>
      <c r="B3399" s="5" t="s">
        <v>3407</v>
      </c>
      <c r="C3399" s="5">
        <v>103.4</v>
      </c>
      <c r="D3399" s="5">
        <v>0.1</v>
      </c>
      <c r="E3399" s="5">
        <v>103.6</v>
      </c>
      <c r="F3399" s="5">
        <v>201.9</v>
      </c>
      <c r="G3399" s="5">
        <v>98.4</v>
      </c>
      <c r="H3399" s="5">
        <v>98</v>
      </c>
      <c r="I3399" s="5">
        <v>0</v>
      </c>
      <c r="J3399" s="5">
        <v>0</v>
      </c>
      <c r="K3399" s="5">
        <v>0</v>
      </c>
    </row>
    <row r="3400" spans="1:11" x14ac:dyDescent="0.25">
      <c r="A3400" s="5">
        <f>3393</f>
      </c>
      <c r="B3400" s="5" t="s">
        <v>3408</v>
      </c>
      <c r="C3400" s="5">
        <v>103.4</v>
      </c>
      <c r="D3400" s="5">
        <v>0.1</v>
      </c>
      <c r="E3400" s="5">
        <v>103.6</v>
      </c>
      <c r="F3400" s="5">
        <v>201.9</v>
      </c>
      <c r="G3400" s="5">
        <v>98.4</v>
      </c>
      <c r="H3400" s="5">
        <v>98</v>
      </c>
      <c r="I3400" s="5">
        <v>0</v>
      </c>
      <c r="J3400" s="5">
        <v>0</v>
      </c>
      <c r="K3400" s="5">
        <v>0</v>
      </c>
    </row>
    <row r="3401" spans="1:11" x14ac:dyDescent="0.25">
      <c r="A3401" s="5">
        <f>3394</f>
      </c>
      <c r="B3401" s="5" t="s">
        <v>3409</v>
      </c>
      <c r="C3401" s="5">
        <v>97.5</v>
      </c>
      <c r="D3401" s="5">
        <v>0.1</v>
      </c>
      <c r="E3401" s="5">
        <v>97.6</v>
      </c>
      <c r="F3401" s="5">
        <v>200</v>
      </c>
      <c r="G3401" s="5">
        <v>101.5</v>
      </c>
      <c r="H3401" s="5">
        <v>101.4</v>
      </c>
      <c r="I3401" s="5">
        <v>0</v>
      </c>
      <c r="J3401" s="5">
        <v>0</v>
      </c>
      <c r="K3401" s="5">
        <v>0</v>
      </c>
    </row>
    <row r="3402" spans="1:11" x14ac:dyDescent="0.25">
      <c r="A3402" s="5">
        <f>3395</f>
      </c>
      <c r="B3402" s="5" t="s">
        <v>3410</v>
      </c>
      <c r="C3402" s="5">
        <v>97.5</v>
      </c>
      <c r="D3402" s="5">
        <v>0.1</v>
      </c>
      <c r="E3402" s="5">
        <v>97.6</v>
      </c>
      <c r="F3402" s="5">
        <v>200</v>
      </c>
      <c r="G3402" s="5">
        <v>101.5</v>
      </c>
      <c r="H3402" s="5">
        <v>101.4</v>
      </c>
      <c r="I3402" s="5">
        <v>0</v>
      </c>
      <c r="J3402" s="5">
        <v>0</v>
      </c>
      <c r="K3402" s="5">
        <v>0</v>
      </c>
    </row>
    <row r="3403" spans="1:11" x14ac:dyDescent="0.25">
      <c r="A3403" s="5">
        <f>3396</f>
      </c>
      <c r="B3403" s="5" t="s">
        <v>3411</v>
      </c>
      <c r="C3403" s="5">
        <v>96.7</v>
      </c>
      <c r="D3403" s="5">
        <v>0</v>
      </c>
      <c r="E3403" s="5">
        <v>96.9</v>
      </c>
      <c r="F3403" s="5">
        <v>193.5</v>
      </c>
      <c r="G3403" s="5">
        <v>96.5</v>
      </c>
      <c r="H3403" s="5">
        <v>96.4</v>
      </c>
      <c r="I3403" s="5">
        <v>0</v>
      </c>
      <c r="J3403" s="5">
        <v>0</v>
      </c>
      <c r="K3403" s="5">
        <v>0</v>
      </c>
    </row>
    <row r="3404" spans="1:11" x14ac:dyDescent="0.25">
      <c r="A3404" s="5">
        <f>3397</f>
      </c>
      <c r="B3404" s="5" t="s">
        <v>3412</v>
      </c>
      <c r="C3404" s="5">
        <v>96.7</v>
      </c>
      <c r="D3404" s="5">
        <v>0</v>
      </c>
      <c r="E3404" s="5">
        <v>96.9</v>
      </c>
      <c r="F3404" s="5">
        <v>193.5</v>
      </c>
      <c r="G3404" s="5">
        <v>96.5</v>
      </c>
      <c r="H3404" s="5">
        <v>96.4</v>
      </c>
      <c r="I3404" s="5">
        <v>0</v>
      </c>
      <c r="J3404" s="5">
        <v>0</v>
      </c>
      <c r="K3404" s="5">
        <v>0</v>
      </c>
    </row>
    <row r="3405" spans="1:11" x14ac:dyDescent="0.25">
      <c r="A3405" s="5">
        <f>3398</f>
      </c>
      <c r="B3405" s="5" t="s">
        <v>3413</v>
      </c>
      <c r="C3405" s="5">
        <v>103.7</v>
      </c>
      <c r="D3405" s="5">
        <v>0.1</v>
      </c>
      <c r="E3405" s="5">
        <v>103.9</v>
      </c>
      <c r="F3405" s="5">
        <v>205.6</v>
      </c>
      <c r="G3405" s="5">
        <v>102.8</v>
      </c>
      <c r="H3405" s="5">
        <v>102.8</v>
      </c>
      <c r="I3405" s="5">
        <v>0</v>
      </c>
      <c r="J3405" s="5">
        <v>0</v>
      </c>
      <c r="K3405" s="5">
        <v>0</v>
      </c>
    </row>
    <row r="3406" spans="1:11" x14ac:dyDescent="0.25">
      <c r="A3406" s="5">
        <f>3399</f>
      </c>
      <c r="B3406" s="5" t="s">
        <v>3414</v>
      </c>
      <c r="C3406" s="5">
        <v>103.7</v>
      </c>
      <c r="D3406" s="5">
        <v>0.1</v>
      </c>
      <c r="E3406" s="5">
        <v>103.9</v>
      </c>
      <c r="F3406" s="5">
        <v>205.6</v>
      </c>
      <c r="G3406" s="5">
        <v>102.8</v>
      </c>
      <c r="H3406" s="5">
        <v>102.8</v>
      </c>
      <c r="I3406" s="5">
        <v>0</v>
      </c>
      <c r="J3406" s="5">
        <v>0</v>
      </c>
      <c r="K3406" s="5">
        <v>0</v>
      </c>
    </row>
    <row r="3407" spans="1:11" x14ac:dyDescent="0.25">
      <c r="A3407" s="5">
        <f>3400</f>
      </c>
      <c r="B3407" s="5" t="s">
        <v>3415</v>
      </c>
      <c r="C3407" s="5">
        <v>103.7</v>
      </c>
      <c r="D3407" s="5">
        <v>0.1</v>
      </c>
      <c r="E3407" s="5">
        <v>103.9</v>
      </c>
      <c r="F3407" s="5">
        <v>205.6</v>
      </c>
      <c r="G3407" s="5">
        <v>102.8</v>
      </c>
      <c r="H3407" s="5">
        <v>102.8</v>
      </c>
      <c r="I3407" s="5">
        <v>0</v>
      </c>
      <c r="J3407" s="5">
        <v>0</v>
      </c>
      <c r="K3407" s="5">
        <v>0</v>
      </c>
    </row>
    <row r="3408" spans="1:11" x14ac:dyDescent="0.25">
      <c r="A3408" s="5">
        <f>3401</f>
      </c>
      <c r="B3408" s="5" t="s">
        <v>3416</v>
      </c>
      <c r="C3408" s="5">
        <v>103.7</v>
      </c>
      <c r="D3408" s="5">
        <v>0.1</v>
      </c>
      <c r="E3408" s="5">
        <v>103.9</v>
      </c>
      <c r="F3408" s="5">
        <v>205.6</v>
      </c>
      <c r="G3408" s="5">
        <v>102.8</v>
      </c>
      <c r="H3408" s="5">
        <v>102.8</v>
      </c>
      <c r="I3408" s="5">
        <v>0</v>
      </c>
      <c r="J3408" s="5">
        <v>0</v>
      </c>
      <c r="K3408" s="5">
        <v>0</v>
      </c>
    </row>
    <row r="3409" spans="1:11" x14ac:dyDescent="0.25">
      <c r="A3409" s="5">
        <f>3402</f>
      </c>
      <c r="B3409" s="5" t="s">
        <v>3417</v>
      </c>
      <c r="C3409" s="5">
        <v>102.9</v>
      </c>
      <c r="D3409" s="5">
        <v>0.1</v>
      </c>
      <c r="E3409" s="5">
        <v>103</v>
      </c>
      <c r="F3409" s="5">
        <v>206.3</v>
      </c>
      <c r="G3409" s="5">
        <v>102.9</v>
      </c>
      <c r="H3409" s="5">
        <v>102.7</v>
      </c>
      <c r="I3409" s="5">
        <v>0</v>
      </c>
      <c r="J3409" s="5">
        <v>0</v>
      </c>
      <c r="K3409" s="5">
        <v>0</v>
      </c>
    </row>
    <row r="3410" spans="1:11" x14ac:dyDescent="0.25">
      <c r="A3410" s="5">
        <f>3403</f>
      </c>
      <c r="B3410" s="5" t="s">
        <v>3418</v>
      </c>
      <c r="C3410" s="5">
        <v>102.9</v>
      </c>
      <c r="D3410" s="5">
        <v>0.1</v>
      </c>
      <c r="E3410" s="5">
        <v>103</v>
      </c>
      <c r="F3410" s="5">
        <v>206.3</v>
      </c>
      <c r="G3410" s="5">
        <v>102.9</v>
      </c>
      <c r="H3410" s="5">
        <v>102.7</v>
      </c>
      <c r="I3410" s="5">
        <v>0</v>
      </c>
      <c r="J3410" s="5">
        <v>0</v>
      </c>
      <c r="K3410" s="5">
        <v>0</v>
      </c>
    </row>
    <row r="3411" spans="1:11" x14ac:dyDescent="0.25">
      <c r="A3411" s="5">
        <f>3404</f>
      </c>
      <c r="B3411" s="5" t="s">
        <v>3419</v>
      </c>
      <c r="C3411" s="5">
        <v>103.4</v>
      </c>
      <c r="D3411" s="5">
        <v>0.1</v>
      </c>
      <c r="E3411" s="5">
        <v>103.5</v>
      </c>
      <c r="F3411" s="5">
        <v>207.2</v>
      </c>
      <c r="G3411" s="5">
        <v>103.3</v>
      </c>
      <c r="H3411" s="5">
        <v>103.2</v>
      </c>
      <c r="I3411" s="5">
        <v>0</v>
      </c>
      <c r="J3411" s="5">
        <v>0</v>
      </c>
      <c r="K3411" s="5">
        <v>0</v>
      </c>
    </row>
    <row r="3412" spans="1:11" x14ac:dyDescent="0.25">
      <c r="A3412" s="5">
        <f>3405</f>
      </c>
      <c r="B3412" s="5" t="s">
        <v>3420</v>
      </c>
      <c r="C3412" s="5">
        <v>103.4</v>
      </c>
      <c r="D3412" s="5">
        <v>0.1</v>
      </c>
      <c r="E3412" s="5">
        <v>103.5</v>
      </c>
      <c r="F3412" s="5">
        <v>207.2</v>
      </c>
      <c r="G3412" s="5">
        <v>103.3</v>
      </c>
      <c r="H3412" s="5">
        <v>103.2</v>
      </c>
      <c r="I3412" s="5">
        <v>0</v>
      </c>
      <c r="J3412" s="5">
        <v>0</v>
      </c>
      <c r="K3412" s="5">
        <v>0</v>
      </c>
    </row>
    <row r="3413" spans="1:11" x14ac:dyDescent="0.25">
      <c r="A3413" s="5">
        <f>3406</f>
      </c>
      <c r="B3413" s="5" t="s">
        <v>3421</v>
      </c>
      <c r="C3413" s="5">
        <v>103.1</v>
      </c>
      <c r="D3413" s="5">
        <v>0.1</v>
      </c>
      <c r="E3413" s="5">
        <v>103.3</v>
      </c>
      <c r="F3413" s="5">
        <v>207.2</v>
      </c>
      <c r="G3413" s="5">
        <v>103.4</v>
      </c>
      <c r="H3413" s="5">
        <v>103.3</v>
      </c>
      <c r="I3413" s="5">
        <v>0</v>
      </c>
      <c r="J3413" s="5">
        <v>0</v>
      </c>
      <c r="K3413" s="5">
        <v>0</v>
      </c>
    </row>
    <row r="3414" spans="1:11" x14ac:dyDescent="0.25">
      <c r="A3414" s="5">
        <f>3407</f>
      </c>
      <c r="B3414" s="5" t="s">
        <v>3422</v>
      </c>
      <c r="C3414" s="5">
        <v>103.1</v>
      </c>
      <c r="D3414" s="5">
        <v>0.1</v>
      </c>
      <c r="E3414" s="5">
        <v>103.3</v>
      </c>
      <c r="F3414" s="5">
        <v>207.2</v>
      </c>
      <c r="G3414" s="5">
        <v>103.4</v>
      </c>
      <c r="H3414" s="5">
        <v>103.3</v>
      </c>
      <c r="I3414" s="5">
        <v>0</v>
      </c>
      <c r="J3414" s="5">
        <v>0</v>
      </c>
      <c r="K3414" s="5">
        <v>0</v>
      </c>
    </row>
    <row r="3415" spans="1:11" x14ac:dyDescent="0.25">
      <c r="A3415" s="5">
        <f>3408</f>
      </c>
      <c r="B3415" s="5" t="s">
        <v>3423</v>
      </c>
      <c r="C3415" s="5">
        <v>104.2</v>
      </c>
      <c r="D3415" s="5">
        <v>0.1</v>
      </c>
      <c r="E3415" s="5">
        <v>104.3</v>
      </c>
      <c r="F3415" s="5">
        <v>208</v>
      </c>
      <c r="G3415" s="5">
        <v>103.7</v>
      </c>
      <c r="H3415" s="5">
        <v>103.5</v>
      </c>
      <c r="I3415" s="5">
        <v>0</v>
      </c>
      <c r="J3415" s="5">
        <v>0</v>
      </c>
      <c r="K3415" s="5">
        <v>0</v>
      </c>
    </row>
    <row r="3416" spans="1:11" x14ac:dyDescent="0.25">
      <c r="A3416" s="5">
        <f>3409</f>
      </c>
      <c r="B3416" s="5" t="s">
        <v>3424</v>
      </c>
      <c r="C3416" s="5">
        <v>104.2</v>
      </c>
      <c r="D3416" s="5">
        <v>0.1</v>
      </c>
      <c r="E3416" s="5">
        <v>104.3</v>
      </c>
      <c r="F3416" s="5">
        <v>208</v>
      </c>
      <c r="G3416" s="5">
        <v>103.7</v>
      </c>
      <c r="H3416" s="5">
        <v>103.5</v>
      </c>
      <c r="I3416" s="5">
        <v>0</v>
      </c>
      <c r="J3416" s="5">
        <v>0</v>
      </c>
      <c r="K3416" s="5">
        <v>0</v>
      </c>
    </row>
    <row r="3417" spans="1:11" x14ac:dyDescent="0.25">
      <c r="A3417" s="5">
        <f>3410</f>
      </c>
      <c r="B3417" s="5" t="s">
        <v>3425</v>
      </c>
      <c r="C3417" s="5">
        <v>104.2</v>
      </c>
      <c r="D3417" s="5">
        <v>0.1</v>
      </c>
      <c r="E3417" s="5">
        <v>104.3</v>
      </c>
      <c r="F3417" s="5">
        <v>208</v>
      </c>
      <c r="G3417" s="5">
        <v>103.7</v>
      </c>
      <c r="H3417" s="5">
        <v>103.5</v>
      </c>
      <c r="I3417" s="5">
        <v>0</v>
      </c>
      <c r="J3417" s="5">
        <v>0</v>
      </c>
      <c r="K3417" s="5">
        <v>0</v>
      </c>
    </row>
    <row r="3418" spans="1:11" x14ac:dyDescent="0.25">
      <c r="A3418" s="5">
        <f>3411</f>
      </c>
      <c r="B3418" s="5" t="s">
        <v>3426</v>
      </c>
      <c r="C3418" s="5">
        <v>104.2</v>
      </c>
      <c r="D3418" s="5">
        <v>0.1</v>
      </c>
      <c r="E3418" s="5">
        <v>104.3</v>
      </c>
      <c r="F3418" s="5">
        <v>208</v>
      </c>
      <c r="G3418" s="5">
        <v>103.7</v>
      </c>
      <c r="H3418" s="5">
        <v>103.5</v>
      </c>
      <c r="I3418" s="5">
        <v>0</v>
      </c>
      <c r="J3418" s="5">
        <v>0</v>
      </c>
      <c r="K3418" s="5">
        <v>0</v>
      </c>
    </row>
    <row r="3419" spans="1:11" x14ac:dyDescent="0.25">
      <c r="A3419" s="5">
        <f>3412</f>
      </c>
      <c r="B3419" s="5" t="s">
        <v>3427</v>
      </c>
      <c r="C3419" s="5">
        <v>104.5</v>
      </c>
      <c r="D3419" s="5">
        <v>0.1</v>
      </c>
      <c r="E3419" s="5">
        <v>104.6</v>
      </c>
      <c r="F3419" s="5">
        <v>209.5</v>
      </c>
      <c r="G3419" s="5">
        <v>104.5</v>
      </c>
      <c r="H3419" s="5">
        <v>104.3</v>
      </c>
      <c r="I3419" s="5">
        <v>0</v>
      </c>
      <c r="J3419" s="5">
        <v>0</v>
      </c>
      <c r="K3419" s="5">
        <v>0</v>
      </c>
    </row>
    <row r="3420" spans="1:11" x14ac:dyDescent="0.25">
      <c r="A3420" s="5">
        <f>3413</f>
      </c>
      <c r="B3420" s="5" t="s">
        <v>3428</v>
      </c>
      <c r="C3420" s="5">
        <v>104.5</v>
      </c>
      <c r="D3420" s="5">
        <v>0.1</v>
      </c>
      <c r="E3420" s="5">
        <v>104.6</v>
      </c>
      <c r="F3420" s="5">
        <v>209.5</v>
      </c>
      <c r="G3420" s="5">
        <v>104.5</v>
      </c>
      <c r="H3420" s="5">
        <v>104.3</v>
      </c>
      <c r="I3420" s="5">
        <v>0</v>
      </c>
      <c r="J3420" s="5">
        <v>0</v>
      </c>
      <c r="K3420" s="5">
        <v>0</v>
      </c>
    </row>
    <row r="3421" spans="1:11" x14ac:dyDescent="0.25">
      <c r="A3421" s="5">
        <f>3414</f>
      </c>
      <c r="B3421" s="5" t="s">
        <v>3429</v>
      </c>
      <c r="C3421" s="5">
        <v>104</v>
      </c>
      <c r="D3421" s="5">
        <v>0.1</v>
      </c>
      <c r="E3421" s="5">
        <v>104.2</v>
      </c>
      <c r="F3421" s="5">
        <v>207.9</v>
      </c>
      <c r="G3421" s="5">
        <v>103.7</v>
      </c>
      <c r="H3421" s="5">
        <v>103.5</v>
      </c>
      <c r="I3421" s="5">
        <v>0</v>
      </c>
      <c r="J3421" s="5">
        <v>0</v>
      </c>
      <c r="K3421" s="5">
        <v>0</v>
      </c>
    </row>
    <row r="3422" spans="1:11" x14ac:dyDescent="0.25">
      <c r="A3422" s="5">
        <f>3415</f>
      </c>
      <c r="B3422" s="5" t="s">
        <v>3430</v>
      </c>
      <c r="C3422" s="5">
        <v>104</v>
      </c>
      <c r="D3422" s="5">
        <v>0.1</v>
      </c>
      <c r="E3422" s="5">
        <v>104.2</v>
      </c>
      <c r="F3422" s="5">
        <v>207.9</v>
      </c>
      <c r="G3422" s="5">
        <v>103.7</v>
      </c>
      <c r="H3422" s="5">
        <v>103.5</v>
      </c>
      <c r="I3422" s="5">
        <v>0</v>
      </c>
      <c r="J3422" s="5">
        <v>0</v>
      </c>
      <c r="K3422" s="5">
        <v>0</v>
      </c>
    </row>
    <row r="3423" spans="1:11" x14ac:dyDescent="0.25">
      <c r="A3423" s="5">
        <f>3416</f>
      </c>
      <c r="B3423" s="5" t="s">
        <v>3431</v>
      </c>
      <c r="C3423" s="5">
        <v>104</v>
      </c>
      <c r="D3423" s="5">
        <v>0.1</v>
      </c>
      <c r="E3423" s="5">
        <v>104.3</v>
      </c>
      <c r="F3423" s="5">
        <v>207.7</v>
      </c>
      <c r="G3423" s="5">
        <v>103.6</v>
      </c>
      <c r="H3423" s="5">
        <v>103.5</v>
      </c>
      <c r="I3423" s="5">
        <v>0</v>
      </c>
      <c r="J3423" s="5">
        <v>0</v>
      </c>
      <c r="K3423" s="5">
        <v>0</v>
      </c>
    </row>
    <row r="3424" spans="1:11" x14ac:dyDescent="0.25">
      <c r="A3424" s="5">
        <f>3417</f>
      </c>
      <c r="B3424" s="5" t="s">
        <v>3432</v>
      </c>
      <c r="C3424" s="5">
        <v>104.1</v>
      </c>
      <c r="D3424" s="5">
        <v>0.1</v>
      </c>
      <c r="E3424" s="5">
        <v>104.3</v>
      </c>
      <c r="F3424" s="5">
        <v>207.7</v>
      </c>
      <c r="G3424" s="5">
        <v>103.6</v>
      </c>
      <c r="H3424" s="5">
        <v>103.5</v>
      </c>
      <c r="I3424" s="5">
        <v>0</v>
      </c>
      <c r="J3424" s="5">
        <v>0</v>
      </c>
      <c r="K3424" s="5">
        <v>0</v>
      </c>
    </row>
    <row r="3425" spans="1:11" x14ac:dyDescent="0.25">
      <c r="A3425" s="5">
        <f>3418</f>
      </c>
      <c r="B3425" s="5" t="s">
        <v>3433</v>
      </c>
      <c r="C3425" s="5">
        <v>104.1</v>
      </c>
      <c r="D3425" s="5">
        <v>0.1</v>
      </c>
      <c r="E3425" s="5">
        <v>104.3</v>
      </c>
      <c r="F3425" s="5">
        <v>207.7</v>
      </c>
      <c r="G3425" s="5">
        <v>103.7</v>
      </c>
      <c r="H3425" s="5">
        <v>103.5</v>
      </c>
      <c r="I3425" s="5">
        <v>0</v>
      </c>
      <c r="J3425" s="5">
        <v>0</v>
      </c>
      <c r="K3425" s="5">
        <v>0</v>
      </c>
    </row>
    <row r="3426" spans="1:11" x14ac:dyDescent="0.25">
      <c r="A3426" s="5">
        <f>3419</f>
      </c>
      <c r="B3426" s="5" t="s">
        <v>3434</v>
      </c>
      <c r="C3426" s="5">
        <v>103.8</v>
      </c>
      <c r="D3426" s="5">
        <v>0.1</v>
      </c>
      <c r="E3426" s="5">
        <v>104</v>
      </c>
      <c r="F3426" s="5">
        <v>207.9</v>
      </c>
      <c r="G3426" s="5">
        <v>103.7</v>
      </c>
      <c r="H3426" s="5">
        <v>103.5</v>
      </c>
      <c r="I3426" s="5">
        <v>0</v>
      </c>
      <c r="J3426" s="5">
        <v>0</v>
      </c>
      <c r="K3426" s="5">
        <v>0</v>
      </c>
    </row>
    <row r="3427" spans="1:11" x14ac:dyDescent="0.25">
      <c r="A3427" s="5">
        <f>3420</f>
      </c>
      <c r="B3427" s="5" t="s">
        <v>3435</v>
      </c>
      <c r="C3427" s="5">
        <v>103.8</v>
      </c>
      <c r="D3427" s="5">
        <v>0.1</v>
      </c>
      <c r="E3427" s="5">
        <v>104</v>
      </c>
      <c r="F3427" s="5">
        <v>207.9</v>
      </c>
      <c r="G3427" s="5">
        <v>103.7</v>
      </c>
      <c r="H3427" s="5">
        <v>103.5</v>
      </c>
      <c r="I3427" s="5">
        <v>0</v>
      </c>
      <c r="J3427" s="5">
        <v>0</v>
      </c>
      <c r="K3427" s="5">
        <v>0</v>
      </c>
    </row>
    <row r="3428" spans="1:11" x14ac:dyDescent="0.25">
      <c r="A3428" s="5">
        <f>3421</f>
      </c>
      <c r="B3428" s="5" t="s">
        <v>3436</v>
      </c>
      <c r="C3428" s="5">
        <v>103.8</v>
      </c>
      <c r="D3428" s="5">
        <v>0.1</v>
      </c>
      <c r="E3428" s="5">
        <v>104</v>
      </c>
      <c r="F3428" s="5">
        <v>207.9</v>
      </c>
      <c r="G3428" s="5">
        <v>103.7</v>
      </c>
      <c r="H3428" s="5">
        <v>103.5</v>
      </c>
      <c r="I3428" s="5">
        <v>0</v>
      </c>
      <c r="J3428" s="5">
        <v>0</v>
      </c>
      <c r="K3428" s="5">
        <v>0</v>
      </c>
    </row>
    <row r="3429" spans="1:11" x14ac:dyDescent="0.25">
      <c r="A3429" s="5">
        <f>3422</f>
      </c>
      <c r="B3429" s="5" t="s">
        <v>3437</v>
      </c>
      <c r="C3429" s="5">
        <v>104.3</v>
      </c>
      <c r="D3429" s="5">
        <v>0.1</v>
      </c>
      <c r="E3429" s="5">
        <v>104.4</v>
      </c>
      <c r="F3429" s="5">
        <v>208.2</v>
      </c>
      <c r="G3429" s="5">
        <v>103.9</v>
      </c>
      <c r="H3429" s="5">
        <v>103.7</v>
      </c>
      <c r="I3429" s="5">
        <v>0</v>
      </c>
      <c r="J3429" s="5">
        <v>0</v>
      </c>
      <c r="K3429" s="5">
        <v>0</v>
      </c>
    </row>
    <row r="3430" spans="1:11" x14ac:dyDescent="0.25">
      <c r="A3430" s="5">
        <f>3423</f>
      </c>
      <c r="B3430" s="5" t="s">
        <v>3438</v>
      </c>
      <c r="C3430" s="5">
        <v>104.3</v>
      </c>
      <c r="D3430" s="5">
        <v>0.1</v>
      </c>
      <c r="E3430" s="5">
        <v>104.4</v>
      </c>
      <c r="F3430" s="5">
        <v>208.2</v>
      </c>
      <c r="G3430" s="5">
        <v>103.9</v>
      </c>
      <c r="H3430" s="5">
        <v>103.7</v>
      </c>
      <c r="I3430" s="5">
        <v>0</v>
      </c>
      <c r="J3430" s="5">
        <v>0</v>
      </c>
      <c r="K3430" s="5">
        <v>0</v>
      </c>
    </row>
    <row r="3431" spans="1:11" x14ac:dyDescent="0.25">
      <c r="A3431" s="5">
        <f>3424</f>
      </c>
      <c r="B3431" s="5" t="s">
        <v>3439</v>
      </c>
      <c r="C3431" s="5">
        <v>104.4</v>
      </c>
      <c r="D3431" s="5">
        <v>0.1</v>
      </c>
      <c r="E3431" s="5">
        <v>104.6</v>
      </c>
      <c r="F3431" s="5">
        <v>209.8</v>
      </c>
      <c r="G3431" s="5">
        <v>104.7</v>
      </c>
      <c r="H3431" s="5">
        <v>104.5</v>
      </c>
      <c r="I3431" s="5">
        <v>0</v>
      </c>
      <c r="J3431" s="5">
        <v>0</v>
      </c>
      <c r="K3431" s="5">
        <v>0</v>
      </c>
    </row>
    <row r="3432" spans="1:11" x14ac:dyDescent="0.25">
      <c r="A3432" s="5">
        <f>3425</f>
      </c>
      <c r="B3432" s="5" t="s">
        <v>3440</v>
      </c>
      <c r="C3432" s="5">
        <v>104.4</v>
      </c>
      <c r="D3432" s="5">
        <v>0.1</v>
      </c>
      <c r="E3432" s="5">
        <v>104.6</v>
      </c>
      <c r="F3432" s="5">
        <v>209.8</v>
      </c>
      <c r="G3432" s="5">
        <v>104.7</v>
      </c>
      <c r="H3432" s="5">
        <v>104.5</v>
      </c>
      <c r="I3432" s="5">
        <v>0</v>
      </c>
      <c r="J3432" s="5">
        <v>0</v>
      </c>
      <c r="K3432" s="5">
        <v>0</v>
      </c>
    </row>
    <row r="3433" spans="1:11" x14ac:dyDescent="0.25">
      <c r="A3433" s="5">
        <f>3426</f>
      </c>
      <c r="B3433" s="5" t="s">
        <v>3441</v>
      </c>
      <c r="C3433" s="5">
        <v>105.6</v>
      </c>
      <c r="D3433" s="5">
        <v>0.1</v>
      </c>
      <c r="E3433" s="5">
        <v>105.8</v>
      </c>
      <c r="F3433" s="5">
        <v>209.8</v>
      </c>
      <c r="G3433" s="5">
        <v>104.7</v>
      </c>
      <c r="H3433" s="5">
        <v>104.6</v>
      </c>
      <c r="I3433" s="5">
        <v>0</v>
      </c>
      <c r="J3433" s="5">
        <v>0</v>
      </c>
      <c r="K3433" s="5">
        <v>0</v>
      </c>
    </row>
    <row r="3434" spans="1:11" x14ac:dyDescent="0.25">
      <c r="A3434" s="5">
        <f>3427</f>
      </c>
      <c r="B3434" s="5" t="s">
        <v>3442</v>
      </c>
      <c r="C3434" s="5">
        <v>105.6</v>
      </c>
      <c r="D3434" s="5">
        <v>0.1</v>
      </c>
      <c r="E3434" s="5">
        <v>105.8</v>
      </c>
      <c r="F3434" s="5">
        <v>209.8</v>
      </c>
      <c r="G3434" s="5">
        <v>104.7</v>
      </c>
      <c r="H3434" s="5">
        <v>104.6</v>
      </c>
      <c r="I3434" s="5">
        <v>0</v>
      </c>
      <c r="J3434" s="5">
        <v>0</v>
      </c>
      <c r="K3434" s="5">
        <v>0</v>
      </c>
    </row>
    <row r="3435" spans="1:11" x14ac:dyDescent="0.25">
      <c r="A3435" s="5">
        <f>3428</f>
      </c>
      <c r="B3435" s="5" t="s">
        <v>3443</v>
      </c>
      <c r="C3435" s="5">
        <v>105.1</v>
      </c>
      <c r="D3435" s="5">
        <v>0.1</v>
      </c>
      <c r="E3435" s="5">
        <v>105.3</v>
      </c>
      <c r="F3435" s="5">
        <v>209.7</v>
      </c>
      <c r="G3435" s="5">
        <v>104.6</v>
      </c>
      <c r="H3435" s="5">
        <v>104.5</v>
      </c>
      <c r="I3435" s="5">
        <v>0</v>
      </c>
      <c r="J3435" s="5">
        <v>0</v>
      </c>
      <c r="K3435" s="5">
        <v>0</v>
      </c>
    </row>
    <row r="3436" spans="1:11" x14ac:dyDescent="0.25">
      <c r="A3436" s="5">
        <f>3429</f>
      </c>
      <c r="B3436" s="5" t="s">
        <v>3444</v>
      </c>
      <c r="C3436" s="5">
        <v>105.1</v>
      </c>
      <c r="D3436" s="5">
        <v>0.1</v>
      </c>
      <c r="E3436" s="5">
        <v>105.3</v>
      </c>
      <c r="F3436" s="5">
        <v>209.7</v>
      </c>
      <c r="G3436" s="5">
        <v>104.6</v>
      </c>
      <c r="H3436" s="5">
        <v>104.5</v>
      </c>
      <c r="I3436" s="5">
        <v>0</v>
      </c>
      <c r="J3436" s="5">
        <v>0</v>
      </c>
      <c r="K3436" s="5">
        <v>0</v>
      </c>
    </row>
    <row r="3437" spans="1:11" x14ac:dyDescent="0.25">
      <c r="A3437" s="5">
        <f>3430</f>
      </c>
      <c r="B3437" s="5" t="s">
        <v>3445</v>
      </c>
      <c r="C3437" s="5">
        <v>105.1</v>
      </c>
      <c r="D3437" s="5">
        <v>0.1</v>
      </c>
      <c r="E3437" s="5">
        <v>105.3</v>
      </c>
      <c r="F3437" s="5">
        <v>209.7</v>
      </c>
      <c r="G3437" s="5">
        <v>104.6</v>
      </c>
      <c r="H3437" s="5">
        <v>104.5</v>
      </c>
      <c r="I3437" s="5">
        <v>0</v>
      </c>
      <c r="J3437" s="5">
        <v>0</v>
      </c>
      <c r="K3437" s="5">
        <v>0</v>
      </c>
    </row>
    <row r="3438" spans="1:11" x14ac:dyDescent="0.25">
      <c r="A3438" s="5">
        <f>3431</f>
      </c>
      <c r="B3438" s="5" t="s">
        <v>3446</v>
      </c>
      <c r="C3438" s="5">
        <v>105.1</v>
      </c>
      <c r="D3438" s="5">
        <v>0.1</v>
      </c>
      <c r="E3438" s="5">
        <v>105.3</v>
      </c>
      <c r="F3438" s="5">
        <v>209.7</v>
      </c>
      <c r="G3438" s="5">
        <v>104.6</v>
      </c>
      <c r="H3438" s="5">
        <v>104.5</v>
      </c>
      <c r="I3438" s="5">
        <v>0</v>
      </c>
      <c r="J3438" s="5">
        <v>0</v>
      </c>
      <c r="K3438" s="5">
        <v>0</v>
      </c>
    </row>
    <row r="3439" spans="1:11" x14ac:dyDescent="0.25">
      <c r="A3439" s="5">
        <f>3432</f>
      </c>
      <c r="B3439" s="5" t="s">
        <v>3447</v>
      </c>
      <c r="C3439" s="5">
        <v>105</v>
      </c>
      <c r="D3439" s="5">
        <v>0.1</v>
      </c>
      <c r="E3439" s="5">
        <v>105.2</v>
      </c>
      <c r="F3439" s="5">
        <v>209.7</v>
      </c>
      <c r="G3439" s="5">
        <v>104.7</v>
      </c>
      <c r="H3439" s="5">
        <v>104.6</v>
      </c>
      <c r="I3439" s="5">
        <v>0</v>
      </c>
      <c r="J3439" s="5">
        <v>0</v>
      </c>
      <c r="K3439" s="5">
        <v>0</v>
      </c>
    </row>
    <row r="3440" spans="1:11" x14ac:dyDescent="0.25">
      <c r="A3440" s="5">
        <f>3433</f>
      </c>
      <c r="B3440" s="5" t="s">
        <v>3448</v>
      </c>
      <c r="C3440" s="5">
        <v>105</v>
      </c>
      <c r="D3440" s="5">
        <v>0.1</v>
      </c>
      <c r="E3440" s="5">
        <v>105.2</v>
      </c>
      <c r="F3440" s="5">
        <v>209.7</v>
      </c>
      <c r="G3440" s="5">
        <v>104.7</v>
      </c>
      <c r="H3440" s="5">
        <v>104.6</v>
      </c>
      <c r="I3440" s="5">
        <v>0</v>
      </c>
      <c r="J3440" s="5">
        <v>0</v>
      </c>
      <c r="K3440" s="5">
        <v>0</v>
      </c>
    </row>
    <row r="3441" spans="1:11" x14ac:dyDescent="0.25">
      <c r="A3441" s="5">
        <f>3434</f>
      </c>
      <c r="B3441" s="5" t="s">
        <v>3449</v>
      </c>
      <c r="C3441" s="5">
        <v>104.6</v>
      </c>
      <c r="D3441" s="5">
        <v>0.1</v>
      </c>
      <c r="E3441" s="5">
        <v>104.8</v>
      </c>
      <c r="F3441" s="5">
        <v>209.1</v>
      </c>
      <c r="G3441" s="5">
        <v>104.3</v>
      </c>
      <c r="H3441" s="5">
        <v>104.2</v>
      </c>
      <c r="I3441" s="5">
        <v>0</v>
      </c>
      <c r="J3441" s="5">
        <v>0</v>
      </c>
      <c r="K3441" s="5">
        <v>0</v>
      </c>
    </row>
    <row r="3442" spans="1:11" x14ac:dyDescent="0.25">
      <c r="A3442" s="5">
        <f>3435</f>
      </c>
      <c r="B3442" s="5" t="s">
        <v>3450</v>
      </c>
      <c r="C3442" s="5">
        <v>104.6</v>
      </c>
      <c r="D3442" s="5">
        <v>0.1</v>
      </c>
      <c r="E3442" s="5">
        <v>104.8</v>
      </c>
      <c r="F3442" s="5">
        <v>209.1</v>
      </c>
      <c r="G3442" s="5">
        <v>104.3</v>
      </c>
      <c r="H3442" s="5">
        <v>104.2</v>
      </c>
      <c r="I3442" s="5">
        <v>0</v>
      </c>
      <c r="J3442" s="5">
        <v>0</v>
      </c>
      <c r="K3442" s="5">
        <v>0</v>
      </c>
    </row>
    <row r="3443" spans="1:11" x14ac:dyDescent="0.25">
      <c r="A3443" s="5">
        <f>3436</f>
      </c>
      <c r="B3443" s="5" t="s">
        <v>3451</v>
      </c>
      <c r="C3443" s="5">
        <v>104.6</v>
      </c>
      <c r="D3443" s="5">
        <v>0.1</v>
      </c>
      <c r="E3443" s="5">
        <v>104.8</v>
      </c>
      <c r="F3443" s="5">
        <v>208.9</v>
      </c>
      <c r="G3443" s="5">
        <v>104.3</v>
      </c>
      <c r="H3443" s="5">
        <v>104.2</v>
      </c>
      <c r="I3443" s="5">
        <v>0</v>
      </c>
      <c r="J3443" s="5">
        <v>0</v>
      </c>
      <c r="K3443" s="5">
        <v>0</v>
      </c>
    </row>
    <row r="3444" spans="1:11" x14ac:dyDescent="0.25">
      <c r="A3444" s="5">
        <f>3437</f>
      </c>
      <c r="B3444" s="5" t="s">
        <v>3452</v>
      </c>
      <c r="C3444" s="5">
        <v>104.6</v>
      </c>
      <c r="D3444" s="5">
        <v>0.1</v>
      </c>
      <c r="E3444" s="5">
        <v>104.8</v>
      </c>
      <c r="F3444" s="5">
        <v>208.9</v>
      </c>
      <c r="G3444" s="5">
        <v>104.3</v>
      </c>
      <c r="H3444" s="5">
        <v>104.2</v>
      </c>
      <c r="I3444" s="5">
        <v>0</v>
      </c>
      <c r="J3444" s="5">
        <v>0</v>
      </c>
      <c r="K3444" s="5">
        <v>0</v>
      </c>
    </row>
    <row r="3445" spans="1:11" x14ac:dyDescent="0.25">
      <c r="A3445" s="5">
        <f>3438</f>
      </c>
      <c r="B3445" s="5" t="s">
        <v>3453</v>
      </c>
      <c r="C3445" s="5">
        <v>105.1</v>
      </c>
      <c r="D3445" s="5">
        <v>0.1</v>
      </c>
      <c r="E3445" s="5">
        <v>105.3</v>
      </c>
      <c r="F3445" s="5">
        <v>210</v>
      </c>
      <c r="G3445" s="5">
        <v>104.8</v>
      </c>
      <c r="H3445" s="5">
        <v>104.6</v>
      </c>
      <c r="I3445" s="5">
        <v>0</v>
      </c>
      <c r="J3445" s="5">
        <v>0</v>
      </c>
      <c r="K3445" s="5">
        <v>0</v>
      </c>
    </row>
    <row r="3446" spans="1:11" x14ac:dyDescent="0.25">
      <c r="A3446" s="5">
        <f>3439</f>
      </c>
      <c r="B3446" s="5" t="s">
        <v>3454</v>
      </c>
      <c r="C3446" s="5">
        <v>105.1</v>
      </c>
      <c r="D3446" s="5">
        <v>0.1</v>
      </c>
      <c r="E3446" s="5">
        <v>105.3</v>
      </c>
      <c r="F3446" s="5">
        <v>210</v>
      </c>
      <c r="G3446" s="5">
        <v>104.8</v>
      </c>
      <c r="H3446" s="5">
        <v>104.6</v>
      </c>
      <c r="I3446" s="5">
        <v>0</v>
      </c>
      <c r="J3446" s="5">
        <v>0</v>
      </c>
      <c r="K3446" s="5">
        <v>0</v>
      </c>
    </row>
    <row r="3447" spans="1:11" x14ac:dyDescent="0.25">
      <c r="A3447" s="5">
        <f>3440</f>
      </c>
      <c r="B3447" s="5" t="s">
        <v>3455</v>
      </c>
      <c r="C3447" s="5">
        <v>105.1</v>
      </c>
      <c r="D3447" s="5">
        <v>0.1</v>
      </c>
      <c r="E3447" s="5">
        <v>105.3</v>
      </c>
      <c r="F3447" s="5">
        <v>210</v>
      </c>
      <c r="G3447" s="5">
        <v>104.8</v>
      </c>
      <c r="H3447" s="5">
        <v>104.6</v>
      </c>
      <c r="I3447" s="5">
        <v>0</v>
      </c>
      <c r="J3447" s="5">
        <v>0</v>
      </c>
      <c r="K3447" s="5">
        <v>0</v>
      </c>
    </row>
    <row r="3448" spans="1:11" x14ac:dyDescent="0.25">
      <c r="A3448" s="5">
        <f>3441</f>
      </c>
      <c r="B3448" s="5" t="s">
        <v>3456</v>
      </c>
      <c r="C3448" s="5">
        <v>105.1</v>
      </c>
      <c r="D3448" s="5">
        <v>0.1</v>
      </c>
      <c r="E3448" s="5">
        <v>105.3</v>
      </c>
      <c r="F3448" s="5">
        <v>210</v>
      </c>
      <c r="G3448" s="5">
        <v>104.8</v>
      </c>
      <c r="H3448" s="5">
        <v>104.6</v>
      </c>
      <c r="I3448" s="5">
        <v>0</v>
      </c>
      <c r="J3448" s="5">
        <v>0</v>
      </c>
      <c r="K3448" s="5">
        <v>0</v>
      </c>
    </row>
    <row r="3449" spans="1:11" x14ac:dyDescent="0.25">
      <c r="A3449" s="5">
        <f>3442</f>
      </c>
      <c r="B3449" s="5" t="s">
        <v>3457</v>
      </c>
      <c r="C3449" s="5">
        <v>104.7</v>
      </c>
      <c r="D3449" s="5">
        <v>0.1</v>
      </c>
      <c r="E3449" s="5">
        <v>104.9</v>
      </c>
      <c r="F3449" s="5">
        <v>209.4</v>
      </c>
      <c r="G3449" s="5">
        <v>104.5</v>
      </c>
      <c r="H3449" s="5">
        <v>104.3</v>
      </c>
      <c r="I3449" s="5">
        <v>0</v>
      </c>
      <c r="J3449" s="5">
        <v>0</v>
      </c>
      <c r="K3449" s="5">
        <v>0</v>
      </c>
    </row>
    <row r="3450" spans="1:11" x14ac:dyDescent="0.25">
      <c r="A3450" s="5">
        <f>3443</f>
      </c>
      <c r="B3450" s="5" t="s">
        <v>3458</v>
      </c>
      <c r="C3450" s="5">
        <v>104.7</v>
      </c>
      <c r="D3450" s="5">
        <v>0.1</v>
      </c>
      <c r="E3450" s="5">
        <v>104.9</v>
      </c>
      <c r="F3450" s="5">
        <v>209.4</v>
      </c>
      <c r="G3450" s="5">
        <v>104.5</v>
      </c>
      <c r="H3450" s="5">
        <v>104.3</v>
      </c>
      <c r="I3450" s="5">
        <v>0</v>
      </c>
      <c r="J3450" s="5">
        <v>0</v>
      </c>
      <c r="K3450" s="5">
        <v>0</v>
      </c>
    </row>
    <row r="3451" spans="1:11" x14ac:dyDescent="0.25">
      <c r="A3451" s="5">
        <f>3444</f>
      </c>
      <c r="B3451" s="5" t="s">
        <v>3459</v>
      </c>
      <c r="C3451" s="5">
        <v>104.5</v>
      </c>
      <c r="D3451" s="5">
        <v>0.1</v>
      </c>
      <c r="E3451" s="5">
        <v>104.6</v>
      </c>
      <c r="F3451" s="5">
        <v>208.8</v>
      </c>
      <c r="G3451" s="5">
        <v>104.2</v>
      </c>
      <c r="H3451" s="5">
        <v>104</v>
      </c>
      <c r="I3451" s="5">
        <v>0</v>
      </c>
      <c r="J3451" s="5">
        <v>0</v>
      </c>
      <c r="K3451" s="5">
        <v>0</v>
      </c>
    </row>
    <row r="3452" spans="1:11" x14ac:dyDescent="0.25">
      <c r="A3452" s="5">
        <f>3445</f>
      </c>
      <c r="B3452" s="5" t="s">
        <v>3460</v>
      </c>
      <c r="C3452" s="5">
        <v>104.5</v>
      </c>
      <c r="D3452" s="5">
        <v>0.1</v>
      </c>
      <c r="E3452" s="5">
        <v>104.6</v>
      </c>
      <c r="F3452" s="5">
        <v>208.8</v>
      </c>
      <c r="G3452" s="5">
        <v>104.2</v>
      </c>
      <c r="H3452" s="5">
        <v>104</v>
      </c>
      <c r="I3452" s="5">
        <v>0</v>
      </c>
      <c r="J3452" s="5">
        <v>0</v>
      </c>
      <c r="K3452" s="5">
        <v>0</v>
      </c>
    </row>
    <row r="3453" spans="1:11" x14ac:dyDescent="0.25">
      <c r="A3453" s="5">
        <f>3446</f>
      </c>
      <c r="B3453" s="5" t="s">
        <v>3461</v>
      </c>
      <c r="C3453" s="5">
        <v>104.7</v>
      </c>
      <c r="D3453" s="5">
        <v>0.1</v>
      </c>
      <c r="E3453" s="5">
        <v>104.9</v>
      </c>
      <c r="F3453" s="5">
        <v>210.1</v>
      </c>
      <c r="G3453" s="5">
        <v>104.8</v>
      </c>
      <c r="H3453" s="5">
        <v>104.6</v>
      </c>
      <c r="I3453" s="5">
        <v>0</v>
      </c>
      <c r="J3453" s="5">
        <v>0</v>
      </c>
      <c r="K3453" s="5">
        <v>0</v>
      </c>
    </row>
    <row r="3454" spans="1:11" x14ac:dyDescent="0.25">
      <c r="A3454" s="5">
        <f>3447</f>
      </c>
      <c r="B3454" s="5" t="s">
        <v>3462</v>
      </c>
      <c r="C3454" s="5">
        <v>104.7</v>
      </c>
      <c r="D3454" s="5">
        <v>0.1</v>
      </c>
      <c r="E3454" s="5">
        <v>104.9</v>
      </c>
      <c r="F3454" s="5">
        <v>210.1</v>
      </c>
      <c r="G3454" s="5">
        <v>104.8</v>
      </c>
      <c r="H3454" s="5">
        <v>104.6</v>
      </c>
      <c r="I3454" s="5">
        <v>0</v>
      </c>
      <c r="J3454" s="5">
        <v>0</v>
      </c>
      <c r="K3454" s="5">
        <v>0</v>
      </c>
    </row>
    <row r="3455" spans="1:11" x14ac:dyDescent="0.25">
      <c r="A3455" s="5">
        <f>3448</f>
      </c>
      <c r="B3455" s="5" t="s">
        <v>3463</v>
      </c>
      <c r="C3455" s="5">
        <v>105.6</v>
      </c>
      <c r="D3455" s="5">
        <v>0.1</v>
      </c>
      <c r="E3455" s="5">
        <v>105.7</v>
      </c>
      <c r="F3455" s="5">
        <v>209.6</v>
      </c>
      <c r="G3455" s="5">
        <v>104.6</v>
      </c>
      <c r="H3455" s="5">
        <v>104.5</v>
      </c>
      <c r="I3455" s="5">
        <v>0</v>
      </c>
      <c r="J3455" s="5">
        <v>0</v>
      </c>
      <c r="K3455" s="5">
        <v>0</v>
      </c>
    </row>
    <row r="3456" spans="1:11" x14ac:dyDescent="0.25">
      <c r="A3456" s="5">
        <f>3449</f>
      </c>
      <c r="B3456" s="5" t="s">
        <v>3464</v>
      </c>
      <c r="C3456" s="5">
        <v>105.6</v>
      </c>
      <c r="D3456" s="5">
        <v>0.1</v>
      </c>
      <c r="E3456" s="5">
        <v>105.7</v>
      </c>
      <c r="F3456" s="5">
        <v>209.6</v>
      </c>
      <c r="G3456" s="5">
        <v>104.6</v>
      </c>
      <c r="H3456" s="5">
        <v>104.5</v>
      </c>
      <c r="I3456" s="5">
        <v>0</v>
      </c>
      <c r="J3456" s="5">
        <v>0</v>
      </c>
      <c r="K3456" s="5">
        <v>0</v>
      </c>
    </row>
    <row r="3457" spans="1:11" x14ac:dyDescent="0.25">
      <c r="A3457" s="5">
        <f>3450</f>
      </c>
      <c r="B3457" s="5" t="s">
        <v>3465</v>
      </c>
      <c r="C3457" s="5">
        <v>105.6</v>
      </c>
      <c r="D3457" s="5">
        <v>0.1</v>
      </c>
      <c r="E3457" s="5">
        <v>105.7</v>
      </c>
      <c r="F3457" s="5">
        <v>209.6</v>
      </c>
      <c r="G3457" s="5">
        <v>104.6</v>
      </c>
      <c r="H3457" s="5">
        <v>104.5</v>
      </c>
      <c r="I3457" s="5">
        <v>0</v>
      </c>
      <c r="J3457" s="5">
        <v>0</v>
      </c>
      <c r="K3457" s="5">
        <v>0</v>
      </c>
    </row>
    <row r="3458" spans="1:11" x14ac:dyDescent="0.25">
      <c r="A3458" s="5">
        <f>3451</f>
      </c>
      <c r="B3458" s="5" t="s">
        <v>3466</v>
      </c>
      <c r="C3458" s="5">
        <v>105.6</v>
      </c>
      <c r="D3458" s="5">
        <v>0.1</v>
      </c>
      <c r="E3458" s="5">
        <v>105.7</v>
      </c>
      <c r="F3458" s="5">
        <v>209.6</v>
      </c>
      <c r="G3458" s="5">
        <v>104.6</v>
      </c>
      <c r="H3458" s="5">
        <v>104.5</v>
      </c>
      <c r="I3458" s="5">
        <v>0</v>
      </c>
      <c r="J3458" s="5">
        <v>0</v>
      </c>
      <c r="K3458" s="5">
        <v>0</v>
      </c>
    </row>
    <row r="3459" spans="1:11" x14ac:dyDescent="0.25">
      <c r="A3459" s="5">
        <f>3452</f>
      </c>
      <c r="B3459" s="5" t="s">
        <v>3467</v>
      </c>
      <c r="C3459" s="5">
        <v>105.6</v>
      </c>
      <c r="D3459" s="5">
        <v>0.1</v>
      </c>
      <c r="E3459" s="5">
        <v>105.7</v>
      </c>
      <c r="F3459" s="5">
        <v>210.9</v>
      </c>
      <c r="G3459" s="5">
        <v>105.3</v>
      </c>
      <c r="H3459" s="5">
        <v>105.1</v>
      </c>
      <c r="I3459" s="5">
        <v>0</v>
      </c>
      <c r="J3459" s="5">
        <v>0</v>
      </c>
      <c r="K3459" s="5">
        <v>0</v>
      </c>
    </row>
    <row r="3460" spans="1:11" x14ac:dyDescent="0.25">
      <c r="A3460" s="5">
        <f>3453</f>
      </c>
      <c r="B3460" s="5" t="s">
        <v>3468</v>
      </c>
      <c r="C3460" s="5">
        <v>105.6</v>
      </c>
      <c r="D3460" s="5">
        <v>0.1</v>
      </c>
      <c r="E3460" s="5">
        <v>105.7</v>
      </c>
      <c r="F3460" s="5">
        <v>210.9</v>
      </c>
      <c r="G3460" s="5">
        <v>105.3</v>
      </c>
      <c r="H3460" s="5">
        <v>105.1</v>
      </c>
      <c r="I3460" s="5">
        <v>0</v>
      </c>
      <c r="J3460" s="5">
        <v>0</v>
      </c>
      <c r="K3460" s="5">
        <v>0</v>
      </c>
    </row>
    <row r="3461" spans="1:11" x14ac:dyDescent="0.25">
      <c r="A3461" s="5">
        <f>3454</f>
      </c>
      <c r="B3461" s="5" t="s">
        <v>3469</v>
      </c>
      <c r="C3461" s="5">
        <v>105.1</v>
      </c>
      <c r="D3461" s="5">
        <v>0.1</v>
      </c>
      <c r="E3461" s="5">
        <v>105.3</v>
      </c>
      <c r="F3461" s="5">
        <v>209.6</v>
      </c>
      <c r="G3461" s="5">
        <v>104.5</v>
      </c>
      <c r="H3461" s="5">
        <v>104.3</v>
      </c>
      <c r="I3461" s="5">
        <v>0</v>
      </c>
      <c r="J3461" s="5">
        <v>0</v>
      </c>
      <c r="K3461" s="5">
        <v>0</v>
      </c>
    </row>
    <row r="3462" spans="1:11" x14ac:dyDescent="0.25">
      <c r="A3462" s="5">
        <f>3455</f>
      </c>
      <c r="B3462" s="5" t="s">
        <v>3470</v>
      </c>
      <c r="C3462" s="5">
        <v>105.1</v>
      </c>
      <c r="D3462" s="5">
        <v>0.1</v>
      </c>
      <c r="E3462" s="5">
        <v>105.3</v>
      </c>
      <c r="F3462" s="5">
        <v>209.6</v>
      </c>
      <c r="G3462" s="5">
        <v>104.5</v>
      </c>
      <c r="H3462" s="5">
        <v>104.3</v>
      </c>
      <c r="I3462" s="5">
        <v>0</v>
      </c>
      <c r="J3462" s="5">
        <v>0</v>
      </c>
      <c r="K3462" s="5">
        <v>0</v>
      </c>
    </row>
    <row r="3463" spans="1:11" x14ac:dyDescent="0.25">
      <c r="A3463" s="5">
        <f>3456</f>
      </c>
      <c r="B3463" s="5" t="s">
        <v>3471</v>
      </c>
      <c r="C3463" s="5">
        <v>105.2</v>
      </c>
      <c r="D3463" s="5">
        <v>0.1</v>
      </c>
      <c r="E3463" s="5">
        <v>105.3</v>
      </c>
      <c r="F3463" s="5">
        <v>210.2</v>
      </c>
      <c r="G3463" s="5">
        <v>104.8</v>
      </c>
      <c r="H3463" s="5">
        <v>104.6</v>
      </c>
      <c r="I3463" s="5">
        <v>0</v>
      </c>
      <c r="J3463" s="5">
        <v>0</v>
      </c>
      <c r="K3463" s="5">
        <v>0</v>
      </c>
    </row>
    <row r="3464" spans="1:11" x14ac:dyDescent="0.25">
      <c r="A3464" s="5">
        <f>3457</f>
      </c>
      <c r="B3464" s="5" t="s">
        <v>3472</v>
      </c>
      <c r="C3464" s="5">
        <v>105.2</v>
      </c>
      <c r="D3464" s="5">
        <v>0.1</v>
      </c>
      <c r="E3464" s="5">
        <v>105.3</v>
      </c>
      <c r="F3464" s="5">
        <v>210.2</v>
      </c>
      <c r="G3464" s="5">
        <v>104.8</v>
      </c>
      <c r="H3464" s="5">
        <v>104.6</v>
      </c>
      <c r="I3464" s="5">
        <v>0</v>
      </c>
      <c r="J3464" s="5">
        <v>0</v>
      </c>
      <c r="K3464" s="5">
        <v>0</v>
      </c>
    </row>
    <row r="3465" spans="1:11" x14ac:dyDescent="0.25">
      <c r="A3465" s="5">
        <f>3458</f>
      </c>
      <c r="B3465" s="5" t="s">
        <v>3473</v>
      </c>
      <c r="C3465" s="5">
        <v>105</v>
      </c>
      <c r="D3465" s="5">
        <v>0.1</v>
      </c>
      <c r="E3465" s="5">
        <v>105.2</v>
      </c>
      <c r="F3465" s="5">
        <v>210.2</v>
      </c>
      <c r="G3465" s="5">
        <v>104.8</v>
      </c>
      <c r="H3465" s="5">
        <v>104.7</v>
      </c>
      <c r="I3465" s="5">
        <v>0</v>
      </c>
      <c r="J3465" s="5">
        <v>0</v>
      </c>
      <c r="K3465" s="5">
        <v>0</v>
      </c>
    </row>
    <row r="3466" spans="1:11" x14ac:dyDescent="0.25">
      <c r="A3466" s="5">
        <f>3459</f>
      </c>
      <c r="B3466" s="5" t="s">
        <v>3474</v>
      </c>
      <c r="C3466" s="5">
        <v>105</v>
      </c>
      <c r="D3466" s="5">
        <v>0.1</v>
      </c>
      <c r="E3466" s="5">
        <v>105.2</v>
      </c>
      <c r="F3466" s="5">
        <v>210.2</v>
      </c>
      <c r="G3466" s="5">
        <v>104.8</v>
      </c>
      <c r="H3466" s="5">
        <v>104.7</v>
      </c>
      <c r="I3466" s="5">
        <v>0</v>
      </c>
      <c r="J3466" s="5">
        <v>0</v>
      </c>
      <c r="K3466" s="5">
        <v>0</v>
      </c>
    </row>
    <row r="3467" spans="1:11" x14ac:dyDescent="0.25">
      <c r="A3467" s="5">
        <f>3460</f>
      </c>
      <c r="B3467" s="5" t="s">
        <v>3475</v>
      </c>
      <c r="C3467" s="5">
        <v>105</v>
      </c>
      <c r="D3467" s="5">
        <v>0.1</v>
      </c>
      <c r="E3467" s="5">
        <v>105.2</v>
      </c>
      <c r="F3467" s="5">
        <v>210.2</v>
      </c>
      <c r="G3467" s="5">
        <v>104.8</v>
      </c>
      <c r="H3467" s="5">
        <v>104.7</v>
      </c>
      <c r="I3467" s="5">
        <v>0</v>
      </c>
      <c r="J3467" s="5">
        <v>0</v>
      </c>
      <c r="K3467" s="5">
        <v>0</v>
      </c>
    </row>
    <row r="3468" spans="1:11" x14ac:dyDescent="0.25">
      <c r="A3468" s="5">
        <f>3461</f>
      </c>
      <c r="B3468" s="5" t="s">
        <v>3476</v>
      </c>
      <c r="C3468" s="5">
        <v>105</v>
      </c>
      <c r="D3468" s="5">
        <v>0.1</v>
      </c>
      <c r="E3468" s="5">
        <v>105.2</v>
      </c>
      <c r="F3468" s="5">
        <v>210.2</v>
      </c>
      <c r="G3468" s="5">
        <v>104.8</v>
      </c>
      <c r="H3468" s="5">
        <v>104.7</v>
      </c>
      <c r="I3468" s="5">
        <v>0</v>
      </c>
      <c r="J3468" s="5">
        <v>0</v>
      </c>
      <c r="K3468" s="5">
        <v>0</v>
      </c>
    </row>
    <row r="3469" spans="1:11" x14ac:dyDescent="0.25">
      <c r="A3469" s="5">
        <f>3462</f>
      </c>
      <c r="B3469" s="5" t="s">
        <v>3477</v>
      </c>
      <c r="C3469" s="5">
        <v>104.4</v>
      </c>
      <c r="D3469" s="5">
        <v>0.1</v>
      </c>
      <c r="E3469" s="5">
        <v>104.6</v>
      </c>
      <c r="F3469" s="5">
        <v>209</v>
      </c>
      <c r="G3469" s="5">
        <v>104.2</v>
      </c>
      <c r="H3469" s="5">
        <v>104.1</v>
      </c>
      <c r="I3469" s="5">
        <v>0</v>
      </c>
      <c r="J3469" s="5">
        <v>0</v>
      </c>
      <c r="K3469" s="5">
        <v>0</v>
      </c>
    </row>
    <row r="3470" spans="1:11" x14ac:dyDescent="0.25">
      <c r="A3470" s="5">
        <f>3463</f>
      </c>
      <c r="B3470" s="5" t="s">
        <v>3478</v>
      </c>
      <c r="C3470" s="5">
        <v>104.4</v>
      </c>
      <c r="D3470" s="5">
        <v>0.1</v>
      </c>
      <c r="E3470" s="5">
        <v>104.6</v>
      </c>
      <c r="F3470" s="5">
        <v>209</v>
      </c>
      <c r="G3470" s="5">
        <v>104.2</v>
      </c>
      <c r="H3470" s="5">
        <v>104.1</v>
      </c>
      <c r="I3470" s="5">
        <v>0</v>
      </c>
      <c r="J3470" s="5">
        <v>0</v>
      </c>
      <c r="K3470" s="5">
        <v>0</v>
      </c>
    </row>
    <row r="3471" spans="1:11" x14ac:dyDescent="0.25">
      <c r="A3471" s="5">
        <f>3464</f>
      </c>
      <c r="B3471" s="5" t="s">
        <v>3479</v>
      </c>
      <c r="C3471" s="5">
        <v>105</v>
      </c>
      <c r="D3471" s="5">
        <v>0.1</v>
      </c>
      <c r="E3471" s="5">
        <v>105.2</v>
      </c>
      <c r="F3471" s="5">
        <v>209.9</v>
      </c>
      <c r="G3471" s="5">
        <v>104.7</v>
      </c>
      <c r="H3471" s="5">
        <v>104.6</v>
      </c>
      <c r="I3471" s="5">
        <v>0</v>
      </c>
      <c r="J3471" s="5">
        <v>0</v>
      </c>
      <c r="K3471" s="5">
        <v>0</v>
      </c>
    </row>
    <row r="3472" spans="1:11" x14ac:dyDescent="0.25">
      <c r="A3472" s="5">
        <f>3465</f>
      </c>
      <c r="B3472" s="5" t="s">
        <v>3480</v>
      </c>
      <c r="C3472" s="5">
        <v>105</v>
      </c>
      <c r="D3472" s="5">
        <v>0.1</v>
      </c>
      <c r="E3472" s="5">
        <v>105.2</v>
      </c>
      <c r="F3472" s="5">
        <v>209.9</v>
      </c>
      <c r="G3472" s="5">
        <v>104.7</v>
      </c>
      <c r="H3472" s="5">
        <v>104.6</v>
      </c>
      <c r="I3472" s="5">
        <v>0</v>
      </c>
      <c r="J3472" s="5">
        <v>0</v>
      </c>
      <c r="K3472" s="5">
        <v>0</v>
      </c>
    </row>
    <row r="3473" spans="1:11" x14ac:dyDescent="0.25">
      <c r="A3473" s="5">
        <f>3466</f>
      </c>
      <c r="B3473" s="5" t="s">
        <v>3481</v>
      </c>
      <c r="C3473" s="5">
        <v>105.1</v>
      </c>
      <c r="D3473" s="5">
        <v>0.1</v>
      </c>
      <c r="E3473" s="5">
        <v>105.3</v>
      </c>
      <c r="F3473" s="5">
        <v>210.3</v>
      </c>
      <c r="G3473" s="5">
        <v>104.9</v>
      </c>
      <c r="H3473" s="5">
        <v>104.8</v>
      </c>
      <c r="I3473" s="5">
        <v>0</v>
      </c>
      <c r="J3473" s="5">
        <v>0</v>
      </c>
      <c r="K3473" s="5">
        <v>0</v>
      </c>
    </row>
    <row r="3474" spans="1:11" x14ac:dyDescent="0.25">
      <c r="A3474" s="5">
        <f>3467</f>
      </c>
      <c r="B3474" s="5" t="s">
        <v>3482</v>
      </c>
      <c r="C3474" s="5">
        <v>105.1</v>
      </c>
      <c r="D3474" s="5">
        <v>0.1</v>
      </c>
      <c r="E3474" s="5">
        <v>105.3</v>
      </c>
      <c r="F3474" s="5">
        <v>210.3</v>
      </c>
      <c r="G3474" s="5">
        <v>104.9</v>
      </c>
      <c r="H3474" s="5">
        <v>104.8</v>
      </c>
      <c r="I3474" s="5">
        <v>0</v>
      </c>
      <c r="J3474" s="5">
        <v>0</v>
      </c>
      <c r="K3474" s="5">
        <v>0</v>
      </c>
    </row>
    <row r="3475" spans="1:11" x14ac:dyDescent="0.25">
      <c r="A3475" s="5">
        <f>3468</f>
      </c>
      <c r="B3475" s="5" t="s">
        <v>3483</v>
      </c>
      <c r="C3475" s="5">
        <v>105</v>
      </c>
      <c r="D3475" s="5">
        <v>0.1</v>
      </c>
      <c r="E3475" s="5">
        <v>105.1</v>
      </c>
      <c r="F3475" s="5">
        <v>209.8</v>
      </c>
      <c r="G3475" s="5">
        <v>104.7</v>
      </c>
      <c r="H3475" s="5">
        <v>104.5</v>
      </c>
      <c r="I3475" s="5">
        <v>0</v>
      </c>
      <c r="J3475" s="5">
        <v>0</v>
      </c>
      <c r="K3475" s="5">
        <v>0</v>
      </c>
    </row>
    <row r="3476" spans="1:11" x14ac:dyDescent="0.25">
      <c r="A3476" s="5">
        <f>3469</f>
      </c>
      <c r="B3476" s="5" t="s">
        <v>3484</v>
      </c>
      <c r="C3476" s="5">
        <v>105</v>
      </c>
      <c r="D3476" s="5">
        <v>0.1</v>
      </c>
      <c r="E3476" s="5">
        <v>105.1</v>
      </c>
      <c r="F3476" s="5">
        <v>209.8</v>
      </c>
      <c r="G3476" s="5">
        <v>104.7</v>
      </c>
      <c r="H3476" s="5">
        <v>104.5</v>
      </c>
      <c r="I3476" s="5">
        <v>0</v>
      </c>
      <c r="J3476" s="5">
        <v>0</v>
      </c>
      <c r="K3476" s="5">
        <v>0</v>
      </c>
    </row>
    <row r="3477" spans="1:11" x14ac:dyDescent="0.25">
      <c r="A3477" s="5">
        <f>3470</f>
      </c>
      <c r="B3477" s="5" t="s">
        <v>3485</v>
      </c>
      <c r="C3477" s="5">
        <v>105</v>
      </c>
      <c r="D3477" s="5">
        <v>0.1</v>
      </c>
      <c r="E3477" s="5">
        <v>105.1</v>
      </c>
      <c r="F3477" s="5">
        <v>209.8</v>
      </c>
      <c r="G3477" s="5">
        <v>104.7</v>
      </c>
      <c r="H3477" s="5">
        <v>104.5</v>
      </c>
      <c r="I3477" s="5">
        <v>0</v>
      </c>
      <c r="J3477" s="5">
        <v>0</v>
      </c>
      <c r="K3477" s="5">
        <v>0</v>
      </c>
    </row>
    <row r="3478" spans="1:11" x14ac:dyDescent="0.25">
      <c r="A3478" s="5">
        <f>3471</f>
      </c>
      <c r="B3478" s="5" t="s">
        <v>3486</v>
      </c>
      <c r="C3478" s="5">
        <v>105</v>
      </c>
      <c r="D3478" s="5">
        <v>0.1</v>
      </c>
      <c r="E3478" s="5">
        <v>105.1</v>
      </c>
      <c r="F3478" s="5">
        <v>209.8</v>
      </c>
      <c r="G3478" s="5">
        <v>104.7</v>
      </c>
      <c r="H3478" s="5">
        <v>104.5</v>
      </c>
      <c r="I3478" s="5">
        <v>0</v>
      </c>
      <c r="J3478" s="5">
        <v>0</v>
      </c>
      <c r="K3478" s="5">
        <v>0</v>
      </c>
    </row>
    <row r="3479" spans="1:11" x14ac:dyDescent="0.25">
      <c r="A3479" s="5">
        <f>3472</f>
      </c>
      <c r="B3479" s="5" t="s">
        <v>3487</v>
      </c>
      <c r="C3479" s="5">
        <v>104.5</v>
      </c>
      <c r="D3479" s="5">
        <v>0.1</v>
      </c>
      <c r="E3479" s="5">
        <v>104.6</v>
      </c>
      <c r="F3479" s="5">
        <v>208.7</v>
      </c>
      <c r="G3479" s="5">
        <v>104.1</v>
      </c>
      <c r="H3479" s="5">
        <v>103.9</v>
      </c>
      <c r="I3479" s="5">
        <v>0</v>
      </c>
      <c r="J3479" s="5">
        <v>0</v>
      </c>
      <c r="K3479" s="5">
        <v>0</v>
      </c>
    </row>
    <row r="3480" spans="1:11" x14ac:dyDescent="0.25">
      <c r="A3480" s="5">
        <f>3473</f>
      </c>
      <c r="B3480" s="5" t="s">
        <v>3488</v>
      </c>
      <c r="C3480" s="5">
        <v>104.5</v>
      </c>
      <c r="D3480" s="5">
        <v>0.1</v>
      </c>
      <c r="E3480" s="5">
        <v>104.6</v>
      </c>
      <c r="F3480" s="5">
        <v>208.7</v>
      </c>
      <c r="G3480" s="5">
        <v>104.1</v>
      </c>
      <c r="H3480" s="5">
        <v>103.9</v>
      </c>
      <c r="I3480" s="5">
        <v>0</v>
      </c>
      <c r="J3480" s="5">
        <v>0</v>
      </c>
      <c r="K3480" s="5">
        <v>0</v>
      </c>
    </row>
    <row r="3481" spans="1:11" x14ac:dyDescent="0.25">
      <c r="A3481" s="5">
        <f>3474</f>
      </c>
      <c r="B3481" s="5" t="s">
        <v>3489</v>
      </c>
      <c r="C3481" s="5">
        <v>104.6</v>
      </c>
      <c r="D3481" s="5">
        <v>0.1</v>
      </c>
      <c r="E3481" s="5">
        <v>104.7</v>
      </c>
      <c r="F3481" s="5">
        <v>208.3</v>
      </c>
      <c r="G3481" s="5">
        <v>103.9</v>
      </c>
      <c r="H3481" s="5">
        <v>103.7</v>
      </c>
      <c r="I3481" s="5">
        <v>0</v>
      </c>
      <c r="J3481" s="5">
        <v>0</v>
      </c>
      <c r="K3481" s="5">
        <v>0</v>
      </c>
    </row>
    <row r="3482" spans="1:11" x14ac:dyDescent="0.25">
      <c r="A3482" s="5">
        <f>3475</f>
      </c>
      <c r="B3482" s="5" t="s">
        <v>3490</v>
      </c>
      <c r="C3482" s="5">
        <v>104.6</v>
      </c>
      <c r="D3482" s="5">
        <v>0.1</v>
      </c>
      <c r="E3482" s="5">
        <v>104.7</v>
      </c>
      <c r="F3482" s="5">
        <v>208.3</v>
      </c>
      <c r="G3482" s="5">
        <v>103.9</v>
      </c>
      <c r="H3482" s="5">
        <v>103.7</v>
      </c>
      <c r="I3482" s="5">
        <v>0</v>
      </c>
      <c r="J3482" s="5">
        <v>0</v>
      </c>
      <c r="K3482" s="5">
        <v>0</v>
      </c>
    </row>
    <row r="3483" spans="1:11" x14ac:dyDescent="0.25">
      <c r="A3483" s="5">
        <f>3476</f>
      </c>
      <c r="B3483" s="5" t="s">
        <v>3491</v>
      </c>
      <c r="C3483" s="5">
        <v>104.2</v>
      </c>
      <c r="D3483" s="5">
        <v>0.1</v>
      </c>
      <c r="E3483" s="5">
        <v>104.3</v>
      </c>
      <c r="F3483" s="5">
        <v>208.4</v>
      </c>
      <c r="G3483" s="5">
        <v>103.9</v>
      </c>
      <c r="H3483" s="5">
        <v>103.8</v>
      </c>
      <c r="I3483" s="5">
        <v>0</v>
      </c>
      <c r="J3483" s="5">
        <v>0</v>
      </c>
      <c r="K3483" s="5">
        <v>0</v>
      </c>
    </row>
    <row r="3484" spans="1:11" x14ac:dyDescent="0.25">
      <c r="A3484" s="5">
        <f>3477</f>
      </c>
      <c r="B3484" s="5" t="s">
        <v>3492</v>
      </c>
      <c r="C3484" s="5">
        <v>104.2</v>
      </c>
      <c r="D3484" s="5">
        <v>0.1</v>
      </c>
      <c r="E3484" s="5">
        <v>104.3</v>
      </c>
      <c r="F3484" s="5">
        <v>208.4</v>
      </c>
      <c r="G3484" s="5">
        <v>103.9</v>
      </c>
      <c r="H3484" s="5">
        <v>103.8</v>
      </c>
      <c r="I3484" s="5">
        <v>0</v>
      </c>
      <c r="J3484" s="5">
        <v>0</v>
      </c>
      <c r="K3484" s="5">
        <v>0</v>
      </c>
    </row>
    <row r="3485" spans="1:11" x14ac:dyDescent="0.25">
      <c r="A3485" s="5">
        <f>3478</f>
      </c>
      <c r="B3485" s="5" t="s">
        <v>3493</v>
      </c>
      <c r="C3485" s="5">
        <v>104.8</v>
      </c>
      <c r="D3485" s="5">
        <v>0.1</v>
      </c>
      <c r="E3485" s="5">
        <v>105</v>
      </c>
      <c r="F3485" s="5">
        <v>209.2</v>
      </c>
      <c r="G3485" s="5">
        <v>104.3</v>
      </c>
      <c r="H3485" s="5">
        <v>104.1</v>
      </c>
      <c r="I3485" s="5">
        <v>0</v>
      </c>
      <c r="J3485" s="5">
        <v>0</v>
      </c>
      <c r="K3485" s="5">
        <v>0</v>
      </c>
    </row>
    <row r="3486" spans="1:11" x14ac:dyDescent="0.25">
      <c r="A3486" s="5">
        <f>3479</f>
      </c>
      <c r="B3486" s="5" t="s">
        <v>3494</v>
      </c>
      <c r="C3486" s="5">
        <v>104.8</v>
      </c>
      <c r="D3486" s="5">
        <v>0.1</v>
      </c>
      <c r="E3486" s="5">
        <v>105</v>
      </c>
      <c r="F3486" s="5">
        <v>209.2</v>
      </c>
      <c r="G3486" s="5">
        <v>104.3</v>
      </c>
      <c r="H3486" s="5">
        <v>104.1</v>
      </c>
      <c r="I3486" s="5">
        <v>0</v>
      </c>
      <c r="J3486" s="5">
        <v>0</v>
      </c>
      <c r="K3486" s="5">
        <v>0</v>
      </c>
    </row>
    <row r="3487" spans="1:11" x14ac:dyDescent="0.25">
      <c r="A3487" s="5">
        <f>3480</f>
      </c>
      <c r="B3487" s="5" t="s">
        <v>3495</v>
      </c>
      <c r="C3487" s="5">
        <v>104.8</v>
      </c>
      <c r="D3487" s="5">
        <v>0.1</v>
      </c>
      <c r="E3487" s="5">
        <v>105</v>
      </c>
      <c r="F3487" s="5">
        <v>209.2</v>
      </c>
      <c r="G3487" s="5">
        <v>104.3</v>
      </c>
      <c r="H3487" s="5">
        <v>104.1</v>
      </c>
      <c r="I3487" s="5">
        <v>0</v>
      </c>
      <c r="J3487" s="5">
        <v>0</v>
      </c>
      <c r="K3487" s="5">
        <v>0</v>
      </c>
    </row>
    <row r="3488" spans="1:11" x14ac:dyDescent="0.25">
      <c r="A3488" s="5">
        <f>3481</f>
      </c>
      <c r="B3488" s="5" t="s">
        <v>3496</v>
      </c>
      <c r="C3488" s="5">
        <v>104.8</v>
      </c>
      <c r="D3488" s="5">
        <v>0.1</v>
      </c>
      <c r="E3488" s="5">
        <v>105.3</v>
      </c>
      <c r="F3488" s="5">
        <v>210</v>
      </c>
      <c r="G3488" s="5">
        <v>104.8</v>
      </c>
      <c r="H3488" s="5">
        <v>104.6</v>
      </c>
      <c r="I3488" s="5">
        <v>0</v>
      </c>
      <c r="J3488" s="5">
        <v>0</v>
      </c>
      <c r="K3488" s="5">
        <v>0</v>
      </c>
    </row>
    <row r="3489" spans="1:11" x14ac:dyDescent="0.25">
      <c r="A3489" s="5">
        <f>3482</f>
      </c>
      <c r="B3489" s="5" t="s">
        <v>3497</v>
      </c>
      <c r="C3489" s="5">
        <v>105.1</v>
      </c>
      <c r="D3489" s="5">
        <v>0.1</v>
      </c>
      <c r="E3489" s="5">
        <v>105.3</v>
      </c>
      <c r="F3489" s="5">
        <v>210</v>
      </c>
      <c r="G3489" s="5">
        <v>104.8</v>
      </c>
      <c r="H3489" s="5">
        <v>104.6</v>
      </c>
      <c r="I3489" s="5">
        <v>0</v>
      </c>
      <c r="J3489" s="5">
        <v>0</v>
      </c>
      <c r="K3489" s="5">
        <v>0</v>
      </c>
    </row>
    <row r="3490" spans="1:11" x14ac:dyDescent="0.25">
      <c r="A3490" s="5">
        <f>3483</f>
      </c>
      <c r="B3490" s="5" t="s">
        <v>3498</v>
      </c>
      <c r="C3490" s="5">
        <v>105.1</v>
      </c>
      <c r="D3490" s="5">
        <v>0.1</v>
      </c>
      <c r="E3490" s="5">
        <v>105.3</v>
      </c>
      <c r="F3490" s="5">
        <v>208.3</v>
      </c>
      <c r="G3490" s="5">
        <v>103.9</v>
      </c>
      <c r="H3490" s="5">
        <v>103.8</v>
      </c>
      <c r="I3490" s="5">
        <v>0</v>
      </c>
      <c r="J3490" s="5">
        <v>0</v>
      </c>
      <c r="K3490" s="5">
        <v>0</v>
      </c>
    </row>
    <row r="3491" spans="1:11" x14ac:dyDescent="0.25">
      <c r="A3491" s="5">
        <f>3484</f>
      </c>
      <c r="B3491" s="5" t="s">
        <v>3499</v>
      </c>
      <c r="C3491" s="5">
        <v>104.1</v>
      </c>
      <c r="D3491" s="5">
        <v>0.1</v>
      </c>
      <c r="E3491" s="5">
        <v>104.3</v>
      </c>
      <c r="F3491" s="5">
        <v>208.3</v>
      </c>
      <c r="G3491" s="5">
        <v>103.9</v>
      </c>
      <c r="H3491" s="5">
        <v>103.8</v>
      </c>
      <c r="I3491" s="5">
        <v>0</v>
      </c>
      <c r="J3491" s="5">
        <v>0</v>
      </c>
      <c r="K3491" s="5">
        <v>0</v>
      </c>
    </row>
    <row r="3492" spans="1:11" x14ac:dyDescent="0.25">
      <c r="A3492" s="5">
        <f>3485</f>
      </c>
      <c r="B3492" s="5" t="s">
        <v>3500</v>
      </c>
      <c r="C3492" s="5">
        <v>104.1</v>
      </c>
      <c r="D3492" s="5">
        <v>0.1</v>
      </c>
      <c r="E3492" s="5">
        <v>104.3</v>
      </c>
      <c r="F3492" s="5">
        <v>209.5</v>
      </c>
      <c r="G3492" s="5">
        <v>103.9</v>
      </c>
      <c r="H3492" s="5">
        <v>103.8</v>
      </c>
      <c r="I3492" s="5">
        <v>0</v>
      </c>
      <c r="J3492" s="5">
        <v>0</v>
      </c>
      <c r="K3492" s="5">
        <v>0</v>
      </c>
    </row>
    <row r="3493" spans="1:11" x14ac:dyDescent="0.25">
      <c r="A3493" s="5">
        <f>3486</f>
      </c>
      <c r="B3493" s="5" t="s">
        <v>3501</v>
      </c>
      <c r="C3493" s="5">
        <v>105</v>
      </c>
      <c r="D3493" s="5">
        <v>0.1</v>
      </c>
      <c r="E3493" s="5">
        <v>105.1</v>
      </c>
      <c r="F3493" s="5">
        <v>209.5</v>
      </c>
      <c r="G3493" s="5">
        <v>104.6</v>
      </c>
      <c r="H3493" s="5">
        <v>104.4</v>
      </c>
      <c r="I3493" s="5">
        <v>0</v>
      </c>
      <c r="J3493" s="5">
        <v>0</v>
      </c>
      <c r="K3493" s="5">
        <v>0</v>
      </c>
    </row>
    <row r="3494" spans="1:11" x14ac:dyDescent="0.25">
      <c r="A3494" s="5">
        <f>3487</f>
      </c>
      <c r="B3494" s="5" t="s">
        <v>3502</v>
      </c>
      <c r="C3494" s="5">
        <v>105</v>
      </c>
      <c r="D3494" s="5">
        <v>0.1</v>
      </c>
      <c r="E3494" s="5">
        <v>105.1</v>
      </c>
      <c r="F3494" s="5">
        <v>209.5</v>
      </c>
      <c r="G3494" s="5">
        <v>104.6</v>
      </c>
      <c r="H3494" s="5">
        <v>104.4</v>
      </c>
      <c r="I3494" s="5">
        <v>0</v>
      </c>
      <c r="J3494" s="5">
        <v>0</v>
      </c>
      <c r="K3494" s="5">
        <v>0</v>
      </c>
    </row>
    <row r="3495" spans="1:11" x14ac:dyDescent="0.25">
      <c r="A3495" s="5">
        <f>3488</f>
      </c>
      <c r="B3495" s="5" t="s">
        <v>3503</v>
      </c>
      <c r="C3495" s="5">
        <v>104.6</v>
      </c>
      <c r="D3495" s="5">
        <v>0.1</v>
      </c>
      <c r="E3495" s="5">
        <v>104.7</v>
      </c>
      <c r="F3495" s="5">
        <v>208.9</v>
      </c>
      <c r="G3495" s="5">
        <v>104.2</v>
      </c>
      <c r="H3495" s="5">
        <v>104.1</v>
      </c>
      <c r="I3495" s="5">
        <v>0</v>
      </c>
      <c r="J3495" s="5">
        <v>0</v>
      </c>
      <c r="K3495" s="5">
        <v>0</v>
      </c>
    </row>
    <row r="3496" spans="1:11" x14ac:dyDescent="0.25">
      <c r="A3496" s="5">
        <f>3489</f>
      </c>
      <c r="B3496" s="5" t="s">
        <v>3504</v>
      </c>
      <c r="C3496" s="5">
        <v>104.6</v>
      </c>
      <c r="D3496" s="5">
        <v>0.1</v>
      </c>
      <c r="E3496" s="5">
        <v>104.7</v>
      </c>
      <c r="F3496" s="5">
        <v>208.9</v>
      </c>
      <c r="G3496" s="5">
        <v>104.2</v>
      </c>
      <c r="H3496" s="5">
        <v>104.1</v>
      </c>
      <c r="I3496" s="5">
        <v>0</v>
      </c>
      <c r="J3496" s="5">
        <v>0</v>
      </c>
      <c r="K3496" s="5">
        <v>0</v>
      </c>
    </row>
    <row r="3497" spans="1:11" x14ac:dyDescent="0.25">
      <c r="A3497" s="5">
        <f>3490</f>
      </c>
      <c r="B3497" s="5" t="s">
        <v>3505</v>
      </c>
      <c r="C3497" s="5">
        <v>104.6</v>
      </c>
      <c r="D3497" s="5">
        <v>0.1</v>
      </c>
      <c r="E3497" s="5">
        <v>104.7</v>
      </c>
      <c r="F3497" s="5">
        <v>208.9</v>
      </c>
      <c r="G3497" s="5">
        <v>104.2</v>
      </c>
      <c r="H3497" s="5">
        <v>104.1</v>
      </c>
      <c r="I3497" s="5">
        <v>0</v>
      </c>
      <c r="J3497" s="5">
        <v>0</v>
      </c>
      <c r="K3497" s="5">
        <v>0</v>
      </c>
    </row>
    <row r="3498" spans="1:11" x14ac:dyDescent="0.25">
      <c r="A3498" s="5">
        <f>3491</f>
      </c>
      <c r="B3498" s="5" t="s">
        <v>3506</v>
      </c>
      <c r="C3498" s="5">
        <v>104.7</v>
      </c>
      <c r="D3498" s="5">
        <v>0.1</v>
      </c>
      <c r="E3498" s="5">
        <v>104.7</v>
      </c>
      <c r="F3498" s="5">
        <v>208.9</v>
      </c>
      <c r="G3498" s="5">
        <v>104.2</v>
      </c>
      <c r="H3498" s="5">
        <v>104.1</v>
      </c>
      <c r="I3498" s="5">
        <v>0</v>
      </c>
      <c r="J3498" s="5">
        <v>0</v>
      </c>
      <c r="K3498" s="5">
        <v>0</v>
      </c>
    </row>
    <row r="3499" spans="1:11" x14ac:dyDescent="0.25">
      <c r="A3499" s="5">
        <f>3492</f>
      </c>
      <c r="B3499" s="5" t="s">
        <v>3507</v>
      </c>
      <c r="C3499" s="5">
        <v>104.7</v>
      </c>
      <c r="D3499" s="5">
        <v>0.1</v>
      </c>
      <c r="E3499" s="5">
        <v>104.9</v>
      </c>
      <c r="F3499" s="5">
        <v>209</v>
      </c>
      <c r="G3499" s="5">
        <v>104.3</v>
      </c>
      <c r="H3499" s="5">
        <v>104.1</v>
      </c>
      <c r="I3499" s="5">
        <v>0</v>
      </c>
      <c r="J3499" s="5">
        <v>0</v>
      </c>
      <c r="K3499" s="5">
        <v>0</v>
      </c>
    </row>
    <row r="3500" spans="1:11" x14ac:dyDescent="0.25">
      <c r="A3500" s="5">
        <f>3493</f>
      </c>
      <c r="B3500" s="5" t="s">
        <v>3508</v>
      </c>
      <c r="C3500" s="5">
        <v>104.7</v>
      </c>
      <c r="D3500" s="5">
        <v>0.1</v>
      </c>
      <c r="E3500" s="5">
        <v>104.9</v>
      </c>
      <c r="F3500" s="5">
        <v>209</v>
      </c>
      <c r="G3500" s="5">
        <v>104.3</v>
      </c>
      <c r="H3500" s="5">
        <v>104.1</v>
      </c>
      <c r="I3500" s="5">
        <v>0</v>
      </c>
      <c r="J3500" s="5">
        <v>0</v>
      </c>
      <c r="K3500" s="5">
        <v>0</v>
      </c>
    </row>
    <row r="3501" spans="1:11" x14ac:dyDescent="0.25">
      <c r="A3501" s="5">
        <f>3494</f>
      </c>
      <c r="B3501" s="5" t="s">
        <v>3509</v>
      </c>
      <c r="C3501" s="5">
        <v>105</v>
      </c>
      <c r="D3501" s="5">
        <v>0.1</v>
      </c>
      <c r="E3501" s="5">
        <v>105.1</v>
      </c>
      <c r="F3501" s="5">
        <v>209.7</v>
      </c>
      <c r="G3501" s="5">
        <v>104.6</v>
      </c>
      <c r="H3501" s="5">
        <v>104.5</v>
      </c>
      <c r="I3501" s="5">
        <v>0</v>
      </c>
      <c r="J3501" s="5">
        <v>0</v>
      </c>
      <c r="K3501" s="5">
        <v>0</v>
      </c>
    </row>
    <row r="3502" spans="1:11" x14ac:dyDescent="0.25">
      <c r="A3502" s="5">
        <f>3495</f>
      </c>
      <c r="B3502" s="5" t="s">
        <v>3510</v>
      </c>
      <c r="C3502" s="5">
        <v>105</v>
      </c>
      <c r="D3502" s="5">
        <v>0.1</v>
      </c>
      <c r="E3502" s="5">
        <v>105.1</v>
      </c>
      <c r="F3502" s="5">
        <v>209.7</v>
      </c>
      <c r="G3502" s="5">
        <v>104.6</v>
      </c>
      <c r="H3502" s="5">
        <v>104.5</v>
      </c>
      <c r="I3502" s="5">
        <v>0</v>
      </c>
      <c r="J3502" s="5">
        <v>0</v>
      </c>
      <c r="K3502" s="5">
        <v>0</v>
      </c>
    </row>
    <row r="3503" spans="1:11" x14ac:dyDescent="0.25">
      <c r="A3503" s="5">
        <f>3496</f>
      </c>
      <c r="B3503" s="5" t="s">
        <v>3511</v>
      </c>
      <c r="C3503" s="5">
        <v>104.6</v>
      </c>
      <c r="D3503" s="5">
        <v>0.1</v>
      </c>
      <c r="E3503" s="5">
        <v>104.7</v>
      </c>
      <c r="F3503" s="5">
        <v>208.5</v>
      </c>
      <c r="G3503" s="5">
        <v>104</v>
      </c>
      <c r="H3503" s="5">
        <v>103.8</v>
      </c>
      <c r="I3503" s="5">
        <v>0</v>
      </c>
      <c r="J3503" s="5">
        <v>0</v>
      </c>
      <c r="K3503" s="5">
        <v>0</v>
      </c>
    </row>
    <row r="3504" spans="1:11" x14ac:dyDescent="0.25">
      <c r="A3504" s="5">
        <f>3497</f>
      </c>
      <c r="B3504" s="5" t="s">
        <v>3512</v>
      </c>
      <c r="C3504" s="5">
        <v>104.6</v>
      </c>
      <c r="D3504" s="5">
        <v>0.1</v>
      </c>
      <c r="E3504" s="5">
        <v>104.7</v>
      </c>
      <c r="F3504" s="5">
        <v>208.5</v>
      </c>
      <c r="G3504" s="5">
        <v>104</v>
      </c>
      <c r="H3504" s="5">
        <v>103.8</v>
      </c>
      <c r="I3504" s="5">
        <v>0</v>
      </c>
      <c r="J3504" s="5">
        <v>0</v>
      </c>
      <c r="K3504" s="5">
        <v>0</v>
      </c>
    </row>
    <row r="3505" spans="1:11" x14ac:dyDescent="0.25">
      <c r="A3505" s="5">
        <f>3498</f>
      </c>
      <c r="B3505" s="5" t="s">
        <v>3513</v>
      </c>
      <c r="C3505" s="5">
        <v>104.9</v>
      </c>
      <c r="D3505" s="5">
        <v>0.1</v>
      </c>
      <c r="E3505" s="5">
        <v>105</v>
      </c>
      <c r="F3505" s="5">
        <v>209.9</v>
      </c>
      <c r="G3505" s="5">
        <v>104.5</v>
      </c>
      <c r="H3505" s="5">
        <v>104.4</v>
      </c>
      <c r="I3505" s="5">
        <v>0</v>
      </c>
      <c r="J3505" s="5">
        <v>0</v>
      </c>
      <c r="K3505" s="5">
        <v>0</v>
      </c>
    </row>
    <row r="3506" spans="1:11" x14ac:dyDescent="0.25">
      <c r="A3506" s="5">
        <f>3499</f>
      </c>
      <c r="B3506" s="5" t="s">
        <v>3514</v>
      </c>
      <c r="C3506" s="5">
        <v>104.9</v>
      </c>
      <c r="D3506" s="5">
        <v>0.1</v>
      </c>
      <c r="E3506" s="5">
        <v>105</v>
      </c>
      <c r="F3506" s="5">
        <v>209.9</v>
      </c>
      <c r="G3506" s="5">
        <v>104.5</v>
      </c>
      <c r="H3506" s="5">
        <v>104.4</v>
      </c>
      <c r="I3506" s="5">
        <v>0</v>
      </c>
      <c r="J3506" s="5">
        <v>0</v>
      </c>
      <c r="K3506" s="5">
        <v>0</v>
      </c>
    </row>
    <row r="3507" spans="1:11" x14ac:dyDescent="0.25">
      <c r="A3507" s="5">
        <f>3500</f>
      </c>
      <c r="B3507" s="5" t="s">
        <v>3515</v>
      </c>
      <c r="C3507" s="5">
        <v>104.9</v>
      </c>
      <c r="D3507" s="5">
        <v>0.1</v>
      </c>
      <c r="E3507" s="5">
        <v>105</v>
      </c>
      <c r="F3507" s="5">
        <v>209.9</v>
      </c>
      <c r="G3507" s="5">
        <v>104.5</v>
      </c>
      <c r="H3507" s="5">
        <v>104.4</v>
      </c>
      <c r="I3507" s="5">
        <v>0</v>
      </c>
      <c r="J3507" s="5">
        <v>0</v>
      </c>
      <c r="K3507" s="5">
        <v>0</v>
      </c>
    </row>
    <row r="3508" spans="1:11" x14ac:dyDescent="0.25">
      <c r="A3508" s="5">
        <f>3501</f>
      </c>
      <c r="B3508" s="5" t="s">
        <v>3516</v>
      </c>
      <c r="C3508" s="5">
        <v>104.9</v>
      </c>
      <c r="D3508" s="5">
        <v>0.1</v>
      </c>
      <c r="E3508" s="5">
        <v>105</v>
      </c>
      <c r="F3508" s="5">
        <v>209.9</v>
      </c>
      <c r="G3508" s="5">
        <v>104.5</v>
      </c>
      <c r="H3508" s="5">
        <v>104.4</v>
      </c>
      <c r="I3508" s="5">
        <v>0</v>
      </c>
      <c r="J3508" s="5">
        <v>0</v>
      </c>
      <c r="K3508" s="5">
        <v>0</v>
      </c>
    </row>
    <row r="3509" spans="1:11" x14ac:dyDescent="0.25">
      <c r="A3509" s="5">
        <f>3502</f>
      </c>
      <c r="B3509" s="5" t="s">
        <v>3517</v>
      </c>
      <c r="C3509" s="5">
        <v>104.7</v>
      </c>
      <c r="D3509" s="5">
        <v>0.1</v>
      </c>
      <c r="E3509" s="5">
        <v>104.9</v>
      </c>
      <c r="F3509" s="5">
        <v>209.4</v>
      </c>
      <c r="G3509" s="5">
        <v>104.5</v>
      </c>
      <c r="H3509" s="5">
        <v>104.3</v>
      </c>
      <c r="I3509" s="5">
        <v>0</v>
      </c>
      <c r="J3509" s="5">
        <v>0</v>
      </c>
      <c r="K3509" s="5">
        <v>0</v>
      </c>
    </row>
    <row r="3510" spans="1:11" x14ac:dyDescent="0.25">
      <c r="A3510" s="5">
        <f>3503</f>
      </c>
      <c r="B3510" s="5" t="s">
        <v>3518</v>
      </c>
      <c r="C3510" s="5">
        <v>104.7</v>
      </c>
      <c r="D3510" s="5">
        <v>0.1</v>
      </c>
      <c r="E3510" s="5">
        <v>104.9</v>
      </c>
      <c r="F3510" s="5">
        <v>209.4</v>
      </c>
      <c r="G3510" s="5">
        <v>104.5</v>
      </c>
      <c r="H3510" s="5">
        <v>104.3</v>
      </c>
      <c r="I3510" s="5">
        <v>0</v>
      </c>
      <c r="J3510" s="5">
        <v>0</v>
      </c>
      <c r="K3510" s="5">
        <v>0</v>
      </c>
    </row>
    <row r="3511" spans="1:11" x14ac:dyDescent="0.25">
      <c r="A3511" s="5">
        <f>3504</f>
      </c>
      <c r="B3511" s="5" t="s">
        <v>3519</v>
      </c>
      <c r="C3511" s="5">
        <v>104.4</v>
      </c>
      <c r="D3511" s="5">
        <v>0.1</v>
      </c>
      <c r="E3511" s="5">
        <v>104.6</v>
      </c>
      <c r="F3511" s="5">
        <v>208.6</v>
      </c>
      <c r="G3511" s="5">
        <v>104.1</v>
      </c>
      <c r="H3511" s="5">
        <v>103.9</v>
      </c>
      <c r="I3511" s="5">
        <v>0</v>
      </c>
      <c r="J3511" s="5">
        <v>0</v>
      </c>
      <c r="K3511" s="5">
        <v>0</v>
      </c>
    </row>
    <row r="3512" spans="1:11" x14ac:dyDescent="0.25">
      <c r="A3512" s="5">
        <f>3505</f>
      </c>
      <c r="B3512" s="5" t="s">
        <v>3520</v>
      </c>
      <c r="C3512" s="5">
        <v>104.4</v>
      </c>
      <c r="D3512" s="5">
        <v>0.1</v>
      </c>
      <c r="E3512" s="5">
        <v>104.6</v>
      </c>
      <c r="F3512" s="5">
        <v>208.6</v>
      </c>
      <c r="G3512" s="5">
        <v>104.1</v>
      </c>
      <c r="H3512" s="5">
        <v>103.9</v>
      </c>
      <c r="I3512" s="5">
        <v>0</v>
      </c>
      <c r="J3512" s="5">
        <v>0</v>
      </c>
      <c r="K3512" s="5">
        <v>0</v>
      </c>
    </row>
    <row r="3513" spans="1:11" x14ac:dyDescent="0.25">
      <c r="A3513" s="5">
        <f>3506</f>
      </c>
      <c r="B3513" s="5" t="s">
        <v>3521</v>
      </c>
      <c r="C3513" s="5">
        <v>105.7</v>
      </c>
      <c r="D3513" s="5">
        <v>0.1</v>
      </c>
      <c r="E3513" s="5">
        <v>105.9</v>
      </c>
      <c r="F3513" s="5">
        <v>210.3</v>
      </c>
      <c r="G3513" s="5">
        <v>104.9</v>
      </c>
      <c r="H3513" s="5">
        <v>104.9</v>
      </c>
      <c r="I3513" s="5">
        <v>0</v>
      </c>
      <c r="J3513" s="5">
        <v>0</v>
      </c>
      <c r="K3513" s="5">
        <v>0</v>
      </c>
    </row>
    <row r="3514" spans="1:11" x14ac:dyDescent="0.25">
      <c r="A3514" s="5">
        <f>3507</f>
      </c>
      <c r="B3514" s="5" t="s">
        <v>3522</v>
      </c>
      <c r="C3514" s="5">
        <v>105.7</v>
      </c>
      <c r="D3514" s="5">
        <v>0.1</v>
      </c>
      <c r="E3514" s="5">
        <v>105.9</v>
      </c>
      <c r="F3514" s="5">
        <v>210.3</v>
      </c>
      <c r="G3514" s="5">
        <v>104.9</v>
      </c>
      <c r="H3514" s="5">
        <v>104.9</v>
      </c>
      <c r="I3514" s="5">
        <v>0</v>
      </c>
      <c r="J3514" s="5">
        <v>0</v>
      </c>
      <c r="K3514" s="5">
        <v>0</v>
      </c>
    </row>
    <row r="3515" spans="1:11" x14ac:dyDescent="0.25">
      <c r="A3515" s="5">
        <f>3508</f>
      </c>
      <c r="B3515" s="5" t="s">
        <v>3523</v>
      </c>
      <c r="C3515" s="5">
        <v>104.2</v>
      </c>
      <c r="D3515" s="5">
        <v>0.1</v>
      </c>
      <c r="E3515" s="5">
        <v>104.3</v>
      </c>
      <c r="F3515" s="5">
        <v>208.4</v>
      </c>
      <c r="G3515" s="5">
        <v>104</v>
      </c>
      <c r="H3515" s="5">
        <v>104.1</v>
      </c>
      <c r="I3515" s="5">
        <v>0</v>
      </c>
      <c r="J3515" s="5">
        <v>0</v>
      </c>
      <c r="K3515" s="5">
        <v>0</v>
      </c>
    </row>
    <row r="3516" spans="1:11" x14ac:dyDescent="0.25">
      <c r="A3516" s="5">
        <f>3509</f>
      </c>
      <c r="B3516" s="5" t="s">
        <v>3524</v>
      </c>
      <c r="C3516" s="5">
        <v>104.2</v>
      </c>
      <c r="D3516" s="5">
        <v>0.1</v>
      </c>
      <c r="E3516" s="5">
        <v>104.3</v>
      </c>
      <c r="F3516" s="5">
        <v>208.4</v>
      </c>
      <c r="G3516" s="5">
        <v>104</v>
      </c>
      <c r="H3516" s="5">
        <v>104.1</v>
      </c>
      <c r="I3516" s="5">
        <v>0</v>
      </c>
      <c r="J3516" s="5">
        <v>0</v>
      </c>
      <c r="K3516" s="5">
        <v>0</v>
      </c>
    </row>
    <row r="3517" spans="1:11" x14ac:dyDescent="0.25">
      <c r="A3517" s="5">
        <f>3510</f>
      </c>
      <c r="B3517" s="5" t="s">
        <v>3525</v>
      </c>
      <c r="C3517" s="5">
        <v>104.2</v>
      </c>
      <c r="D3517" s="5">
        <v>0.1</v>
      </c>
      <c r="E3517" s="5">
        <v>104.3</v>
      </c>
      <c r="F3517" s="5">
        <v>208.4</v>
      </c>
      <c r="G3517" s="5">
        <v>104</v>
      </c>
      <c r="H3517" s="5">
        <v>104.1</v>
      </c>
      <c r="I3517" s="5">
        <v>0</v>
      </c>
      <c r="J3517" s="5">
        <v>0</v>
      </c>
      <c r="K3517" s="5">
        <v>0</v>
      </c>
    </row>
    <row r="3518" spans="1:11" x14ac:dyDescent="0.25">
      <c r="A3518" s="5">
        <f>3511</f>
      </c>
      <c r="B3518" s="5" t="s">
        <v>3526</v>
      </c>
      <c r="C3518" s="5">
        <v>104.2</v>
      </c>
      <c r="D3518" s="5">
        <v>0.1</v>
      </c>
      <c r="E3518" s="5">
        <v>104.3</v>
      </c>
      <c r="F3518" s="5">
        <v>208.4</v>
      </c>
      <c r="G3518" s="5">
        <v>104</v>
      </c>
      <c r="H3518" s="5">
        <v>104.1</v>
      </c>
      <c r="I3518" s="5">
        <v>0</v>
      </c>
      <c r="J3518" s="5">
        <v>0</v>
      </c>
      <c r="K3518" s="5">
        <v>0</v>
      </c>
    </row>
    <row r="3519" spans="1:11" x14ac:dyDescent="0.25">
      <c r="A3519" s="5">
        <f>3512</f>
      </c>
      <c r="B3519" s="5" t="s">
        <v>3527</v>
      </c>
      <c r="C3519" s="5">
        <v>104.8</v>
      </c>
      <c r="D3519" s="5">
        <v>0.1</v>
      </c>
      <c r="E3519" s="5">
        <v>105</v>
      </c>
      <c r="F3519" s="5">
        <v>209.2</v>
      </c>
      <c r="G3519" s="5">
        <v>104.3</v>
      </c>
      <c r="H3519" s="5">
        <v>104.2</v>
      </c>
      <c r="I3519" s="5">
        <v>0</v>
      </c>
      <c r="J3519" s="5">
        <v>0</v>
      </c>
      <c r="K3519" s="5">
        <v>0</v>
      </c>
    </row>
    <row r="3520" spans="1:11" x14ac:dyDescent="0.25">
      <c r="A3520" s="5">
        <f>3513</f>
      </c>
      <c r="B3520" s="5" t="s">
        <v>3528</v>
      </c>
      <c r="C3520" s="5">
        <v>104.8</v>
      </c>
      <c r="D3520" s="5">
        <v>0.1</v>
      </c>
      <c r="E3520" s="5">
        <v>105</v>
      </c>
      <c r="F3520" s="5">
        <v>209.2</v>
      </c>
      <c r="G3520" s="5">
        <v>104.3</v>
      </c>
      <c r="H3520" s="5">
        <v>104.2</v>
      </c>
      <c r="I3520" s="5">
        <v>0</v>
      </c>
      <c r="J3520" s="5">
        <v>0</v>
      </c>
      <c r="K3520" s="5">
        <v>0</v>
      </c>
    </row>
    <row r="3521" spans="1:11" x14ac:dyDescent="0.25">
      <c r="A3521" s="5">
        <f>3514</f>
      </c>
      <c r="B3521" s="5" t="s">
        <v>3529</v>
      </c>
      <c r="C3521" s="5">
        <v>104.6</v>
      </c>
      <c r="D3521" s="5">
        <v>0.1</v>
      </c>
      <c r="E3521" s="5">
        <v>104.8</v>
      </c>
      <c r="F3521" s="5">
        <v>209.2</v>
      </c>
      <c r="G3521" s="5">
        <v>104.4</v>
      </c>
      <c r="H3521" s="5">
        <v>104.2</v>
      </c>
      <c r="I3521" s="5">
        <v>0</v>
      </c>
      <c r="J3521" s="5">
        <v>0</v>
      </c>
      <c r="K3521" s="5">
        <v>0</v>
      </c>
    </row>
    <row r="3522" spans="1:11" x14ac:dyDescent="0.25">
      <c r="A3522" s="5">
        <f>3515</f>
      </c>
      <c r="B3522" s="5" t="s">
        <v>3530</v>
      </c>
      <c r="C3522" s="5">
        <v>104.6</v>
      </c>
      <c r="D3522" s="5">
        <v>0.1</v>
      </c>
      <c r="E3522" s="5">
        <v>104.8</v>
      </c>
      <c r="F3522" s="5">
        <v>209.2</v>
      </c>
      <c r="G3522" s="5">
        <v>104.4</v>
      </c>
      <c r="H3522" s="5">
        <v>104.2</v>
      </c>
      <c r="I3522" s="5">
        <v>0</v>
      </c>
      <c r="J3522" s="5">
        <v>0</v>
      </c>
      <c r="K3522" s="5">
        <v>0</v>
      </c>
    </row>
    <row r="3523" spans="1:11" x14ac:dyDescent="0.25">
      <c r="A3523" s="5">
        <f>3516</f>
      </c>
      <c r="B3523" s="5" t="s">
        <v>3531</v>
      </c>
      <c r="C3523" s="5">
        <v>104.8</v>
      </c>
      <c r="D3523" s="5">
        <v>0.1</v>
      </c>
      <c r="E3523" s="5">
        <v>105</v>
      </c>
      <c r="F3523" s="5">
        <v>209.3</v>
      </c>
      <c r="G3523" s="5">
        <v>104.4</v>
      </c>
      <c r="H3523" s="5">
        <v>104.3</v>
      </c>
      <c r="I3523" s="5">
        <v>0</v>
      </c>
      <c r="J3523" s="5">
        <v>0</v>
      </c>
      <c r="K3523" s="5">
        <v>0</v>
      </c>
    </row>
    <row r="3524" spans="1:11" x14ac:dyDescent="0.25">
      <c r="A3524" s="5">
        <f>3517</f>
      </c>
      <c r="B3524" s="5" t="s">
        <v>3532</v>
      </c>
      <c r="C3524" s="5">
        <v>104.8</v>
      </c>
      <c r="D3524" s="5">
        <v>0.1</v>
      </c>
      <c r="E3524" s="5">
        <v>105</v>
      </c>
      <c r="F3524" s="5">
        <v>209.3</v>
      </c>
      <c r="G3524" s="5">
        <v>104.4</v>
      </c>
      <c r="H3524" s="5">
        <v>104.3</v>
      </c>
      <c r="I3524" s="5">
        <v>0</v>
      </c>
      <c r="J3524" s="5">
        <v>0</v>
      </c>
      <c r="K3524" s="5">
        <v>0</v>
      </c>
    </row>
    <row r="3525" spans="1:11" x14ac:dyDescent="0.25">
      <c r="A3525" s="5">
        <f>3518</f>
      </c>
      <c r="B3525" s="5" t="s">
        <v>3533</v>
      </c>
      <c r="C3525" s="5">
        <v>104.7</v>
      </c>
      <c r="D3525" s="5">
        <v>0.1</v>
      </c>
      <c r="E3525" s="5">
        <v>104.9</v>
      </c>
      <c r="F3525" s="5">
        <v>209.6</v>
      </c>
      <c r="G3525" s="5">
        <v>104.5</v>
      </c>
      <c r="H3525" s="5">
        <v>104.5</v>
      </c>
      <c r="I3525" s="5">
        <v>0</v>
      </c>
      <c r="J3525" s="5">
        <v>0</v>
      </c>
      <c r="K3525" s="5">
        <v>0</v>
      </c>
    </row>
    <row r="3526" spans="1:11" x14ac:dyDescent="0.25">
      <c r="A3526" s="5">
        <f>3519</f>
      </c>
      <c r="B3526" s="5" t="s">
        <v>3534</v>
      </c>
      <c r="C3526" s="5">
        <v>104.7</v>
      </c>
      <c r="D3526" s="5">
        <v>0.1</v>
      </c>
      <c r="E3526" s="5">
        <v>104.9</v>
      </c>
      <c r="F3526" s="5">
        <v>209.6</v>
      </c>
      <c r="G3526" s="5">
        <v>104.5</v>
      </c>
      <c r="H3526" s="5">
        <v>104.5</v>
      </c>
      <c r="I3526" s="5">
        <v>0</v>
      </c>
      <c r="J3526" s="5">
        <v>0</v>
      </c>
      <c r="K3526" s="5">
        <v>0</v>
      </c>
    </row>
    <row r="3527" spans="1:11" x14ac:dyDescent="0.25">
      <c r="A3527" s="5">
        <f>3520</f>
      </c>
      <c r="B3527" s="5" t="s">
        <v>3535</v>
      </c>
      <c r="C3527" s="5">
        <v>104.7</v>
      </c>
      <c r="D3527" s="5">
        <v>0.1</v>
      </c>
      <c r="E3527" s="5">
        <v>104.9</v>
      </c>
      <c r="F3527" s="5">
        <v>209.6</v>
      </c>
      <c r="G3527" s="5">
        <v>104.5</v>
      </c>
      <c r="H3527" s="5">
        <v>104.5</v>
      </c>
      <c r="I3527" s="5">
        <v>0</v>
      </c>
      <c r="J3527" s="5">
        <v>0</v>
      </c>
      <c r="K3527" s="5">
        <v>0</v>
      </c>
    </row>
    <row r="3528" spans="1:11" x14ac:dyDescent="0.25">
      <c r="A3528" s="5">
        <f>3521</f>
      </c>
      <c r="B3528" s="5" t="s">
        <v>3536</v>
      </c>
      <c r="C3528" s="5">
        <v>100.5</v>
      </c>
      <c r="D3528" s="5">
        <v>0.1</v>
      </c>
      <c r="E3528" s="5">
        <v>100.6</v>
      </c>
      <c r="F3528" s="5">
        <v>201.4</v>
      </c>
      <c r="G3528" s="5">
        <v>102.8</v>
      </c>
      <c r="H3528" s="5">
        <v>104.1</v>
      </c>
      <c r="I3528" s="5">
        <v>0</v>
      </c>
      <c r="J3528" s="5">
        <v>0</v>
      </c>
      <c r="K3528" s="5">
        <v>0</v>
      </c>
    </row>
    <row r="3529" spans="1:11" x14ac:dyDescent="0.25">
      <c r="A3529" s="5">
        <f>3522</f>
      </c>
      <c r="B3529" s="5" t="s">
        <v>3537</v>
      </c>
      <c r="C3529" s="5">
        <v>100.5</v>
      </c>
      <c r="D3529" s="5">
        <v>0.1</v>
      </c>
      <c r="E3529" s="5">
        <v>100.6</v>
      </c>
      <c r="F3529" s="5">
        <v>201.4</v>
      </c>
      <c r="G3529" s="5">
        <v>102.8</v>
      </c>
      <c r="H3529" s="5">
        <v>104.1</v>
      </c>
      <c r="I3529" s="5">
        <v>0</v>
      </c>
      <c r="J3529" s="5">
        <v>0</v>
      </c>
      <c r="K3529" s="5">
        <v>0</v>
      </c>
    </row>
    <row r="3530" spans="1:11" x14ac:dyDescent="0.25">
      <c r="A3530" s="5">
        <f>3523</f>
      </c>
      <c r="B3530" s="5" t="s">
        <v>3538</v>
      </c>
      <c r="C3530" s="5">
        <v>98.7</v>
      </c>
      <c r="D3530" s="5">
        <v>0.1</v>
      </c>
      <c r="E3530" s="5">
        <v>98.9</v>
      </c>
      <c r="F3530" s="5">
        <v>198.3</v>
      </c>
      <c r="G3530" s="5">
        <v>99.5</v>
      </c>
      <c r="H3530" s="5">
        <v>99.4</v>
      </c>
      <c r="I3530" s="5">
        <v>0</v>
      </c>
      <c r="J3530" s="5">
        <v>0</v>
      </c>
      <c r="K3530" s="5">
        <v>0</v>
      </c>
    </row>
    <row r="3531" spans="1:11" x14ac:dyDescent="0.25">
      <c r="A3531" s="5">
        <f>3524</f>
      </c>
      <c r="B3531" s="5" t="s">
        <v>3539</v>
      </c>
      <c r="C3531" s="5">
        <v>98.7</v>
      </c>
      <c r="D3531" s="5">
        <v>0.1</v>
      </c>
      <c r="E3531" s="5">
        <v>98.9</v>
      </c>
      <c r="F3531" s="5">
        <v>198.3</v>
      </c>
      <c r="G3531" s="5">
        <v>99.5</v>
      </c>
      <c r="H3531" s="5">
        <v>99.4</v>
      </c>
      <c r="I3531" s="5">
        <v>0</v>
      </c>
      <c r="J3531" s="5">
        <v>0</v>
      </c>
      <c r="K3531" s="5">
        <v>0</v>
      </c>
    </row>
    <row r="3532" spans="1:11" x14ac:dyDescent="0.25">
      <c r="A3532" s="5">
        <f>3525</f>
      </c>
      <c r="B3532" s="5" t="s">
        <v>3540</v>
      </c>
      <c r="C3532" s="5">
        <v>102.1</v>
      </c>
      <c r="D3532" s="5">
        <v>0.1</v>
      </c>
      <c r="E3532" s="5">
        <v>102.3</v>
      </c>
      <c r="F3532" s="5">
        <v>199.9</v>
      </c>
      <c r="G3532" s="5">
        <v>98.6</v>
      </c>
      <c r="H3532" s="5">
        <v>98.5</v>
      </c>
      <c r="I3532" s="5">
        <v>0</v>
      </c>
      <c r="J3532" s="5">
        <v>0</v>
      </c>
      <c r="K3532" s="5">
        <v>0</v>
      </c>
    </row>
    <row r="3533" spans="1:11" x14ac:dyDescent="0.25">
      <c r="A3533" s="5">
        <f>3526</f>
      </c>
      <c r="B3533" s="5" t="s">
        <v>3541</v>
      </c>
      <c r="C3533" s="5">
        <v>102.1</v>
      </c>
      <c r="D3533" s="5">
        <v>0.1</v>
      </c>
      <c r="E3533" s="5">
        <v>102.3</v>
      </c>
      <c r="F3533" s="5">
        <v>199.9</v>
      </c>
      <c r="G3533" s="5">
        <v>98.6</v>
      </c>
      <c r="H3533" s="5">
        <v>98.5</v>
      </c>
      <c r="I3533" s="5">
        <v>0</v>
      </c>
      <c r="J3533" s="5">
        <v>0</v>
      </c>
      <c r="K3533" s="5">
        <v>0</v>
      </c>
    </row>
    <row r="3534" spans="1:11" x14ac:dyDescent="0.25">
      <c r="A3534" s="5">
        <f>3527</f>
      </c>
      <c r="B3534" s="5" t="s">
        <v>3542</v>
      </c>
      <c r="C3534" s="5">
        <v>100.2</v>
      </c>
      <c r="D3534" s="5">
        <v>0.1</v>
      </c>
      <c r="E3534" s="5">
        <v>100.4</v>
      </c>
      <c r="F3534" s="5">
        <v>201.9</v>
      </c>
      <c r="G3534" s="5">
        <v>100.5</v>
      </c>
      <c r="H3534" s="5">
        <v>100.2</v>
      </c>
      <c r="I3534" s="5">
        <v>0</v>
      </c>
      <c r="J3534" s="5">
        <v>0</v>
      </c>
      <c r="K3534" s="5">
        <v>0</v>
      </c>
    </row>
    <row r="3535" spans="1:11" x14ac:dyDescent="0.25">
      <c r="A3535" s="5">
        <f>3528</f>
      </c>
      <c r="B3535" s="5" t="s">
        <v>3543</v>
      </c>
      <c r="C3535" s="5">
        <v>100.2</v>
      </c>
      <c r="D3535" s="5">
        <v>0.1</v>
      </c>
      <c r="E3535" s="5">
        <v>100.4</v>
      </c>
      <c r="F3535" s="5">
        <v>201.9</v>
      </c>
      <c r="G3535" s="5">
        <v>100.5</v>
      </c>
      <c r="H3535" s="5">
        <v>100.2</v>
      </c>
      <c r="I3535" s="5">
        <v>0</v>
      </c>
      <c r="J3535" s="5">
        <v>0</v>
      </c>
      <c r="K3535" s="5">
        <v>0</v>
      </c>
    </row>
    <row r="3536" spans="1:11" x14ac:dyDescent="0.25">
      <c r="A3536" s="5">
        <f>3529</f>
      </c>
      <c r="B3536" s="5" t="s">
        <v>3544</v>
      </c>
      <c r="C3536" s="5">
        <v>100.2</v>
      </c>
      <c r="D3536" s="5">
        <v>0.1</v>
      </c>
      <c r="E3536" s="5">
        <v>100.4</v>
      </c>
      <c r="F3536" s="5">
        <v>201.9</v>
      </c>
      <c r="G3536" s="5">
        <v>100.5</v>
      </c>
      <c r="H3536" s="5">
        <v>100.2</v>
      </c>
      <c r="I3536" s="5">
        <v>0</v>
      </c>
      <c r="J3536" s="5">
        <v>0</v>
      </c>
      <c r="K3536" s="5">
        <v>0</v>
      </c>
    </row>
    <row r="3537" spans="1:11" x14ac:dyDescent="0.25">
      <c r="A3537" s="5">
        <f>3530</f>
      </c>
      <c r="B3537" s="5" t="s">
        <v>3545</v>
      </c>
      <c r="C3537" s="5">
        <v>100.2</v>
      </c>
      <c r="D3537" s="5">
        <v>0.1</v>
      </c>
      <c r="E3537" s="5">
        <v>100.4</v>
      </c>
      <c r="F3537" s="5">
        <v>201.9</v>
      </c>
      <c r="G3537" s="5">
        <v>100.5</v>
      </c>
      <c r="H3537" s="5">
        <v>100.2</v>
      </c>
      <c r="I3537" s="5">
        <v>0</v>
      </c>
      <c r="J3537" s="5">
        <v>0</v>
      </c>
      <c r="K3537" s="5">
        <v>0</v>
      </c>
    </row>
    <row r="3538" spans="1:11" x14ac:dyDescent="0.25">
      <c r="A3538" s="5">
        <f>3531</f>
      </c>
      <c r="B3538" s="5" t="s">
        <v>3546</v>
      </c>
      <c r="C3538" s="5">
        <v>98.2</v>
      </c>
      <c r="D3538" s="5">
        <v>0.1</v>
      </c>
      <c r="E3538" s="5">
        <v>98.3</v>
      </c>
      <c r="F3538" s="5">
        <v>195.7</v>
      </c>
      <c r="G3538" s="5">
        <v>97.6</v>
      </c>
      <c r="H3538" s="5">
        <v>97.5</v>
      </c>
      <c r="I3538" s="5">
        <v>0</v>
      </c>
      <c r="J3538" s="5">
        <v>0</v>
      </c>
      <c r="K3538" s="5">
        <v>0</v>
      </c>
    </row>
    <row r="3539" spans="1:11" x14ac:dyDescent="0.25">
      <c r="A3539" s="5">
        <f>3532</f>
      </c>
      <c r="B3539" s="5" t="s">
        <v>3547</v>
      </c>
      <c r="C3539" s="5">
        <v>98.2</v>
      </c>
      <c r="D3539" s="5">
        <v>0.1</v>
      </c>
      <c r="E3539" s="5">
        <v>98.3</v>
      </c>
      <c r="F3539" s="5">
        <v>195.7</v>
      </c>
      <c r="G3539" s="5">
        <v>97.6</v>
      </c>
      <c r="H3539" s="5">
        <v>97.5</v>
      </c>
      <c r="I3539" s="5">
        <v>0</v>
      </c>
      <c r="J3539" s="5">
        <v>0</v>
      </c>
      <c r="K3539" s="5">
        <v>0</v>
      </c>
    </row>
    <row r="3540" spans="1:11" x14ac:dyDescent="0.25">
      <c r="A3540" s="5">
        <f>3533</f>
      </c>
      <c r="B3540" s="5" t="s">
        <v>3548</v>
      </c>
      <c r="C3540" s="5">
        <v>97.9</v>
      </c>
      <c r="D3540" s="5">
        <v>0.1</v>
      </c>
      <c r="E3540" s="5">
        <v>98</v>
      </c>
      <c r="F3540" s="5">
        <v>198.8</v>
      </c>
      <c r="G3540" s="5">
        <v>99</v>
      </c>
      <c r="H3540" s="5">
        <v>98.7</v>
      </c>
      <c r="I3540" s="5">
        <v>0</v>
      </c>
      <c r="J3540" s="5">
        <v>0</v>
      </c>
      <c r="K3540" s="5">
        <v>0</v>
      </c>
    </row>
    <row r="3541" spans="1:11" x14ac:dyDescent="0.25">
      <c r="A3541" s="5">
        <f>3534</f>
      </c>
      <c r="B3541" s="5" t="s">
        <v>3549</v>
      </c>
      <c r="C3541" s="5">
        <v>97.9</v>
      </c>
      <c r="D3541" s="5">
        <v>0.1</v>
      </c>
      <c r="E3541" s="5">
        <v>98</v>
      </c>
      <c r="F3541" s="5">
        <v>198.8</v>
      </c>
      <c r="G3541" s="5">
        <v>99</v>
      </c>
      <c r="H3541" s="5">
        <v>98.7</v>
      </c>
      <c r="I3541" s="5">
        <v>0</v>
      </c>
      <c r="J3541" s="5">
        <v>0</v>
      </c>
      <c r="K3541" s="5">
        <v>0</v>
      </c>
    </row>
    <row r="3542" spans="1:11" x14ac:dyDescent="0.25">
      <c r="A3542" s="5">
        <f>3535</f>
      </c>
      <c r="B3542" s="5" t="s">
        <v>3550</v>
      </c>
      <c r="C3542" s="5">
        <v>104.6</v>
      </c>
      <c r="D3542" s="5">
        <v>0.1</v>
      </c>
      <c r="E3542" s="5">
        <v>104.7</v>
      </c>
      <c r="F3542" s="5">
        <v>204.8</v>
      </c>
      <c r="G3542" s="5">
        <v>102.4</v>
      </c>
      <c r="H3542" s="5">
        <v>102.4</v>
      </c>
      <c r="I3542" s="5">
        <v>0</v>
      </c>
      <c r="J3542" s="5">
        <v>0</v>
      </c>
      <c r="K3542" s="5">
        <v>0</v>
      </c>
    </row>
    <row r="3543" spans="1:11" x14ac:dyDescent="0.25">
      <c r="A3543" s="5">
        <f>3536</f>
      </c>
      <c r="B3543" s="5" t="s">
        <v>3551</v>
      </c>
      <c r="C3543" s="5">
        <v>104.6</v>
      </c>
      <c r="D3543" s="5">
        <v>0.1</v>
      </c>
      <c r="E3543" s="5">
        <v>104.7</v>
      </c>
      <c r="F3543" s="5">
        <v>204.8</v>
      </c>
      <c r="G3543" s="5">
        <v>102.4</v>
      </c>
      <c r="H3543" s="5">
        <v>102.4</v>
      </c>
      <c r="I3543" s="5">
        <v>0</v>
      </c>
      <c r="J3543" s="5">
        <v>0</v>
      </c>
      <c r="K3543" s="5">
        <v>0</v>
      </c>
    </row>
    <row r="3544" spans="1:11" x14ac:dyDescent="0.25">
      <c r="A3544" s="5">
        <f>3537</f>
      </c>
      <c r="B3544" s="5" t="s">
        <v>3552</v>
      </c>
      <c r="C3544" s="5">
        <v>98.7</v>
      </c>
      <c r="D3544" s="5">
        <v>0.1</v>
      </c>
      <c r="E3544" s="5">
        <v>98.9</v>
      </c>
      <c r="F3544" s="5">
        <v>197.2</v>
      </c>
      <c r="G3544" s="5">
        <v>98.4</v>
      </c>
      <c r="H3544" s="5">
        <v>98.3</v>
      </c>
      <c r="I3544" s="5">
        <v>0</v>
      </c>
      <c r="J3544" s="5">
        <v>0</v>
      </c>
      <c r="K3544" s="5">
        <v>0</v>
      </c>
    </row>
    <row r="3545" spans="1:11" x14ac:dyDescent="0.25">
      <c r="A3545" s="5">
        <f>3538</f>
      </c>
      <c r="B3545" s="5" t="s">
        <v>3553</v>
      </c>
      <c r="C3545" s="5">
        <v>98.7</v>
      </c>
      <c r="D3545" s="5">
        <v>0.1</v>
      </c>
      <c r="E3545" s="5">
        <v>98.9</v>
      </c>
      <c r="F3545" s="5">
        <v>197.2</v>
      </c>
      <c r="G3545" s="5">
        <v>98.4</v>
      </c>
      <c r="H3545" s="5">
        <v>98.3</v>
      </c>
      <c r="I3545" s="5">
        <v>0</v>
      </c>
      <c r="J3545" s="5">
        <v>0</v>
      </c>
      <c r="K3545" s="5">
        <v>0</v>
      </c>
    </row>
    <row r="3546" spans="1:11" x14ac:dyDescent="0.25">
      <c r="A3546" s="5">
        <f>3539</f>
      </c>
      <c r="B3546" s="5" t="s">
        <v>3554</v>
      </c>
      <c r="C3546" s="5">
        <v>98.7</v>
      </c>
      <c r="D3546" s="5">
        <v>0.1</v>
      </c>
      <c r="E3546" s="5">
        <v>98.9</v>
      </c>
      <c r="F3546" s="5">
        <v>197.2</v>
      </c>
      <c r="G3546" s="5">
        <v>98.4</v>
      </c>
      <c r="H3546" s="5">
        <v>98.3</v>
      </c>
      <c r="I3546" s="5">
        <v>0</v>
      </c>
      <c r="J3546" s="5">
        <v>0</v>
      </c>
      <c r="K3546" s="5">
        <v>0</v>
      </c>
    </row>
    <row r="3547" spans="1:11" x14ac:dyDescent="0.25">
      <c r="A3547" s="5">
        <f>3540</f>
      </c>
      <c r="B3547" s="5" t="s">
        <v>3555</v>
      </c>
      <c r="C3547" s="5">
        <v>98.7</v>
      </c>
      <c r="D3547" s="5">
        <v>0.1</v>
      </c>
      <c r="E3547" s="5">
        <v>98.9</v>
      </c>
      <c r="F3547" s="5">
        <v>197.2</v>
      </c>
      <c r="G3547" s="5">
        <v>98.4</v>
      </c>
      <c r="H3547" s="5">
        <v>98.3</v>
      </c>
      <c r="I3547" s="5">
        <v>0</v>
      </c>
      <c r="J3547" s="5">
        <v>0</v>
      </c>
      <c r="K3547" s="5">
        <v>0</v>
      </c>
    </row>
    <row r="3548" spans="1:11" x14ac:dyDescent="0.25">
      <c r="A3548" s="5">
        <f>3541</f>
      </c>
      <c r="B3548" s="5" t="s">
        <v>3556</v>
      </c>
      <c r="C3548" s="5">
        <v>98.6</v>
      </c>
      <c r="D3548" s="5">
        <v>0.1</v>
      </c>
      <c r="E3548" s="5">
        <v>98.8</v>
      </c>
      <c r="F3548" s="5">
        <v>197.2</v>
      </c>
      <c r="G3548" s="5">
        <v>98.3</v>
      </c>
      <c r="H3548" s="5">
        <v>98.1</v>
      </c>
      <c r="I3548" s="5">
        <v>0</v>
      </c>
      <c r="J3548" s="5">
        <v>0</v>
      </c>
      <c r="K3548" s="5">
        <v>0</v>
      </c>
    </row>
    <row r="3549" spans="1:11" x14ac:dyDescent="0.25">
      <c r="A3549" s="5">
        <f>3542</f>
      </c>
      <c r="B3549" s="5" t="s">
        <v>3557</v>
      </c>
      <c r="C3549" s="5">
        <v>98.6</v>
      </c>
      <c r="D3549" s="5">
        <v>0.1</v>
      </c>
      <c r="E3549" s="5">
        <v>98.8</v>
      </c>
      <c r="F3549" s="5">
        <v>197.2</v>
      </c>
      <c r="G3549" s="5">
        <v>98.3</v>
      </c>
      <c r="H3549" s="5">
        <v>98.1</v>
      </c>
      <c r="I3549" s="5">
        <v>0</v>
      </c>
      <c r="J3549" s="5">
        <v>0</v>
      </c>
      <c r="K3549" s="5">
        <v>0</v>
      </c>
    </row>
    <row r="3550" spans="1:11" x14ac:dyDescent="0.25">
      <c r="A3550" s="5">
        <f>3543</f>
      </c>
      <c r="B3550" s="5" t="s">
        <v>3558</v>
      </c>
      <c r="C3550" s="5">
        <v>98.6</v>
      </c>
      <c r="D3550" s="5">
        <v>0.1</v>
      </c>
      <c r="E3550" s="5">
        <v>98.8</v>
      </c>
      <c r="F3550" s="5">
        <v>197.2</v>
      </c>
      <c r="G3550" s="5">
        <v>98.3</v>
      </c>
      <c r="H3550" s="5">
        <v>98.1</v>
      </c>
      <c r="I3550" s="5">
        <v>0</v>
      </c>
      <c r="J3550" s="5">
        <v>0</v>
      </c>
      <c r="K3550" s="5">
        <v>0</v>
      </c>
    </row>
    <row r="3551" spans="1:11" x14ac:dyDescent="0.25">
      <c r="A3551" s="5">
        <f>3544</f>
      </c>
      <c r="B3551" s="5" t="s">
        <v>3559</v>
      </c>
      <c r="C3551" s="5">
        <v>98.6</v>
      </c>
      <c r="D3551" s="5">
        <v>0.1</v>
      </c>
      <c r="E3551" s="5">
        <v>98.8</v>
      </c>
      <c r="F3551" s="5">
        <v>197.2</v>
      </c>
      <c r="G3551" s="5">
        <v>98.3</v>
      </c>
      <c r="H3551" s="5">
        <v>98.1</v>
      </c>
      <c r="I3551" s="5">
        <v>0</v>
      </c>
      <c r="J3551" s="5">
        <v>0</v>
      </c>
      <c r="K3551" s="5">
        <v>0</v>
      </c>
    </row>
    <row r="3552" spans="1:11" x14ac:dyDescent="0.25">
      <c r="A3552" s="5">
        <f>3545</f>
      </c>
      <c r="B3552" s="5" t="s">
        <v>3560</v>
      </c>
      <c r="C3552" s="5">
        <v>104.5</v>
      </c>
      <c r="D3552" s="5">
        <v>0.1</v>
      </c>
      <c r="E3552" s="5">
        <v>104.6</v>
      </c>
      <c r="F3552" s="5">
        <v>208.6</v>
      </c>
      <c r="G3552" s="5">
        <v>104.1</v>
      </c>
      <c r="H3552" s="5">
        <v>103.8</v>
      </c>
      <c r="I3552" s="5">
        <v>0</v>
      </c>
      <c r="J3552" s="5">
        <v>0</v>
      </c>
      <c r="K3552" s="5">
        <v>0</v>
      </c>
    </row>
    <row r="3553" spans="1:11" x14ac:dyDescent="0.25">
      <c r="A3553" s="5">
        <f>3546</f>
      </c>
      <c r="B3553" s="5" t="s">
        <v>3561</v>
      </c>
      <c r="C3553" s="5">
        <v>104.5</v>
      </c>
      <c r="D3553" s="5">
        <v>0.1</v>
      </c>
      <c r="E3553" s="5">
        <v>104.6</v>
      </c>
      <c r="F3553" s="5">
        <v>208.6</v>
      </c>
      <c r="G3553" s="5">
        <v>104.1</v>
      </c>
      <c r="H3553" s="5">
        <v>103.8</v>
      </c>
      <c r="I3553" s="5">
        <v>0</v>
      </c>
      <c r="J3553" s="5">
        <v>0</v>
      </c>
      <c r="K3553" s="5">
        <v>0</v>
      </c>
    </row>
    <row r="3554" spans="1:11" x14ac:dyDescent="0.25">
      <c r="A3554" s="5">
        <f>3547</f>
      </c>
      <c r="B3554" s="5" t="s">
        <v>3562</v>
      </c>
      <c r="C3554" s="5">
        <v>104.1</v>
      </c>
      <c r="D3554" s="5">
        <v>0.1</v>
      </c>
      <c r="E3554" s="5">
        <v>104.3</v>
      </c>
      <c r="F3554" s="5">
        <v>206.7</v>
      </c>
      <c r="G3554" s="5">
        <v>103.3</v>
      </c>
      <c r="H3554" s="5">
        <v>103.3</v>
      </c>
      <c r="I3554" s="5">
        <v>0</v>
      </c>
      <c r="J3554" s="5">
        <v>0</v>
      </c>
      <c r="K3554" s="5">
        <v>0</v>
      </c>
    </row>
    <row r="3555" spans="1:11" x14ac:dyDescent="0.25">
      <c r="A3555" s="5">
        <f>3548</f>
      </c>
      <c r="B3555" s="5" t="s">
        <v>3563</v>
      </c>
      <c r="C3555" s="5">
        <v>104.1</v>
      </c>
      <c r="D3555" s="5">
        <v>0.1</v>
      </c>
      <c r="E3555" s="5">
        <v>104.3</v>
      </c>
      <c r="F3555" s="5">
        <v>206.7</v>
      </c>
      <c r="G3555" s="5">
        <v>103.3</v>
      </c>
      <c r="H3555" s="5">
        <v>103.3</v>
      </c>
      <c r="I3555" s="5">
        <v>0</v>
      </c>
      <c r="J3555" s="5">
        <v>0</v>
      </c>
      <c r="K3555" s="5">
        <v>0</v>
      </c>
    </row>
    <row r="3556" spans="1:11" x14ac:dyDescent="0.25">
      <c r="A3556" s="5">
        <f>3549</f>
      </c>
      <c r="B3556" s="5" t="s">
        <v>3564</v>
      </c>
      <c r="C3556" s="5">
        <v>104.1</v>
      </c>
      <c r="D3556" s="5">
        <v>0.1</v>
      </c>
      <c r="E3556" s="5">
        <v>104.3</v>
      </c>
      <c r="F3556" s="5">
        <v>206.7</v>
      </c>
      <c r="G3556" s="5">
        <v>103.3</v>
      </c>
      <c r="H3556" s="5">
        <v>103.3</v>
      </c>
      <c r="I3556" s="5">
        <v>0</v>
      </c>
      <c r="J3556" s="5">
        <v>0</v>
      </c>
      <c r="K3556" s="5">
        <v>0</v>
      </c>
    </row>
    <row r="3557" spans="1:11" x14ac:dyDescent="0.25">
      <c r="A3557" s="5">
        <f>3550</f>
      </c>
      <c r="B3557" s="5" t="s">
        <v>3565</v>
      </c>
      <c r="C3557" s="5">
        <v>104.1</v>
      </c>
      <c r="D3557" s="5">
        <v>0.1</v>
      </c>
      <c r="E3557" s="5">
        <v>104.3</v>
      </c>
      <c r="F3557" s="5">
        <v>206.7</v>
      </c>
      <c r="G3557" s="5">
        <v>103.3</v>
      </c>
      <c r="H3557" s="5">
        <v>103.3</v>
      </c>
      <c r="I3557" s="5">
        <v>0</v>
      </c>
      <c r="J3557" s="5">
        <v>0</v>
      </c>
      <c r="K3557" s="5">
        <v>0</v>
      </c>
    </row>
    <row r="3558" spans="1:11" x14ac:dyDescent="0.25">
      <c r="A3558" s="5">
        <f>3551</f>
      </c>
      <c r="B3558" s="5" t="s">
        <v>3566</v>
      </c>
      <c r="C3558" s="5">
        <v>99.4</v>
      </c>
      <c r="D3558" s="5">
        <v>0.1</v>
      </c>
      <c r="E3558" s="5">
        <v>99.5</v>
      </c>
      <c r="F3558" s="5">
        <v>198.8</v>
      </c>
      <c r="G3558" s="5">
        <v>99.2</v>
      </c>
      <c r="H3558" s="5">
        <v>99</v>
      </c>
      <c r="I3558" s="5">
        <v>0</v>
      </c>
      <c r="J3558" s="5">
        <v>0</v>
      </c>
      <c r="K3558" s="5">
        <v>0</v>
      </c>
    </row>
    <row r="3559" spans="1:11" x14ac:dyDescent="0.25">
      <c r="A3559" s="5">
        <f>3552</f>
      </c>
      <c r="B3559" s="5" t="s">
        <v>3567</v>
      </c>
      <c r="C3559" s="5">
        <v>99.4</v>
      </c>
      <c r="D3559" s="5">
        <v>0.1</v>
      </c>
      <c r="E3559" s="5">
        <v>99.5</v>
      </c>
      <c r="F3559" s="5">
        <v>198.8</v>
      </c>
      <c r="G3559" s="5">
        <v>99.2</v>
      </c>
      <c r="H3559" s="5">
        <v>99</v>
      </c>
      <c r="I3559" s="5">
        <v>0</v>
      </c>
      <c r="J3559" s="5">
        <v>0</v>
      </c>
      <c r="K3559" s="5">
        <v>0</v>
      </c>
    </row>
    <row r="3560" spans="1:11" x14ac:dyDescent="0.25">
      <c r="A3560" s="5">
        <f>3553</f>
      </c>
      <c r="B3560" s="5" t="s">
        <v>3568</v>
      </c>
      <c r="C3560" s="5">
        <v>104.4</v>
      </c>
      <c r="D3560" s="5">
        <v>0.1</v>
      </c>
      <c r="E3560" s="5">
        <v>99.5</v>
      </c>
      <c r="F3560" s="5">
        <v>198.8</v>
      </c>
      <c r="G3560" s="5">
        <v>103.7</v>
      </c>
      <c r="H3560" s="5">
        <v>103.6</v>
      </c>
      <c r="I3560" s="5">
        <v>0</v>
      </c>
      <c r="J3560" s="5">
        <v>0</v>
      </c>
      <c r="K3560" s="5">
        <v>0</v>
      </c>
    </row>
    <row r="3561" spans="1:11" x14ac:dyDescent="0.25">
      <c r="A3561" s="5">
        <f>3554</f>
      </c>
      <c r="B3561" s="5" t="s">
        <v>3569</v>
      </c>
      <c r="C3561" s="5">
        <v>104.4</v>
      </c>
      <c r="D3561" s="5">
        <v>0.1</v>
      </c>
      <c r="E3561" s="5">
        <v>104.6</v>
      </c>
      <c r="F3561" s="5">
        <v>207.7</v>
      </c>
      <c r="G3561" s="5">
        <v>103.7</v>
      </c>
      <c r="H3561" s="5">
        <v>103.6</v>
      </c>
      <c r="I3561" s="5">
        <v>0</v>
      </c>
      <c r="J3561" s="5">
        <v>0</v>
      </c>
      <c r="K3561" s="5">
        <v>0</v>
      </c>
    </row>
    <row r="3562" spans="1:11" x14ac:dyDescent="0.25">
      <c r="A3562" s="5">
        <f>3555</f>
      </c>
      <c r="B3562" s="5" t="s">
        <v>3570</v>
      </c>
      <c r="C3562" s="5">
        <v>104.4</v>
      </c>
      <c r="D3562" s="5">
        <v>0.1</v>
      </c>
      <c r="E3562" s="5">
        <v>104.6</v>
      </c>
      <c r="F3562" s="5">
        <v>207.7</v>
      </c>
      <c r="G3562" s="5">
        <v>100.4</v>
      </c>
      <c r="H3562" s="5">
        <v>100.5</v>
      </c>
      <c r="I3562" s="5">
        <v>0</v>
      </c>
      <c r="J3562" s="5">
        <v>0</v>
      </c>
      <c r="K3562" s="5">
        <v>0</v>
      </c>
    </row>
    <row r="3563" spans="1:11" x14ac:dyDescent="0.25">
      <c r="A3563" s="5">
        <f>3556</f>
      </c>
      <c r="B3563" s="5" t="s">
        <v>3571</v>
      </c>
      <c r="C3563" s="5">
        <v>104.1</v>
      </c>
      <c r="D3563" s="5">
        <v>0.1</v>
      </c>
      <c r="E3563" s="5">
        <v>104.3</v>
      </c>
      <c r="F3563" s="5">
        <v>200.8</v>
      </c>
      <c r="G3563" s="5">
        <v>100.4</v>
      </c>
      <c r="H3563" s="5">
        <v>100.5</v>
      </c>
      <c r="I3563" s="5">
        <v>0</v>
      </c>
      <c r="J3563" s="5">
        <v>0</v>
      </c>
      <c r="K3563" s="5">
        <v>0</v>
      </c>
    </row>
    <row r="3564" spans="1:11" x14ac:dyDescent="0.25">
      <c r="A3564" s="5">
        <f>3557</f>
      </c>
      <c r="B3564" s="5" t="s">
        <v>3572</v>
      </c>
      <c r="C3564" s="5">
        <v>104.1</v>
      </c>
      <c r="D3564" s="5">
        <v>0.1</v>
      </c>
      <c r="E3564" s="5">
        <v>104.3</v>
      </c>
      <c r="F3564" s="5">
        <v>200.8</v>
      </c>
      <c r="G3564" s="5">
        <v>100.4</v>
      </c>
      <c r="H3564" s="5">
        <v>100.5</v>
      </c>
      <c r="I3564" s="5">
        <v>0</v>
      </c>
      <c r="J3564" s="5">
        <v>0</v>
      </c>
      <c r="K3564" s="5">
        <v>0</v>
      </c>
    </row>
    <row r="3565" spans="1:11" x14ac:dyDescent="0.25">
      <c r="A3565" s="5">
        <f>3558</f>
      </c>
      <c r="B3565" s="5" t="s">
        <v>3573</v>
      </c>
      <c r="C3565" s="5">
        <v>99</v>
      </c>
      <c r="D3565" s="5">
        <v>0.1</v>
      </c>
      <c r="E3565" s="5">
        <v>99.2</v>
      </c>
      <c r="F3565" s="5">
        <v>197.8</v>
      </c>
      <c r="G3565" s="5">
        <v>98.7</v>
      </c>
      <c r="H3565" s="5">
        <v>98.5</v>
      </c>
      <c r="I3565" s="5">
        <v>0</v>
      </c>
      <c r="J3565" s="5">
        <v>0</v>
      </c>
      <c r="K3565" s="5">
        <v>0</v>
      </c>
    </row>
    <row r="3566" spans="1:11" x14ac:dyDescent="0.25">
      <c r="A3566" s="5">
        <f>3559</f>
      </c>
      <c r="B3566" s="5" t="s">
        <v>3574</v>
      </c>
      <c r="C3566" s="5">
        <v>99</v>
      </c>
      <c r="D3566" s="5">
        <v>0.1</v>
      </c>
      <c r="E3566" s="5">
        <v>99.2</v>
      </c>
      <c r="F3566" s="5">
        <v>197.8</v>
      </c>
      <c r="G3566" s="5">
        <v>98.7</v>
      </c>
      <c r="H3566" s="5">
        <v>98.5</v>
      </c>
      <c r="I3566" s="5">
        <v>0</v>
      </c>
      <c r="J3566" s="5">
        <v>0</v>
      </c>
      <c r="K3566" s="5">
        <v>0</v>
      </c>
    </row>
    <row r="3567" spans="1:11" x14ac:dyDescent="0.25">
      <c r="A3567" s="5">
        <f>3560</f>
      </c>
      <c r="B3567" s="5" t="s">
        <v>3575</v>
      </c>
      <c r="C3567" s="5">
        <v>99</v>
      </c>
      <c r="D3567" s="5">
        <v>0.1</v>
      </c>
      <c r="E3567" s="5">
        <v>99.2</v>
      </c>
      <c r="F3567" s="5">
        <v>197.8</v>
      </c>
      <c r="G3567" s="5">
        <v>98.7</v>
      </c>
      <c r="H3567" s="5">
        <v>98.5</v>
      </c>
      <c r="I3567" s="5">
        <v>0</v>
      </c>
      <c r="J3567" s="5">
        <v>0</v>
      </c>
      <c r="K3567" s="5">
        <v>0</v>
      </c>
    </row>
    <row r="3568" spans="1:11" x14ac:dyDescent="0.25">
      <c r="A3568" s="5">
        <f>3561</f>
      </c>
      <c r="B3568" s="5" t="s">
        <v>3576</v>
      </c>
      <c r="C3568" s="5">
        <v>98.8</v>
      </c>
      <c r="D3568" s="5">
        <v>0.1</v>
      </c>
      <c r="E3568" s="5">
        <v>98.9</v>
      </c>
      <c r="F3568" s="5">
        <v>197.6</v>
      </c>
      <c r="G3568" s="5">
        <v>98.6</v>
      </c>
      <c r="H3568" s="5">
        <v>98.5</v>
      </c>
      <c r="I3568" s="5">
        <v>0</v>
      </c>
      <c r="J3568" s="5">
        <v>0</v>
      </c>
      <c r="K3568" s="5">
        <v>0</v>
      </c>
    </row>
    <row r="3569" spans="1:11" x14ac:dyDescent="0.25">
      <c r="A3569" s="5">
        <f>3562</f>
      </c>
      <c r="B3569" s="5" t="s">
        <v>3577</v>
      </c>
      <c r="C3569" s="5">
        <v>98.8</v>
      </c>
      <c r="D3569" s="5">
        <v>0.1</v>
      </c>
      <c r="E3569" s="5">
        <v>98.9</v>
      </c>
      <c r="F3569" s="5">
        <v>197.6</v>
      </c>
      <c r="G3569" s="5">
        <v>98.6</v>
      </c>
      <c r="H3569" s="5">
        <v>98.5</v>
      </c>
      <c r="I3569" s="5">
        <v>0</v>
      </c>
      <c r="J3569" s="5">
        <v>0</v>
      </c>
      <c r="K3569" s="5">
        <v>0</v>
      </c>
    </row>
    <row r="3570" spans="1:11" x14ac:dyDescent="0.25">
      <c r="A3570" s="5">
        <f>3563</f>
      </c>
      <c r="B3570" s="5" t="s">
        <v>3578</v>
      </c>
      <c r="C3570" s="5">
        <v>99.4</v>
      </c>
      <c r="D3570" s="5">
        <v>0.1</v>
      </c>
      <c r="E3570" s="5">
        <v>99.5</v>
      </c>
      <c r="F3570" s="5">
        <v>202.7</v>
      </c>
      <c r="G3570" s="5">
        <v>100.7</v>
      </c>
      <c r="H3570" s="5">
        <v>100.2</v>
      </c>
      <c r="I3570" s="5">
        <v>0</v>
      </c>
      <c r="J3570" s="5">
        <v>0</v>
      </c>
      <c r="K3570" s="5">
        <v>0</v>
      </c>
    </row>
    <row r="3571" spans="1:11" x14ac:dyDescent="0.25">
      <c r="A3571" s="5">
        <f>3564</f>
      </c>
      <c r="B3571" s="5" t="s">
        <v>3579</v>
      </c>
      <c r="C3571" s="5">
        <v>99.4</v>
      </c>
      <c r="D3571" s="5">
        <v>0.1</v>
      </c>
      <c r="E3571" s="5">
        <v>99.5</v>
      </c>
      <c r="F3571" s="5">
        <v>202.7</v>
      </c>
      <c r="G3571" s="5">
        <v>100.7</v>
      </c>
      <c r="H3571" s="5">
        <v>100.2</v>
      </c>
      <c r="I3571" s="5">
        <v>0</v>
      </c>
      <c r="J3571" s="5">
        <v>0</v>
      </c>
      <c r="K3571" s="5">
        <v>0</v>
      </c>
    </row>
    <row r="3572" spans="1:11" x14ac:dyDescent="0.25">
      <c r="A3572" s="5">
        <f>3565</f>
      </c>
      <c r="B3572" s="5" t="s">
        <v>3580</v>
      </c>
      <c r="C3572" s="5">
        <v>98.6</v>
      </c>
      <c r="D3572" s="5">
        <v>0.1</v>
      </c>
      <c r="E3572" s="5">
        <v>98.7</v>
      </c>
      <c r="F3572" s="5">
        <v>197.6</v>
      </c>
      <c r="G3572" s="5">
        <v>99</v>
      </c>
      <c r="H3572" s="5">
        <v>99.3</v>
      </c>
      <c r="I3572" s="5">
        <v>0</v>
      </c>
      <c r="J3572" s="5">
        <v>0</v>
      </c>
      <c r="K3572" s="5">
        <v>0</v>
      </c>
    </row>
    <row r="3573" spans="1:11" x14ac:dyDescent="0.25">
      <c r="A3573" s="5">
        <f>3566</f>
      </c>
      <c r="B3573" s="5" t="s">
        <v>3581</v>
      </c>
      <c r="C3573" s="5">
        <v>98.6</v>
      </c>
      <c r="D3573" s="5">
        <v>0.1</v>
      </c>
      <c r="E3573" s="5">
        <v>98.7</v>
      </c>
      <c r="F3573" s="5">
        <v>197.6</v>
      </c>
      <c r="G3573" s="5">
        <v>99</v>
      </c>
      <c r="H3573" s="5">
        <v>99.3</v>
      </c>
      <c r="I3573" s="5">
        <v>0</v>
      </c>
      <c r="J3573" s="5">
        <v>0</v>
      </c>
      <c r="K3573" s="5">
        <v>0</v>
      </c>
    </row>
    <row r="3574" spans="1:11" x14ac:dyDescent="0.25">
      <c r="A3574" s="5">
        <f>3567</f>
      </c>
      <c r="B3574" s="5" t="s">
        <v>3582</v>
      </c>
      <c r="C3574" s="5">
        <v>99.1</v>
      </c>
      <c r="D3574" s="5">
        <v>0.1</v>
      </c>
      <c r="E3574" s="5">
        <v>99.2</v>
      </c>
      <c r="F3574" s="5">
        <v>198.5</v>
      </c>
      <c r="G3574" s="5">
        <v>99</v>
      </c>
      <c r="H3574" s="5">
        <v>98.8</v>
      </c>
      <c r="I3574" s="5">
        <v>0</v>
      </c>
      <c r="J3574" s="5">
        <v>0</v>
      </c>
      <c r="K3574" s="5">
        <v>0</v>
      </c>
    </row>
    <row r="3575" spans="1:11" x14ac:dyDescent="0.25">
      <c r="A3575" s="5">
        <f>3568</f>
      </c>
      <c r="B3575" s="5" t="s">
        <v>3583</v>
      </c>
      <c r="C3575" s="5">
        <v>99.1</v>
      </c>
      <c r="D3575" s="5">
        <v>0.1</v>
      </c>
      <c r="E3575" s="5">
        <v>99.2</v>
      </c>
      <c r="F3575" s="5">
        <v>198.5</v>
      </c>
      <c r="G3575" s="5">
        <v>99</v>
      </c>
      <c r="H3575" s="5">
        <v>98.8</v>
      </c>
      <c r="I3575" s="5">
        <v>0</v>
      </c>
      <c r="J3575" s="5">
        <v>0</v>
      </c>
      <c r="K3575" s="5">
        <v>0</v>
      </c>
    </row>
    <row r="3576" spans="1:11" x14ac:dyDescent="0.25">
      <c r="A3576" s="5">
        <f>3569</f>
      </c>
      <c r="B3576" s="5" t="s">
        <v>3584</v>
      </c>
      <c r="C3576" s="5">
        <v>99.1</v>
      </c>
      <c r="D3576" s="5">
        <v>0.1</v>
      </c>
      <c r="E3576" s="5">
        <v>99.2</v>
      </c>
      <c r="F3576" s="5">
        <v>198.5</v>
      </c>
      <c r="G3576" s="5">
        <v>99</v>
      </c>
      <c r="H3576" s="5">
        <v>98.8</v>
      </c>
      <c r="I3576" s="5">
        <v>0</v>
      </c>
      <c r="J3576" s="5">
        <v>0</v>
      </c>
      <c r="K3576" s="5">
        <v>0</v>
      </c>
    </row>
    <row r="3577" spans="1:11" x14ac:dyDescent="0.25">
      <c r="A3577" s="5">
        <f>3570</f>
      </c>
      <c r="B3577" s="5" t="s">
        <v>3585</v>
      </c>
      <c r="C3577" s="5">
        <v>99.1</v>
      </c>
      <c r="D3577" s="5">
        <v>0.1</v>
      </c>
      <c r="E3577" s="5">
        <v>99.2</v>
      </c>
      <c r="F3577" s="5">
        <v>198.5</v>
      </c>
      <c r="G3577" s="5">
        <v>99</v>
      </c>
      <c r="H3577" s="5">
        <v>98.8</v>
      </c>
      <c r="I3577" s="5">
        <v>0</v>
      </c>
      <c r="J3577" s="5">
        <v>0</v>
      </c>
      <c r="K3577" s="5">
        <v>0</v>
      </c>
    </row>
    <row r="3578" spans="1:11" x14ac:dyDescent="0.25">
      <c r="A3578" s="5">
        <f>3571</f>
      </c>
      <c r="B3578" s="5" t="s">
        <v>3586</v>
      </c>
      <c r="C3578" s="5">
        <v>99.8</v>
      </c>
      <c r="D3578" s="5">
        <v>0.1</v>
      </c>
      <c r="E3578" s="5">
        <v>99.9</v>
      </c>
      <c r="F3578" s="5">
        <v>200.2</v>
      </c>
      <c r="G3578" s="5">
        <v>99.8</v>
      </c>
      <c r="H3578" s="5">
        <v>99.6</v>
      </c>
      <c r="I3578" s="5">
        <v>0</v>
      </c>
      <c r="J3578" s="5">
        <v>0</v>
      </c>
      <c r="K3578" s="5">
        <v>0</v>
      </c>
    </row>
    <row r="3579" spans="1:11" x14ac:dyDescent="0.25">
      <c r="A3579" s="5">
        <f>3572</f>
      </c>
      <c r="B3579" s="5" t="s">
        <v>3587</v>
      </c>
      <c r="C3579" s="5">
        <v>99.8</v>
      </c>
      <c r="D3579" s="5">
        <v>0.1</v>
      </c>
      <c r="E3579" s="5">
        <v>99.9</v>
      </c>
      <c r="F3579" s="5">
        <v>200.2</v>
      </c>
      <c r="G3579" s="5">
        <v>99.8</v>
      </c>
      <c r="H3579" s="5">
        <v>99.6</v>
      </c>
      <c r="I3579" s="5">
        <v>0</v>
      </c>
      <c r="J3579" s="5">
        <v>0</v>
      </c>
      <c r="K3579" s="5">
        <v>0</v>
      </c>
    </row>
    <row r="3580" spans="1:11" x14ac:dyDescent="0.25">
      <c r="A3580" s="5">
        <f>3573</f>
      </c>
      <c r="B3580" s="5" t="s">
        <v>3588</v>
      </c>
      <c r="C3580" s="5">
        <v>105</v>
      </c>
      <c r="D3580" s="5">
        <v>0.1</v>
      </c>
      <c r="E3580" s="5">
        <v>105.1</v>
      </c>
      <c r="F3580" s="5">
        <v>205.2</v>
      </c>
      <c r="G3580" s="5">
        <v>102.6</v>
      </c>
      <c r="H3580" s="5">
        <v>102.7</v>
      </c>
      <c r="I3580" s="5">
        <v>0</v>
      </c>
      <c r="J3580" s="5">
        <v>0</v>
      </c>
      <c r="K3580" s="5">
        <v>0</v>
      </c>
    </row>
    <row r="3581" spans="1:11" x14ac:dyDescent="0.25">
      <c r="A3581" s="5">
        <f>3574</f>
      </c>
      <c r="B3581" s="5" t="s">
        <v>3589</v>
      </c>
      <c r="C3581" s="5">
        <v>105</v>
      </c>
      <c r="D3581" s="5">
        <v>0.1</v>
      </c>
      <c r="E3581" s="5">
        <v>105.1</v>
      </c>
      <c r="F3581" s="5">
        <v>205.2</v>
      </c>
      <c r="G3581" s="5">
        <v>102.6</v>
      </c>
      <c r="H3581" s="5">
        <v>102.7</v>
      </c>
      <c r="I3581" s="5">
        <v>0</v>
      </c>
      <c r="J3581" s="5">
        <v>0</v>
      </c>
      <c r="K3581" s="5">
        <v>0</v>
      </c>
    </row>
    <row r="3582" spans="1:11" x14ac:dyDescent="0.25">
      <c r="A3582" s="5">
        <f>3575</f>
      </c>
      <c r="B3582" s="5" t="s">
        <v>3590</v>
      </c>
      <c r="C3582" s="5">
        <v>100.2</v>
      </c>
      <c r="D3582" s="5">
        <v>0.1</v>
      </c>
      <c r="E3582" s="5">
        <v>100.3</v>
      </c>
      <c r="F3582" s="5">
        <v>200.6</v>
      </c>
      <c r="G3582" s="5">
        <v>100.1</v>
      </c>
      <c r="H3582" s="5">
        <v>99.9</v>
      </c>
      <c r="I3582" s="5">
        <v>0</v>
      </c>
      <c r="J3582" s="5">
        <v>0</v>
      </c>
      <c r="K3582" s="5">
        <v>0</v>
      </c>
    </row>
    <row r="3583" spans="1:11" x14ac:dyDescent="0.25">
      <c r="A3583" s="5">
        <f>3576</f>
      </c>
      <c r="B3583" s="5" t="s">
        <v>3591</v>
      </c>
      <c r="C3583" s="5">
        <v>100.2</v>
      </c>
      <c r="D3583" s="5">
        <v>0.1</v>
      </c>
      <c r="E3583" s="5">
        <v>100.3</v>
      </c>
      <c r="F3583" s="5">
        <v>200.6</v>
      </c>
      <c r="G3583" s="5">
        <v>100.1</v>
      </c>
      <c r="H3583" s="5">
        <v>99.9</v>
      </c>
      <c r="I3583" s="5">
        <v>0</v>
      </c>
      <c r="J3583" s="5">
        <v>0</v>
      </c>
      <c r="K3583" s="5">
        <v>0</v>
      </c>
    </row>
    <row r="3584" spans="1:11" x14ac:dyDescent="0.25">
      <c r="A3584" s="5">
        <f>3577</f>
      </c>
      <c r="B3584" s="5" t="s">
        <v>3592</v>
      </c>
      <c r="C3584" s="5">
        <v>104.4</v>
      </c>
      <c r="D3584" s="5">
        <v>0.1</v>
      </c>
      <c r="E3584" s="5">
        <v>104.6</v>
      </c>
      <c r="F3584" s="5">
        <v>200.4</v>
      </c>
      <c r="G3584" s="5">
        <v>100.1</v>
      </c>
      <c r="H3584" s="5">
        <v>100.1</v>
      </c>
      <c r="I3584" s="5">
        <v>0</v>
      </c>
      <c r="J3584" s="5">
        <v>0</v>
      </c>
      <c r="K3584" s="5">
        <v>0</v>
      </c>
    </row>
    <row r="3585" spans="1:11" x14ac:dyDescent="0.25">
      <c r="A3585" s="5">
        <f>3578</f>
      </c>
      <c r="B3585" s="5" t="s">
        <v>3593</v>
      </c>
      <c r="C3585" s="5">
        <v>104.4</v>
      </c>
      <c r="D3585" s="5">
        <v>0.1</v>
      </c>
      <c r="E3585" s="5">
        <v>104.6</v>
      </c>
      <c r="F3585" s="5">
        <v>200.4</v>
      </c>
      <c r="G3585" s="5">
        <v>100.1</v>
      </c>
      <c r="H3585" s="5">
        <v>100.1</v>
      </c>
      <c r="I3585" s="5">
        <v>0</v>
      </c>
      <c r="J3585" s="5">
        <v>0</v>
      </c>
      <c r="K3585" s="5">
        <v>0</v>
      </c>
    </row>
    <row r="3586" spans="1:11" x14ac:dyDescent="0.25">
      <c r="A3586" s="5">
        <f>3579</f>
      </c>
      <c r="B3586" s="5" t="s">
        <v>3594</v>
      </c>
      <c r="C3586" s="5">
        <v>104.4</v>
      </c>
      <c r="D3586" s="5">
        <v>0.1</v>
      </c>
      <c r="E3586" s="5">
        <v>104.6</v>
      </c>
      <c r="F3586" s="5">
        <v>200.4</v>
      </c>
      <c r="G3586" s="5">
        <v>100.1</v>
      </c>
      <c r="H3586" s="5">
        <v>100.1</v>
      </c>
      <c r="I3586" s="5">
        <v>0</v>
      </c>
      <c r="J3586" s="5">
        <v>0</v>
      </c>
      <c r="K3586" s="5">
        <v>0</v>
      </c>
    </row>
    <row r="3587" spans="1:11" x14ac:dyDescent="0.25">
      <c r="A3587" s="5">
        <f>3580</f>
      </c>
      <c r="B3587" s="5" t="s">
        <v>3595</v>
      </c>
      <c r="C3587" s="5">
        <v>104.4</v>
      </c>
      <c r="D3587" s="5">
        <v>0.1</v>
      </c>
      <c r="E3587" s="5">
        <v>104.6</v>
      </c>
      <c r="F3587" s="5">
        <v>200.4</v>
      </c>
      <c r="G3587" s="5">
        <v>100.1</v>
      </c>
      <c r="H3587" s="5">
        <v>100.1</v>
      </c>
      <c r="I3587" s="5">
        <v>0</v>
      </c>
      <c r="J3587" s="5">
        <v>0</v>
      </c>
      <c r="K3587" s="5">
        <v>0</v>
      </c>
    </row>
    <row r="3588" spans="1:11" x14ac:dyDescent="0.25">
      <c r="A3588" s="5">
        <f>3581</f>
      </c>
      <c r="B3588" s="5" t="s">
        <v>3596</v>
      </c>
      <c r="C3588" s="5">
        <v>98.1</v>
      </c>
      <c r="D3588" s="5">
        <v>0.1</v>
      </c>
      <c r="E3588" s="5">
        <v>98.2</v>
      </c>
      <c r="F3588" s="5">
        <v>196.7</v>
      </c>
      <c r="G3588" s="5">
        <v>98.3</v>
      </c>
      <c r="H3588" s="5">
        <v>98.2</v>
      </c>
      <c r="I3588" s="5">
        <v>0</v>
      </c>
      <c r="J3588" s="5">
        <v>0</v>
      </c>
      <c r="K3588" s="5">
        <v>0</v>
      </c>
    </row>
    <row r="3589" spans="1:11" x14ac:dyDescent="0.25">
      <c r="A3589" s="5">
        <f>3582</f>
      </c>
      <c r="B3589" s="5" t="s">
        <v>3597</v>
      </c>
      <c r="C3589" s="5">
        <v>98.1</v>
      </c>
      <c r="D3589" s="5">
        <v>0.1</v>
      </c>
      <c r="E3589" s="5">
        <v>98.2</v>
      </c>
      <c r="F3589" s="5">
        <v>196.7</v>
      </c>
      <c r="G3589" s="5">
        <v>98.3</v>
      </c>
      <c r="H3589" s="5">
        <v>98.2</v>
      </c>
      <c r="I3589" s="5">
        <v>0</v>
      </c>
      <c r="J3589" s="5">
        <v>0</v>
      </c>
      <c r="K3589" s="5">
        <v>0</v>
      </c>
    </row>
    <row r="3590" spans="1:11" x14ac:dyDescent="0.25">
      <c r="A3590" s="5">
        <f>3583</f>
      </c>
      <c r="B3590" s="5" t="s">
        <v>3598</v>
      </c>
      <c r="C3590" s="5">
        <v>99.5</v>
      </c>
      <c r="D3590" s="5">
        <v>0.1</v>
      </c>
      <c r="E3590" s="5">
        <v>99.6</v>
      </c>
      <c r="F3590" s="5">
        <v>201.5</v>
      </c>
      <c r="G3590" s="5">
        <v>101.1</v>
      </c>
      <c r="H3590" s="5">
        <v>101.4</v>
      </c>
      <c r="I3590" s="5">
        <v>0</v>
      </c>
      <c r="J3590" s="5">
        <v>0</v>
      </c>
      <c r="K3590" s="5">
        <v>0</v>
      </c>
    </row>
    <row r="3591" spans="1:11" x14ac:dyDescent="0.25">
      <c r="A3591" s="5">
        <f>3584</f>
      </c>
      <c r="B3591" s="5" t="s">
        <v>3599</v>
      </c>
      <c r="C3591" s="5">
        <v>99.5</v>
      </c>
      <c r="D3591" s="5">
        <v>0.1</v>
      </c>
      <c r="E3591" s="5">
        <v>99.6</v>
      </c>
      <c r="F3591" s="5">
        <v>201.5</v>
      </c>
      <c r="G3591" s="5">
        <v>101.1</v>
      </c>
      <c r="H3591" s="5">
        <v>101.4</v>
      </c>
      <c r="I3591" s="5">
        <v>0</v>
      </c>
      <c r="J3591" s="5">
        <v>0</v>
      </c>
      <c r="K3591" s="5">
        <v>0</v>
      </c>
    </row>
    <row r="3592" spans="1:11" x14ac:dyDescent="0.25">
      <c r="A3592" s="5">
        <f>3585</f>
      </c>
      <c r="B3592" s="5" t="s">
        <v>3600</v>
      </c>
      <c r="C3592" s="5">
        <v>100.5</v>
      </c>
      <c r="D3592" s="5">
        <v>0.1</v>
      </c>
      <c r="E3592" s="5">
        <v>100.6</v>
      </c>
      <c r="F3592" s="5">
        <v>201.3</v>
      </c>
      <c r="G3592" s="5">
        <v>100.4</v>
      </c>
      <c r="H3592" s="5">
        <v>100.2</v>
      </c>
      <c r="I3592" s="5">
        <v>0</v>
      </c>
      <c r="J3592" s="5">
        <v>0</v>
      </c>
      <c r="K3592" s="5">
        <v>0</v>
      </c>
    </row>
    <row r="3593" spans="1:11" x14ac:dyDescent="0.25">
      <c r="A3593" s="5">
        <f>3586</f>
      </c>
      <c r="B3593" s="5" t="s">
        <v>3601</v>
      </c>
      <c r="C3593" s="5">
        <v>100.5</v>
      </c>
      <c r="D3593" s="5">
        <v>0.1</v>
      </c>
      <c r="E3593" s="5">
        <v>100.6</v>
      </c>
      <c r="F3593" s="5">
        <v>201.3</v>
      </c>
      <c r="G3593" s="5">
        <v>100.4</v>
      </c>
      <c r="H3593" s="5">
        <v>100.2</v>
      </c>
      <c r="I3593" s="5">
        <v>0</v>
      </c>
      <c r="J3593" s="5">
        <v>0</v>
      </c>
      <c r="K3593" s="5">
        <v>0</v>
      </c>
    </row>
    <row r="3594" spans="1:11" x14ac:dyDescent="0.25">
      <c r="A3594" s="5">
        <f>3587</f>
      </c>
      <c r="B3594" s="5" t="s">
        <v>3602</v>
      </c>
      <c r="C3594" s="5">
        <v>100.1</v>
      </c>
      <c r="D3594" s="5">
        <v>0.1</v>
      </c>
      <c r="E3594" s="5">
        <v>100.2</v>
      </c>
      <c r="F3594" s="5">
        <v>200.2</v>
      </c>
      <c r="G3594" s="5">
        <v>99.9</v>
      </c>
      <c r="H3594" s="5">
        <v>99.7</v>
      </c>
      <c r="I3594" s="5">
        <v>0</v>
      </c>
      <c r="J3594" s="5">
        <v>0</v>
      </c>
      <c r="K3594" s="5">
        <v>0</v>
      </c>
    </row>
    <row r="3595" spans="1:11" x14ac:dyDescent="0.25">
      <c r="A3595" s="5">
        <f>3588</f>
      </c>
      <c r="B3595" s="5" t="s">
        <v>3603</v>
      </c>
      <c r="C3595" s="5">
        <v>100.1</v>
      </c>
      <c r="D3595" s="5">
        <v>0.1</v>
      </c>
      <c r="E3595" s="5">
        <v>100.2</v>
      </c>
      <c r="F3595" s="5">
        <v>200.2</v>
      </c>
      <c r="G3595" s="5">
        <v>99.9</v>
      </c>
      <c r="H3595" s="5">
        <v>99.7</v>
      </c>
      <c r="I3595" s="5">
        <v>0</v>
      </c>
      <c r="J3595" s="5">
        <v>0</v>
      </c>
      <c r="K3595" s="5">
        <v>0</v>
      </c>
    </row>
    <row r="3596" spans="1:11" x14ac:dyDescent="0.25">
      <c r="A3596" s="5">
        <f>3589</f>
      </c>
      <c r="B3596" s="5" t="s">
        <v>3604</v>
      </c>
      <c r="C3596" s="5">
        <v>100.1</v>
      </c>
      <c r="D3596" s="5">
        <v>0.1</v>
      </c>
      <c r="E3596" s="5">
        <v>100.2</v>
      </c>
      <c r="F3596" s="5">
        <v>200.2</v>
      </c>
      <c r="G3596" s="5">
        <v>99.9</v>
      </c>
      <c r="H3596" s="5">
        <v>99.7</v>
      </c>
      <c r="I3596" s="5">
        <v>0</v>
      </c>
      <c r="J3596" s="5">
        <v>0</v>
      </c>
      <c r="K3596" s="5">
        <v>0</v>
      </c>
    </row>
    <row r="3597" spans="1:11" x14ac:dyDescent="0.25">
      <c r="A3597" s="5">
        <f>3590</f>
      </c>
      <c r="B3597" s="5" t="s">
        <v>3605</v>
      </c>
      <c r="C3597" s="5">
        <v>100.1</v>
      </c>
      <c r="D3597" s="5">
        <v>0.1</v>
      </c>
      <c r="E3597" s="5">
        <v>100.2</v>
      </c>
      <c r="F3597" s="5">
        <v>200.2</v>
      </c>
      <c r="G3597" s="5">
        <v>99.9</v>
      </c>
      <c r="H3597" s="5">
        <v>99.7</v>
      </c>
      <c r="I3597" s="5">
        <v>0</v>
      </c>
      <c r="J3597" s="5">
        <v>0</v>
      </c>
      <c r="K3597" s="5">
        <v>0</v>
      </c>
    </row>
    <row r="3598" spans="1:11" x14ac:dyDescent="0.25">
      <c r="A3598" s="5">
        <f>3591</f>
      </c>
      <c r="B3598" s="5" t="s">
        <v>3606</v>
      </c>
      <c r="C3598" s="5">
        <v>99.5</v>
      </c>
      <c r="D3598" s="5">
        <v>0.1</v>
      </c>
      <c r="E3598" s="5">
        <v>99.6</v>
      </c>
      <c r="F3598" s="5">
        <v>198</v>
      </c>
      <c r="G3598" s="5">
        <v>98.8</v>
      </c>
      <c r="H3598" s="5">
        <v>98.7</v>
      </c>
      <c r="I3598" s="5">
        <v>0</v>
      </c>
      <c r="J3598" s="5">
        <v>0</v>
      </c>
      <c r="K3598" s="5">
        <v>0</v>
      </c>
    </row>
    <row r="3599" spans="1:11" x14ac:dyDescent="0.25">
      <c r="A3599" s="5">
        <f>3592</f>
      </c>
      <c r="B3599" s="5" t="s">
        <v>3607</v>
      </c>
      <c r="C3599" s="5">
        <v>99.5</v>
      </c>
      <c r="D3599" s="5">
        <v>0.1</v>
      </c>
      <c r="E3599" s="5">
        <v>99.6</v>
      </c>
      <c r="F3599" s="5">
        <v>198</v>
      </c>
      <c r="G3599" s="5">
        <v>98.8</v>
      </c>
      <c r="H3599" s="5">
        <v>98.7</v>
      </c>
      <c r="I3599" s="5">
        <v>0</v>
      </c>
      <c r="J3599" s="5">
        <v>0</v>
      </c>
      <c r="K3599" s="5">
        <v>0</v>
      </c>
    </row>
    <row r="3600" spans="1:11" x14ac:dyDescent="0.25">
      <c r="A3600" s="5">
        <f>3593</f>
      </c>
      <c r="B3600" s="5" t="s">
        <v>3608</v>
      </c>
      <c r="C3600" s="5">
        <v>105.6</v>
      </c>
      <c r="D3600" s="5">
        <v>0.1</v>
      </c>
      <c r="E3600" s="5">
        <v>105.7</v>
      </c>
      <c r="F3600" s="5">
        <v>210.5</v>
      </c>
      <c r="G3600" s="5">
        <v>105.1</v>
      </c>
      <c r="H3600" s="5">
        <v>104.9</v>
      </c>
      <c r="I3600" s="5">
        <v>0</v>
      </c>
      <c r="J3600" s="5">
        <v>0</v>
      </c>
      <c r="K3600" s="5">
        <v>0</v>
      </c>
    </row>
    <row r="3601" spans="1:11" x14ac:dyDescent="0.25">
      <c r="A3601" s="5">
        <f>3594</f>
      </c>
      <c r="B3601" s="5" t="s">
        <v>3609</v>
      </c>
      <c r="C3601" s="5">
        <v>105.6</v>
      </c>
      <c r="D3601" s="5">
        <v>0.1</v>
      </c>
      <c r="E3601" s="5">
        <v>105.7</v>
      </c>
      <c r="F3601" s="5">
        <v>210.5</v>
      </c>
      <c r="G3601" s="5">
        <v>105.1</v>
      </c>
      <c r="H3601" s="5">
        <v>104.9</v>
      </c>
      <c r="I3601" s="5">
        <v>0</v>
      </c>
      <c r="J3601" s="5">
        <v>0</v>
      </c>
      <c r="K3601" s="5">
        <v>0</v>
      </c>
    </row>
    <row r="3602" spans="1:11" x14ac:dyDescent="0.25">
      <c r="A3602" s="5">
        <f>3595</f>
      </c>
      <c r="B3602" s="5" t="s">
        <v>3610</v>
      </c>
      <c r="C3602" s="5">
        <v>104.9</v>
      </c>
      <c r="D3602" s="5">
        <v>0.1</v>
      </c>
      <c r="E3602" s="5">
        <v>105</v>
      </c>
      <c r="F3602" s="5">
        <v>209.9</v>
      </c>
      <c r="G3602" s="5">
        <v>104.7</v>
      </c>
      <c r="H3602" s="5">
        <v>104.6</v>
      </c>
      <c r="I3602" s="5">
        <v>0</v>
      </c>
      <c r="J3602" s="5">
        <v>0</v>
      </c>
      <c r="K3602" s="5">
        <v>0</v>
      </c>
    </row>
    <row r="3603" spans="1:11" x14ac:dyDescent="0.25">
      <c r="A3603" s="5">
        <f>3596</f>
      </c>
      <c r="B3603" s="5" t="s">
        <v>3611</v>
      </c>
      <c r="C3603" s="5">
        <v>104.9</v>
      </c>
      <c r="D3603" s="5">
        <v>0.1</v>
      </c>
      <c r="E3603" s="5">
        <v>105</v>
      </c>
      <c r="F3603" s="5">
        <v>209.9</v>
      </c>
      <c r="G3603" s="5">
        <v>104.7</v>
      </c>
      <c r="H3603" s="5">
        <v>104.6</v>
      </c>
      <c r="I3603" s="5">
        <v>0</v>
      </c>
      <c r="J3603" s="5">
        <v>0</v>
      </c>
      <c r="K3603" s="5">
        <v>0</v>
      </c>
    </row>
    <row r="3604" spans="1:11" x14ac:dyDescent="0.25">
      <c r="A3604" s="5">
        <f>3597</f>
      </c>
      <c r="B3604" s="5" t="s">
        <v>3612</v>
      </c>
      <c r="C3604" s="5">
        <v>104.6</v>
      </c>
      <c r="D3604" s="5">
        <v>0.1</v>
      </c>
      <c r="E3604" s="5">
        <v>104.7</v>
      </c>
      <c r="F3604" s="5">
        <v>209.2</v>
      </c>
      <c r="G3604" s="5">
        <v>104.4</v>
      </c>
      <c r="H3604" s="5">
        <v>104.2</v>
      </c>
      <c r="I3604" s="5">
        <v>0</v>
      </c>
      <c r="J3604" s="5">
        <v>0</v>
      </c>
      <c r="K3604" s="5">
        <v>0</v>
      </c>
    </row>
    <row r="3605" spans="1:11" x14ac:dyDescent="0.25">
      <c r="A3605" s="5">
        <f>3598</f>
      </c>
      <c r="B3605" s="5" t="s">
        <v>3613</v>
      </c>
      <c r="C3605" s="5">
        <v>104.6</v>
      </c>
      <c r="D3605" s="5">
        <v>0.1</v>
      </c>
      <c r="E3605" s="5">
        <v>104.7</v>
      </c>
      <c r="F3605" s="5">
        <v>209.2</v>
      </c>
      <c r="G3605" s="5">
        <v>104.4</v>
      </c>
      <c r="H3605" s="5">
        <v>104.2</v>
      </c>
      <c r="I3605" s="5">
        <v>0</v>
      </c>
      <c r="J3605" s="5">
        <v>0</v>
      </c>
      <c r="K3605" s="5">
        <v>0</v>
      </c>
    </row>
    <row r="3606" spans="1:11" x14ac:dyDescent="0.25">
      <c r="A3606" s="5">
        <f>3599</f>
      </c>
      <c r="B3606" s="5" t="s">
        <v>3614</v>
      </c>
      <c r="C3606" s="5">
        <v>104.6</v>
      </c>
      <c r="D3606" s="5">
        <v>0.1</v>
      </c>
      <c r="E3606" s="5">
        <v>104.7</v>
      </c>
      <c r="F3606" s="5">
        <v>209.2</v>
      </c>
      <c r="G3606" s="5">
        <v>104.4</v>
      </c>
      <c r="H3606" s="5">
        <v>104.2</v>
      </c>
      <c r="I3606" s="5">
        <v>0</v>
      </c>
      <c r="J3606" s="5">
        <v>0</v>
      </c>
      <c r="K3606" s="5">
        <v>0</v>
      </c>
    </row>
    <row r="3607" spans="1:11" x14ac:dyDescent="0.25">
      <c r="A3607" s="5">
        <f>3600</f>
      </c>
      <c r="B3607" s="5" t="s">
        <v>3615</v>
      </c>
      <c r="C3607" s="5">
        <v>104.6</v>
      </c>
      <c r="D3607" s="5">
        <v>0.1</v>
      </c>
      <c r="E3607" s="5">
        <v>104.7</v>
      </c>
      <c r="F3607" s="5">
        <v>209.2</v>
      </c>
      <c r="G3607" s="5">
        <v>104.4</v>
      </c>
      <c r="H3607" s="5">
        <v>104.2</v>
      </c>
      <c r="I3607" s="5">
        <v>0</v>
      </c>
      <c r="J3607" s="5">
        <v>0</v>
      </c>
      <c r="K3607" s="5">
        <v>0</v>
      </c>
    </row>
    <row r="3608" spans="1:11" x14ac:dyDescent="0.25">
      <c r="A3608" s="5">
        <f>3601</f>
      </c>
      <c r="B3608" s="5" t="s">
        <v>3616</v>
      </c>
      <c r="C3608" s="5">
        <v>105.8</v>
      </c>
      <c r="D3608" s="5">
        <v>0.1</v>
      </c>
      <c r="E3608" s="5">
        <v>105.9</v>
      </c>
      <c r="F3608" s="5">
        <v>209.9</v>
      </c>
      <c r="G3608" s="5">
        <v>104.7</v>
      </c>
      <c r="H3608" s="5">
        <v>104.5</v>
      </c>
      <c r="I3608" s="5">
        <v>0</v>
      </c>
      <c r="J3608" s="5">
        <v>0</v>
      </c>
      <c r="K3608" s="5">
        <v>0</v>
      </c>
    </row>
    <row r="3609" spans="1:11" x14ac:dyDescent="0.25">
      <c r="A3609" s="5">
        <f>3602</f>
      </c>
      <c r="B3609" s="5" t="s">
        <v>3617</v>
      </c>
      <c r="C3609" s="5">
        <v>105.8</v>
      </c>
      <c r="D3609" s="5">
        <v>0.1</v>
      </c>
      <c r="E3609" s="5">
        <v>105.9</v>
      </c>
      <c r="F3609" s="5">
        <v>209.9</v>
      </c>
      <c r="G3609" s="5">
        <v>104.7</v>
      </c>
      <c r="H3609" s="5">
        <v>104.5</v>
      </c>
      <c r="I3609" s="5">
        <v>0</v>
      </c>
      <c r="J3609" s="5">
        <v>0</v>
      </c>
      <c r="K3609" s="5">
        <v>0</v>
      </c>
    </row>
    <row r="3610" spans="1:11" x14ac:dyDescent="0.25">
      <c r="A3610" s="5">
        <f>3603</f>
      </c>
      <c r="B3610" s="5" t="s">
        <v>3618</v>
      </c>
      <c r="C3610" s="5">
        <v>104.8</v>
      </c>
      <c r="D3610" s="5">
        <v>0.1</v>
      </c>
      <c r="E3610" s="5">
        <v>104.9</v>
      </c>
      <c r="F3610" s="5">
        <v>209.5</v>
      </c>
      <c r="G3610" s="5">
        <v>104.5</v>
      </c>
      <c r="H3610" s="5">
        <v>104.3</v>
      </c>
      <c r="I3610" s="5">
        <v>0</v>
      </c>
      <c r="J3610" s="5">
        <v>0</v>
      </c>
      <c r="K3610" s="5">
        <v>0</v>
      </c>
    </row>
    <row r="3611" spans="1:11" x14ac:dyDescent="0.25">
      <c r="A3611" s="5">
        <f>3604</f>
      </c>
      <c r="B3611" s="5" t="s">
        <v>3619</v>
      </c>
      <c r="C3611" s="5">
        <v>104.8</v>
      </c>
      <c r="D3611" s="5">
        <v>0.1</v>
      </c>
      <c r="E3611" s="5">
        <v>104.9</v>
      </c>
      <c r="F3611" s="5">
        <v>209.5</v>
      </c>
      <c r="G3611" s="5">
        <v>104.5</v>
      </c>
      <c r="H3611" s="5">
        <v>104.3</v>
      </c>
      <c r="I3611" s="5">
        <v>0</v>
      </c>
      <c r="J3611" s="5">
        <v>0</v>
      </c>
      <c r="K3611" s="5">
        <v>0</v>
      </c>
    </row>
    <row r="3612" spans="1:11" x14ac:dyDescent="0.25">
      <c r="A3612" s="5">
        <f>3605</f>
      </c>
      <c r="B3612" s="5" t="s">
        <v>3620</v>
      </c>
      <c r="C3612" s="5">
        <v>105.1</v>
      </c>
      <c r="D3612" s="5">
        <v>0.1</v>
      </c>
      <c r="E3612" s="5">
        <v>105.3</v>
      </c>
      <c r="F3612" s="5">
        <v>209.9</v>
      </c>
      <c r="G3612" s="5">
        <v>104.7</v>
      </c>
      <c r="H3612" s="5">
        <v>104.5</v>
      </c>
      <c r="I3612" s="5">
        <v>0</v>
      </c>
      <c r="J3612" s="5">
        <v>0</v>
      </c>
      <c r="K3612" s="5">
        <v>0</v>
      </c>
    </row>
    <row r="3613" spans="1:11" x14ac:dyDescent="0.25">
      <c r="A3613" s="5">
        <f>3606</f>
      </c>
      <c r="B3613" s="5" t="s">
        <v>3621</v>
      </c>
      <c r="C3613" s="5">
        <v>105.1</v>
      </c>
      <c r="D3613" s="5">
        <v>0.1</v>
      </c>
      <c r="E3613" s="5">
        <v>105.3</v>
      </c>
      <c r="F3613" s="5">
        <v>209.9</v>
      </c>
      <c r="G3613" s="5">
        <v>104.7</v>
      </c>
      <c r="H3613" s="5">
        <v>104.5</v>
      </c>
      <c r="I3613" s="5">
        <v>0</v>
      </c>
      <c r="J3613" s="5">
        <v>0</v>
      </c>
      <c r="K3613" s="5">
        <v>0</v>
      </c>
    </row>
    <row r="3614" spans="1:11" x14ac:dyDescent="0.25">
      <c r="A3614" s="5">
        <f>3607</f>
      </c>
      <c r="B3614" s="5" t="s">
        <v>3622</v>
      </c>
      <c r="C3614" s="5">
        <v>104.3</v>
      </c>
      <c r="D3614" s="5">
        <v>0.1</v>
      </c>
      <c r="E3614" s="5">
        <v>104.4</v>
      </c>
      <c r="F3614" s="5">
        <v>208.3</v>
      </c>
      <c r="G3614" s="5">
        <v>103.9</v>
      </c>
      <c r="H3614" s="5">
        <v>103.8</v>
      </c>
      <c r="I3614" s="5">
        <v>0</v>
      </c>
      <c r="J3614" s="5">
        <v>0</v>
      </c>
      <c r="K3614" s="5">
        <v>0</v>
      </c>
    </row>
    <row r="3615" spans="1:11" x14ac:dyDescent="0.25">
      <c r="A3615" s="5">
        <f>3608</f>
      </c>
      <c r="B3615" s="5" t="s">
        <v>3623</v>
      </c>
      <c r="C3615" s="5">
        <v>104.3</v>
      </c>
      <c r="D3615" s="5">
        <v>0.1</v>
      </c>
      <c r="E3615" s="5">
        <v>104.4</v>
      </c>
      <c r="F3615" s="5">
        <v>208.3</v>
      </c>
      <c r="G3615" s="5">
        <v>103.9</v>
      </c>
      <c r="H3615" s="5">
        <v>103.8</v>
      </c>
      <c r="I3615" s="5">
        <v>0</v>
      </c>
      <c r="J3615" s="5">
        <v>0</v>
      </c>
      <c r="K3615" s="5">
        <v>0</v>
      </c>
    </row>
    <row r="3616" spans="1:11" x14ac:dyDescent="0.25">
      <c r="A3616" s="5">
        <f>3609</f>
      </c>
      <c r="B3616" s="5" t="s">
        <v>3624</v>
      </c>
      <c r="C3616" s="5">
        <v>104.3</v>
      </c>
      <c r="D3616" s="5">
        <v>0.1</v>
      </c>
      <c r="E3616" s="5">
        <v>104.4</v>
      </c>
      <c r="F3616" s="5">
        <v>208.3</v>
      </c>
      <c r="G3616" s="5">
        <v>103.9</v>
      </c>
      <c r="H3616" s="5">
        <v>103.8</v>
      </c>
      <c r="I3616" s="5">
        <v>0</v>
      </c>
      <c r="J3616" s="5">
        <v>0</v>
      </c>
      <c r="K3616" s="5">
        <v>0</v>
      </c>
    </row>
    <row r="3617" spans="1:11" x14ac:dyDescent="0.25">
      <c r="A3617" s="5">
        <f>3610</f>
      </c>
      <c r="B3617" s="5" t="s">
        <v>3625</v>
      </c>
      <c r="C3617" s="5">
        <v>104.3</v>
      </c>
      <c r="D3617" s="5">
        <v>0.1</v>
      </c>
      <c r="E3617" s="5">
        <v>104.4</v>
      </c>
      <c r="F3617" s="5">
        <v>208.3</v>
      </c>
      <c r="G3617" s="5">
        <v>103.9</v>
      </c>
      <c r="H3617" s="5">
        <v>103.8</v>
      </c>
      <c r="I3617" s="5">
        <v>0</v>
      </c>
      <c r="J3617" s="5">
        <v>0</v>
      </c>
      <c r="K3617" s="5">
        <v>0</v>
      </c>
    </row>
    <row r="3618" spans="1:11" x14ac:dyDescent="0.25">
      <c r="A3618" s="5">
        <f>3611</f>
      </c>
      <c r="B3618" s="5" t="s">
        <v>3626</v>
      </c>
      <c r="C3618" s="5">
        <v>102.9</v>
      </c>
      <c r="D3618" s="5">
        <v>0.1</v>
      </c>
      <c r="E3618" s="5">
        <v>103</v>
      </c>
      <c r="F3618" s="5">
        <v>206.1</v>
      </c>
      <c r="G3618" s="5">
        <v>102.8</v>
      </c>
      <c r="H3618" s="5">
        <v>102.6</v>
      </c>
      <c r="I3618" s="5">
        <v>0</v>
      </c>
      <c r="J3618" s="5">
        <v>0</v>
      </c>
      <c r="K3618" s="5">
        <v>0</v>
      </c>
    </row>
    <row r="3619" spans="1:11" x14ac:dyDescent="0.25">
      <c r="A3619" s="5">
        <f>3612</f>
      </c>
      <c r="B3619" s="5" t="s">
        <v>3627</v>
      </c>
      <c r="C3619" s="5">
        <v>102.9</v>
      </c>
      <c r="D3619" s="5">
        <v>0.1</v>
      </c>
      <c r="E3619" s="5">
        <v>103</v>
      </c>
      <c r="F3619" s="5">
        <v>206.1</v>
      </c>
      <c r="G3619" s="5">
        <v>102.8</v>
      </c>
      <c r="H3619" s="5">
        <v>102.6</v>
      </c>
      <c r="I3619" s="5">
        <v>0</v>
      </c>
      <c r="J3619" s="5">
        <v>0</v>
      </c>
      <c r="K3619" s="5">
        <v>0</v>
      </c>
    </row>
    <row r="3620" spans="1:11" x14ac:dyDescent="0.25">
      <c r="A3620" s="5">
        <f>3613</f>
      </c>
      <c r="B3620" s="5" t="s">
        <v>3628</v>
      </c>
      <c r="C3620" s="5">
        <v>99.1</v>
      </c>
      <c r="D3620" s="5">
        <v>0.1</v>
      </c>
      <c r="E3620" s="5">
        <v>99.2</v>
      </c>
      <c r="F3620" s="5">
        <v>197.5</v>
      </c>
      <c r="G3620" s="5">
        <v>98.5</v>
      </c>
      <c r="H3620" s="5">
        <v>98.4</v>
      </c>
      <c r="I3620" s="5">
        <v>0</v>
      </c>
      <c r="J3620" s="5">
        <v>0</v>
      </c>
      <c r="K3620" s="5">
        <v>0</v>
      </c>
    </row>
    <row r="3621" spans="1:11" x14ac:dyDescent="0.25">
      <c r="A3621" s="5">
        <f>3614</f>
      </c>
      <c r="B3621" s="5" t="s">
        <v>3629</v>
      </c>
      <c r="C3621" s="5">
        <v>99.1</v>
      </c>
      <c r="D3621" s="5">
        <v>0.1</v>
      </c>
      <c r="E3621" s="5">
        <v>99.2</v>
      </c>
      <c r="F3621" s="5">
        <v>197.5</v>
      </c>
      <c r="G3621" s="5">
        <v>98.5</v>
      </c>
      <c r="H3621" s="5">
        <v>98.4</v>
      </c>
      <c r="I3621" s="5">
        <v>0</v>
      </c>
      <c r="J3621" s="5">
        <v>0</v>
      </c>
      <c r="K3621" s="5">
        <v>0</v>
      </c>
    </row>
    <row r="3622" spans="1:11" x14ac:dyDescent="0.25">
      <c r="A3622" s="5">
        <f>3615</f>
      </c>
      <c r="B3622" s="5" t="s">
        <v>3630</v>
      </c>
      <c r="C3622" s="5">
        <v>101.9</v>
      </c>
      <c r="D3622" s="5">
        <v>0.1</v>
      </c>
      <c r="E3622" s="5">
        <v>102.1</v>
      </c>
      <c r="F3622" s="5">
        <v>205.2</v>
      </c>
      <c r="G3622" s="5">
        <v>103.7</v>
      </c>
      <c r="H3622" s="5">
        <v>103.4</v>
      </c>
      <c r="I3622" s="5">
        <v>0</v>
      </c>
      <c r="J3622" s="5">
        <v>0</v>
      </c>
      <c r="K3622" s="5">
        <v>0</v>
      </c>
    </row>
    <row r="3623" spans="1:11" x14ac:dyDescent="0.25">
      <c r="A3623" s="5">
        <f>3616</f>
      </c>
      <c r="B3623" s="5" t="s">
        <v>3631</v>
      </c>
      <c r="C3623" s="5">
        <v>101.9</v>
      </c>
      <c r="D3623" s="5">
        <v>0.1</v>
      </c>
      <c r="E3623" s="5">
        <v>102.1</v>
      </c>
      <c r="F3623" s="5">
        <v>205.2</v>
      </c>
      <c r="G3623" s="5">
        <v>103.7</v>
      </c>
      <c r="H3623" s="5">
        <v>103.4</v>
      </c>
      <c r="I3623" s="5">
        <v>0</v>
      </c>
      <c r="J3623" s="5">
        <v>0</v>
      </c>
      <c r="K3623" s="5">
        <v>0</v>
      </c>
    </row>
    <row r="3624" spans="1:11" x14ac:dyDescent="0.25">
      <c r="A3624" s="5">
        <f>3617</f>
      </c>
      <c r="B3624" s="5" t="s">
        <v>3632</v>
      </c>
      <c r="C3624" s="5">
        <v>104.8</v>
      </c>
      <c r="D3624" s="5">
        <v>0.1</v>
      </c>
      <c r="E3624" s="5">
        <v>105</v>
      </c>
      <c r="F3624" s="5">
        <v>204.1</v>
      </c>
      <c r="G3624" s="5">
        <v>102.1</v>
      </c>
      <c r="H3624" s="5">
        <v>102.2</v>
      </c>
      <c r="I3624" s="5">
        <v>0</v>
      </c>
      <c r="J3624" s="5">
        <v>0</v>
      </c>
      <c r="K3624" s="5">
        <v>0</v>
      </c>
    </row>
    <row r="3625" spans="1:11" x14ac:dyDescent="0.25">
      <c r="A3625" s="5">
        <f>3618</f>
      </c>
      <c r="B3625" s="5" t="s">
        <v>3633</v>
      </c>
      <c r="C3625" s="5">
        <v>104.8</v>
      </c>
      <c r="D3625" s="5">
        <v>0.1</v>
      </c>
      <c r="E3625" s="5">
        <v>105</v>
      </c>
      <c r="F3625" s="5">
        <v>204.1</v>
      </c>
      <c r="G3625" s="5">
        <v>102.1</v>
      </c>
      <c r="H3625" s="5">
        <v>102.2</v>
      </c>
      <c r="I3625" s="5">
        <v>0</v>
      </c>
      <c r="J3625" s="5">
        <v>0</v>
      </c>
      <c r="K3625" s="5">
        <v>0</v>
      </c>
    </row>
    <row r="3626" spans="1:11" x14ac:dyDescent="0.25">
      <c r="A3626" s="5">
        <f>3619</f>
      </c>
      <c r="B3626" s="5" t="s">
        <v>3634</v>
      </c>
      <c r="C3626" s="5">
        <v>104.8</v>
      </c>
      <c r="D3626" s="5">
        <v>0.1</v>
      </c>
      <c r="E3626" s="5">
        <v>105</v>
      </c>
      <c r="F3626" s="5">
        <v>204.1</v>
      </c>
      <c r="G3626" s="5">
        <v>102.1</v>
      </c>
      <c r="H3626" s="5">
        <v>102.2</v>
      </c>
      <c r="I3626" s="5">
        <v>0</v>
      </c>
      <c r="J3626" s="5">
        <v>0</v>
      </c>
      <c r="K3626" s="5">
        <v>0</v>
      </c>
    </row>
    <row r="3627" spans="1:11" x14ac:dyDescent="0.25">
      <c r="A3627" s="5">
        <f>3620</f>
      </c>
      <c r="B3627" s="5" t="s">
        <v>3635</v>
      </c>
      <c r="C3627" s="5">
        <v>104.8</v>
      </c>
      <c r="D3627" s="5">
        <v>0.1</v>
      </c>
      <c r="E3627" s="5">
        <v>105</v>
      </c>
      <c r="F3627" s="5">
        <v>204.1</v>
      </c>
      <c r="G3627" s="5">
        <v>102.1</v>
      </c>
      <c r="H3627" s="5">
        <v>102.2</v>
      </c>
      <c r="I3627" s="5">
        <v>0</v>
      </c>
      <c r="J3627" s="5">
        <v>0</v>
      </c>
      <c r="K3627" s="5">
        <v>0</v>
      </c>
    </row>
    <row r="3628" spans="1:11" x14ac:dyDescent="0.25">
      <c r="A3628" s="5">
        <f>3621</f>
      </c>
      <c r="B3628" s="5" t="s">
        <v>3636</v>
      </c>
      <c r="C3628" s="5">
        <v>99.5</v>
      </c>
      <c r="D3628" s="5">
        <v>0.1</v>
      </c>
      <c r="E3628" s="5">
        <v>99.6</v>
      </c>
      <c r="F3628" s="5">
        <v>199.7</v>
      </c>
      <c r="G3628" s="5">
        <v>99.5</v>
      </c>
      <c r="H3628" s="5">
        <v>99.4</v>
      </c>
      <c r="I3628" s="5">
        <v>0</v>
      </c>
      <c r="J3628" s="5">
        <v>0</v>
      </c>
      <c r="K3628" s="5">
        <v>0</v>
      </c>
    </row>
    <row r="3629" spans="1:11" x14ac:dyDescent="0.25">
      <c r="A3629" s="5">
        <f>3622</f>
      </c>
      <c r="B3629" s="5" t="s">
        <v>3637</v>
      </c>
      <c r="C3629" s="5">
        <v>99.5</v>
      </c>
      <c r="D3629" s="5">
        <v>0.1</v>
      </c>
      <c r="E3629" s="5">
        <v>99.6</v>
      </c>
      <c r="F3629" s="5">
        <v>199.7</v>
      </c>
      <c r="G3629" s="5">
        <v>99.5</v>
      </c>
      <c r="H3629" s="5">
        <v>99.4</v>
      </c>
      <c r="I3629" s="5">
        <v>0</v>
      </c>
      <c r="J3629" s="5">
        <v>0</v>
      </c>
      <c r="K3629" s="5">
        <v>0</v>
      </c>
    </row>
    <row r="3630" spans="1:11" x14ac:dyDescent="0.25">
      <c r="A3630" s="5">
        <f>3623</f>
      </c>
      <c r="B3630" s="5" t="s">
        <v>3638</v>
      </c>
      <c r="C3630" s="5">
        <v>105.2</v>
      </c>
      <c r="D3630" s="5">
        <v>0.1</v>
      </c>
      <c r="E3630" s="5">
        <v>105.3</v>
      </c>
      <c r="F3630" s="5">
        <v>204.6</v>
      </c>
      <c r="G3630" s="5">
        <v>101.8</v>
      </c>
      <c r="H3630" s="5">
        <v>101.5</v>
      </c>
      <c r="I3630" s="5">
        <v>0</v>
      </c>
      <c r="J3630" s="5">
        <v>0</v>
      </c>
      <c r="K3630" s="5">
        <v>0</v>
      </c>
    </row>
    <row r="3631" spans="1:11" x14ac:dyDescent="0.25">
      <c r="A3631" s="5">
        <f>3624</f>
      </c>
      <c r="B3631" s="5" t="s">
        <v>3639</v>
      </c>
      <c r="C3631" s="5">
        <v>105.2</v>
      </c>
      <c r="D3631" s="5">
        <v>0.1</v>
      </c>
      <c r="E3631" s="5">
        <v>105.3</v>
      </c>
      <c r="F3631" s="5">
        <v>204.6</v>
      </c>
      <c r="G3631" s="5">
        <v>101.8</v>
      </c>
      <c r="H3631" s="5">
        <v>101.5</v>
      </c>
      <c r="I3631" s="5">
        <v>0</v>
      </c>
      <c r="J3631" s="5">
        <v>0</v>
      </c>
      <c r="K3631" s="5">
        <v>0</v>
      </c>
    </row>
    <row r="3632" spans="1:11" x14ac:dyDescent="0.25">
      <c r="A3632" s="5">
        <f>3625</f>
      </c>
      <c r="B3632" s="5" t="s">
        <v>3640</v>
      </c>
      <c r="C3632" s="5">
        <v>101.1</v>
      </c>
      <c r="D3632" s="5">
        <v>0.1</v>
      </c>
      <c r="E3632" s="5">
        <v>101.2</v>
      </c>
      <c r="F3632" s="5">
        <v>207.1</v>
      </c>
      <c r="G3632" s="5">
        <v>103.6</v>
      </c>
      <c r="H3632" s="5">
        <v>103.6</v>
      </c>
      <c r="I3632" s="5">
        <v>0</v>
      </c>
      <c r="J3632" s="5">
        <v>0</v>
      </c>
      <c r="K3632" s="5">
        <v>0</v>
      </c>
    </row>
    <row r="3633" spans="1:11" x14ac:dyDescent="0.25">
      <c r="A3633" s="5">
        <f>3626</f>
      </c>
      <c r="B3633" s="5" t="s">
        <v>3641</v>
      </c>
      <c r="C3633" s="5">
        <v>101.1</v>
      </c>
      <c r="D3633" s="5">
        <v>0.1</v>
      </c>
      <c r="E3633" s="5">
        <v>101.2</v>
      </c>
      <c r="F3633" s="5">
        <v>207.1</v>
      </c>
      <c r="G3633" s="5">
        <v>103.6</v>
      </c>
      <c r="H3633" s="5">
        <v>103.6</v>
      </c>
      <c r="I3633" s="5">
        <v>0</v>
      </c>
      <c r="J3633" s="5">
        <v>0</v>
      </c>
      <c r="K3633" s="5">
        <v>0</v>
      </c>
    </row>
    <row r="3634" spans="1:11" x14ac:dyDescent="0.25">
      <c r="A3634" s="5">
        <f>3627</f>
      </c>
      <c r="B3634" s="5" t="s">
        <v>3642</v>
      </c>
      <c r="C3634" s="5">
        <v>99.5</v>
      </c>
      <c r="D3634" s="5">
        <v>0.1</v>
      </c>
      <c r="E3634" s="5">
        <v>99.6</v>
      </c>
      <c r="F3634" s="5">
        <v>198.7</v>
      </c>
      <c r="G3634" s="5">
        <v>99.1</v>
      </c>
      <c r="H3634" s="5">
        <v>98.9</v>
      </c>
      <c r="I3634" s="5">
        <v>0</v>
      </c>
      <c r="J3634" s="5">
        <v>0</v>
      </c>
      <c r="K3634" s="5">
        <v>0</v>
      </c>
    </row>
    <row r="3635" spans="1:11" x14ac:dyDescent="0.25">
      <c r="A3635" s="5">
        <f>3628</f>
      </c>
      <c r="B3635" s="5" t="s">
        <v>3643</v>
      </c>
      <c r="C3635" s="5">
        <v>99.5</v>
      </c>
      <c r="D3635" s="5">
        <v>0.1</v>
      </c>
      <c r="E3635" s="5">
        <v>99.6</v>
      </c>
      <c r="F3635" s="5">
        <v>198.7</v>
      </c>
      <c r="G3635" s="5">
        <v>99.1</v>
      </c>
      <c r="H3635" s="5">
        <v>98.9</v>
      </c>
      <c r="I3635" s="5">
        <v>0</v>
      </c>
      <c r="J3635" s="5">
        <v>0</v>
      </c>
      <c r="K3635" s="5">
        <v>0</v>
      </c>
    </row>
    <row r="3636" spans="1:11" x14ac:dyDescent="0.25">
      <c r="A3636" s="5">
        <f>3629</f>
      </c>
      <c r="B3636" s="5" t="s">
        <v>3644</v>
      </c>
      <c r="C3636" s="5">
        <v>99.5</v>
      </c>
      <c r="D3636" s="5">
        <v>0.1</v>
      </c>
      <c r="E3636" s="5">
        <v>99.6</v>
      </c>
      <c r="F3636" s="5">
        <v>198.7</v>
      </c>
      <c r="G3636" s="5">
        <v>99.1</v>
      </c>
      <c r="H3636" s="5">
        <v>98.9</v>
      </c>
      <c r="I3636" s="5">
        <v>0</v>
      </c>
      <c r="J3636" s="5">
        <v>0</v>
      </c>
      <c r="K3636" s="5">
        <v>0</v>
      </c>
    </row>
    <row r="3637" spans="1:11" x14ac:dyDescent="0.25">
      <c r="A3637" s="5">
        <f>3630</f>
      </c>
      <c r="B3637" s="5" t="s">
        <v>3645</v>
      </c>
      <c r="C3637" s="5">
        <v>100</v>
      </c>
      <c r="D3637" s="5">
        <v>0.1</v>
      </c>
      <c r="E3637" s="5">
        <v>104.6</v>
      </c>
      <c r="F3637" s="5">
        <v>198.7</v>
      </c>
      <c r="G3637" s="5">
        <v>99.1</v>
      </c>
      <c r="H3637" s="5">
        <v>98.9</v>
      </c>
      <c r="I3637" s="5">
        <v>0</v>
      </c>
      <c r="J3637" s="5">
        <v>0</v>
      </c>
      <c r="K3637" s="5">
        <v>0</v>
      </c>
    </row>
    <row r="3638" spans="1:11" x14ac:dyDescent="0.25">
      <c r="A3638" s="5">
        <f>3631</f>
      </c>
      <c r="B3638" s="5" t="s">
        <v>3646</v>
      </c>
      <c r="C3638" s="5">
        <v>100</v>
      </c>
      <c r="D3638" s="5">
        <v>0.1</v>
      </c>
      <c r="E3638" s="5">
        <v>104.6</v>
      </c>
      <c r="F3638" s="5">
        <v>207.1</v>
      </c>
      <c r="G3638" s="5">
        <v>103.4</v>
      </c>
      <c r="H3638" s="5">
        <v>103.3</v>
      </c>
      <c r="I3638" s="5">
        <v>0</v>
      </c>
      <c r="J3638" s="5">
        <v>0</v>
      </c>
      <c r="K3638" s="5">
        <v>0</v>
      </c>
    </row>
    <row r="3639" spans="1:11" x14ac:dyDescent="0.25">
      <c r="A3639" s="5">
        <f>3632</f>
      </c>
      <c r="B3639" s="5" t="s">
        <v>3647</v>
      </c>
      <c r="C3639" s="5">
        <v>104.5</v>
      </c>
      <c r="D3639" s="5">
        <v>0.1</v>
      </c>
      <c r="E3639" s="5">
        <v>104.6</v>
      </c>
      <c r="F3639" s="5">
        <v>207.1</v>
      </c>
      <c r="G3639" s="5">
        <v>103.4</v>
      </c>
      <c r="H3639" s="5">
        <v>103.3</v>
      </c>
      <c r="I3639" s="5">
        <v>0</v>
      </c>
      <c r="J3639" s="5">
        <v>0</v>
      </c>
      <c r="K3639" s="5">
        <v>0</v>
      </c>
    </row>
    <row r="3640" spans="1:11" x14ac:dyDescent="0.25">
      <c r="A3640" s="5">
        <f>3633</f>
      </c>
      <c r="B3640" s="5" t="s">
        <v>3648</v>
      </c>
      <c r="C3640" s="5">
        <v>104.5</v>
      </c>
      <c r="D3640" s="5">
        <v>0.1</v>
      </c>
      <c r="E3640" s="5">
        <v>104.6</v>
      </c>
      <c r="F3640" s="5">
        <v>205.6</v>
      </c>
      <c r="G3640" s="5">
        <v>102.7</v>
      </c>
      <c r="H3640" s="5">
        <v>102.7</v>
      </c>
      <c r="I3640" s="5">
        <v>0</v>
      </c>
      <c r="J3640" s="5">
        <v>0</v>
      </c>
      <c r="K3640" s="5">
        <v>0</v>
      </c>
    </row>
    <row r="3641" spans="1:11" x14ac:dyDescent="0.25">
      <c r="A3641" s="5">
        <f>3634</f>
      </c>
      <c r="B3641" s="5" t="s">
        <v>3649</v>
      </c>
      <c r="C3641" s="5">
        <v>104.5</v>
      </c>
      <c r="D3641" s="5">
        <v>0.1</v>
      </c>
      <c r="E3641" s="5">
        <v>104.6</v>
      </c>
      <c r="F3641" s="5">
        <v>205.6</v>
      </c>
      <c r="G3641" s="5">
        <v>102.7</v>
      </c>
      <c r="H3641" s="5">
        <v>102.7</v>
      </c>
      <c r="I3641" s="5">
        <v>0</v>
      </c>
      <c r="J3641" s="5">
        <v>0</v>
      </c>
      <c r="K3641" s="5">
        <v>0</v>
      </c>
    </row>
    <row r="3642" spans="1:11" x14ac:dyDescent="0.25">
      <c r="A3642" s="5">
        <f>3635</f>
      </c>
      <c r="B3642" s="5" t="s">
        <v>3650</v>
      </c>
      <c r="C3642" s="5">
        <v>103.7</v>
      </c>
      <c r="D3642" s="5">
        <v>0.1</v>
      </c>
      <c r="E3642" s="5">
        <v>103.9</v>
      </c>
      <c r="F3642" s="5">
        <v>196.9</v>
      </c>
      <c r="G3642" s="5">
        <v>98.2</v>
      </c>
      <c r="H3642" s="5">
        <v>98.1</v>
      </c>
      <c r="I3642" s="5">
        <v>0</v>
      </c>
      <c r="J3642" s="5">
        <v>0</v>
      </c>
      <c r="K3642" s="5">
        <v>0</v>
      </c>
    </row>
    <row r="3643" spans="1:11" x14ac:dyDescent="0.25">
      <c r="A3643" s="5">
        <f>3636</f>
      </c>
      <c r="B3643" s="5" t="s">
        <v>3651</v>
      </c>
      <c r="C3643" s="5">
        <v>103.7</v>
      </c>
      <c r="D3643" s="5">
        <v>0.1</v>
      </c>
      <c r="E3643" s="5">
        <v>103.9</v>
      </c>
      <c r="F3643" s="5">
        <v>196.9</v>
      </c>
      <c r="G3643" s="5">
        <v>98.2</v>
      </c>
      <c r="H3643" s="5">
        <v>98.1</v>
      </c>
      <c r="I3643" s="5">
        <v>0</v>
      </c>
      <c r="J3643" s="5">
        <v>0</v>
      </c>
      <c r="K3643" s="5">
        <v>0</v>
      </c>
    </row>
    <row r="3644" spans="1:11" x14ac:dyDescent="0.25">
      <c r="A3644" s="5">
        <f>3637</f>
      </c>
      <c r="B3644" s="5" t="s">
        <v>3652</v>
      </c>
      <c r="C3644" s="5">
        <v>98.9</v>
      </c>
      <c r="D3644" s="5">
        <v>0.1</v>
      </c>
      <c r="E3644" s="5">
        <v>99</v>
      </c>
      <c r="F3644" s="5">
        <v>197.8</v>
      </c>
      <c r="G3644" s="5">
        <v>98.8</v>
      </c>
      <c r="H3644" s="5">
        <v>98.9</v>
      </c>
      <c r="I3644" s="5">
        <v>0</v>
      </c>
      <c r="J3644" s="5">
        <v>0</v>
      </c>
      <c r="K3644" s="5">
        <v>0</v>
      </c>
    </row>
    <row r="3645" spans="1:11" x14ac:dyDescent="0.25">
      <c r="A3645" s="5">
        <f>3638</f>
      </c>
      <c r="B3645" s="5" t="s">
        <v>3653</v>
      </c>
      <c r="C3645" s="5">
        <v>98.9</v>
      </c>
      <c r="D3645" s="5">
        <v>0.1</v>
      </c>
      <c r="E3645" s="5">
        <v>99</v>
      </c>
      <c r="F3645" s="5">
        <v>197.8</v>
      </c>
      <c r="G3645" s="5">
        <v>98.8</v>
      </c>
      <c r="H3645" s="5">
        <v>98.9</v>
      </c>
      <c r="I3645" s="5">
        <v>0</v>
      </c>
      <c r="J3645" s="5">
        <v>0</v>
      </c>
      <c r="K3645" s="5">
        <v>0</v>
      </c>
    </row>
    <row r="3646" spans="1:11" x14ac:dyDescent="0.25">
      <c r="A3646" s="5">
        <f>3639</f>
      </c>
      <c r="B3646" s="5" t="s">
        <v>3654</v>
      </c>
      <c r="C3646" s="5">
        <v>98.9</v>
      </c>
      <c r="D3646" s="5">
        <v>0.1</v>
      </c>
      <c r="E3646" s="5">
        <v>99</v>
      </c>
      <c r="F3646" s="5">
        <v>197.8</v>
      </c>
      <c r="G3646" s="5">
        <v>98.8</v>
      </c>
      <c r="H3646" s="5">
        <v>98.9</v>
      </c>
      <c r="I3646" s="5">
        <v>0</v>
      </c>
      <c r="J3646" s="5">
        <v>0</v>
      </c>
      <c r="K3646" s="5">
        <v>0</v>
      </c>
    </row>
    <row r="3647" spans="1:11" x14ac:dyDescent="0.25">
      <c r="A3647" s="5">
        <f>3640</f>
      </c>
      <c r="B3647" s="5" t="s">
        <v>3655</v>
      </c>
      <c r="C3647" s="5">
        <v>98.9</v>
      </c>
      <c r="D3647" s="5">
        <v>0.1</v>
      </c>
      <c r="E3647" s="5">
        <v>99</v>
      </c>
      <c r="F3647" s="5">
        <v>197.8</v>
      </c>
      <c r="G3647" s="5">
        <v>98.8</v>
      </c>
      <c r="H3647" s="5">
        <v>98.9</v>
      </c>
      <c r="I3647" s="5">
        <v>0</v>
      </c>
      <c r="J3647" s="5">
        <v>0</v>
      </c>
      <c r="K3647" s="5">
        <v>0</v>
      </c>
    </row>
    <row r="3648" spans="1:11" x14ac:dyDescent="0.25">
      <c r="A3648" s="5">
        <f>3641</f>
      </c>
      <c r="B3648" s="5" t="s">
        <v>3656</v>
      </c>
      <c r="C3648" s="5">
        <v>104.6</v>
      </c>
      <c r="D3648" s="5">
        <v>0.1</v>
      </c>
      <c r="E3648" s="5">
        <v>104.8</v>
      </c>
      <c r="F3648" s="5">
        <v>201.5</v>
      </c>
      <c r="G3648" s="5">
        <v>100.8</v>
      </c>
      <c r="H3648" s="5">
        <v>101</v>
      </c>
      <c r="I3648" s="5">
        <v>0</v>
      </c>
      <c r="J3648" s="5">
        <v>0</v>
      </c>
      <c r="K3648" s="5">
        <v>0</v>
      </c>
    </row>
    <row r="3649" spans="1:11" x14ac:dyDescent="0.25">
      <c r="A3649" s="5">
        <f>3642</f>
      </c>
      <c r="B3649" s="5" t="s">
        <v>3657</v>
      </c>
      <c r="C3649" s="5">
        <v>104.6</v>
      </c>
      <c r="D3649" s="5">
        <v>0.1</v>
      </c>
      <c r="E3649" s="5">
        <v>104.8</v>
      </c>
      <c r="F3649" s="5">
        <v>201.5</v>
      </c>
      <c r="G3649" s="5">
        <v>100.8</v>
      </c>
      <c r="H3649" s="5">
        <v>101</v>
      </c>
      <c r="I3649" s="5">
        <v>0</v>
      </c>
      <c r="J3649" s="5">
        <v>0</v>
      </c>
      <c r="K3649" s="5">
        <v>0</v>
      </c>
    </row>
    <row r="3650" spans="1:11" x14ac:dyDescent="0.25">
      <c r="A3650" s="5">
        <f>3643</f>
      </c>
      <c r="B3650" s="5" t="s">
        <v>3658</v>
      </c>
      <c r="C3650" s="5">
        <v>105.2</v>
      </c>
      <c r="D3650" s="5">
        <v>0.1</v>
      </c>
      <c r="E3650" s="5">
        <v>105.3</v>
      </c>
      <c r="F3650" s="5">
        <v>209.2</v>
      </c>
      <c r="G3650" s="5">
        <v>104.4</v>
      </c>
      <c r="H3650" s="5">
        <v>104.3</v>
      </c>
      <c r="I3650" s="5">
        <v>0</v>
      </c>
      <c r="J3650" s="5">
        <v>0</v>
      </c>
      <c r="K3650" s="5">
        <v>0</v>
      </c>
    </row>
    <row r="3651" spans="1:11" x14ac:dyDescent="0.25">
      <c r="A3651" s="5">
        <f>3644</f>
      </c>
      <c r="B3651" s="5" t="s">
        <v>3659</v>
      </c>
      <c r="C3651" s="5">
        <v>105.2</v>
      </c>
      <c r="D3651" s="5">
        <v>0.1</v>
      </c>
      <c r="E3651" s="5">
        <v>105.3</v>
      </c>
      <c r="F3651" s="5">
        <v>209.2</v>
      </c>
      <c r="G3651" s="5">
        <v>104.4</v>
      </c>
      <c r="H3651" s="5">
        <v>104.3</v>
      </c>
      <c r="I3651" s="5">
        <v>0</v>
      </c>
      <c r="J3651" s="5">
        <v>0</v>
      </c>
      <c r="K3651" s="5">
        <v>0</v>
      </c>
    </row>
    <row r="3652" spans="1:11" x14ac:dyDescent="0.25">
      <c r="A3652" s="5">
        <f>3645</f>
      </c>
      <c r="B3652" s="5" t="s">
        <v>3660</v>
      </c>
      <c r="C3652" s="5">
        <v>103.5</v>
      </c>
      <c r="D3652" s="5">
        <v>0.1</v>
      </c>
      <c r="E3652" s="5">
        <v>103.7</v>
      </c>
      <c r="F3652" s="5">
        <v>200.8</v>
      </c>
      <c r="G3652" s="5">
        <v>100.6</v>
      </c>
      <c r="H3652" s="5">
        <v>100.7</v>
      </c>
      <c r="I3652" s="5">
        <v>0</v>
      </c>
      <c r="J3652" s="5">
        <v>0</v>
      </c>
      <c r="K3652" s="5">
        <v>0</v>
      </c>
    </row>
    <row r="3653" spans="1:11" x14ac:dyDescent="0.25">
      <c r="A3653" s="5">
        <f>3646</f>
      </c>
      <c r="B3653" s="5" t="s">
        <v>3661</v>
      </c>
      <c r="C3653" s="5">
        <v>103.5</v>
      </c>
      <c r="D3653" s="5">
        <v>0.1</v>
      </c>
      <c r="E3653" s="5">
        <v>103.7</v>
      </c>
      <c r="F3653" s="5">
        <v>200.8</v>
      </c>
      <c r="G3653" s="5">
        <v>100.6</v>
      </c>
      <c r="H3653" s="5">
        <v>100.7</v>
      </c>
      <c r="I3653" s="5">
        <v>0</v>
      </c>
      <c r="J3653" s="5">
        <v>0</v>
      </c>
      <c r="K3653" s="5">
        <v>0</v>
      </c>
    </row>
    <row r="3654" spans="1:11" x14ac:dyDescent="0.25">
      <c r="A3654" s="5">
        <f>3647</f>
      </c>
      <c r="B3654" s="5" t="s">
        <v>3662</v>
      </c>
      <c r="C3654" s="5">
        <v>99.5</v>
      </c>
      <c r="D3654" s="5">
        <v>0.1</v>
      </c>
      <c r="E3654" s="5">
        <v>99.7</v>
      </c>
      <c r="F3654" s="5">
        <v>197.1</v>
      </c>
      <c r="G3654" s="5">
        <v>98.4</v>
      </c>
      <c r="H3654" s="5">
        <v>98.3</v>
      </c>
      <c r="I3654" s="5">
        <v>0</v>
      </c>
      <c r="J3654" s="5">
        <v>0</v>
      </c>
      <c r="K3654" s="5">
        <v>0</v>
      </c>
    </row>
    <row r="3655" spans="1:11" x14ac:dyDescent="0.25">
      <c r="A3655" s="5">
        <f>3648</f>
      </c>
      <c r="B3655" s="5" t="s">
        <v>3663</v>
      </c>
      <c r="C3655" s="5">
        <v>99.5</v>
      </c>
      <c r="D3655" s="5">
        <v>0.1</v>
      </c>
      <c r="E3655" s="5">
        <v>99.7</v>
      </c>
      <c r="F3655" s="5">
        <v>197.1</v>
      </c>
      <c r="G3655" s="5">
        <v>98.4</v>
      </c>
      <c r="H3655" s="5">
        <v>98.3</v>
      </c>
      <c r="I3655" s="5">
        <v>0</v>
      </c>
      <c r="J3655" s="5">
        <v>0</v>
      </c>
      <c r="K3655" s="5">
        <v>0</v>
      </c>
    </row>
    <row r="3656" spans="1:11" x14ac:dyDescent="0.25">
      <c r="A3656" s="5">
        <f>3649</f>
      </c>
      <c r="B3656" s="5" t="s">
        <v>3664</v>
      </c>
      <c r="C3656" s="5">
        <v>99.5</v>
      </c>
      <c r="D3656" s="5">
        <v>0.1</v>
      </c>
      <c r="E3656" s="5">
        <v>99.7</v>
      </c>
      <c r="F3656" s="5">
        <v>197.1</v>
      </c>
      <c r="G3656" s="5">
        <v>98.4</v>
      </c>
      <c r="H3656" s="5">
        <v>98.3</v>
      </c>
      <c r="I3656" s="5">
        <v>0</v>
      </c>
      <c r="J3656" s="5">
        <v>0</v>
      </c>
      <c r="K3656" s="5">
        <v>0</v>
      </c>
    </row>
    <row r="3657" spans="1:11" x14ac:dyDescent="0.25">
      <c r="A3657" s="5">
        <f>3650</f>
      </c>
      <c r="B3657" s="5" t="s">
        <v>3665</v>
      </c>
      <c r="C3657" s="5">
        <v>99.5</v>
      </c>
      <c r="D3657" s="5">
        <v>0.1</v>
      </c>
      <c r="E3657" s="5">
        <v>99.7</v>
      </c>
      <c r="F3657" s="5">
        <v>197.1</v>
      </c>
      <c r="G3657" s="5">
        <v>98.4</v>
      </c>
      <c r="H3657" s="5">
        <v>100.1</v>
      </c>
      <c r="I3657" s="5">
        <v>0</v>
      </c>
      <c r="J3657" s="5">
        <v>0</v>
      </c>
      <c r="K3657" s="5">
        <v>0</v>
      </c>
    </row>
    <row r="3658" spans="1:11" x14ac:dyDescent="0.25">
      <c r="A3658" s="5">
        <f>3651</f>
      </c>
      <c r="B3658" s="5" t="s">
        <v>3666</v>
      </c>
      <c r="C3658" s="5">
        <v>105</v>
      </c>
      <c r="D3658" s="5">
        <v>0.1</v>
      </c>
      <c r="E3658" s="5">
        <v>105.1</v>
      </c>
      <c r="F3658" s="5">
        <v>209.3</v>
      </c>
      <c r="G3658" s="5">
        <v>101.9</v>
      </c>
      <c r="H3658" s="5">
        <v>100.1</v>
      </c>
      <c r="I3658" s="5">
        <v>0</v>
      </c>
      <c r="J3658" s="5">
        <v>0</v>
      </c>
      <c r="K3658" s="5">
        <v>0</v>
      </c>
    </row>
    <row r="3659" spans="1:11" x14ac:dyDescent="0.25">
      <c r="A3659" s="5">
        <f>3652</f>
      </c>
      <c r="B3659" s="5" t="s">
        <v>3667</v>
      </c>
      <c r="C3659" s="5">
        <v>105</v>
      </c>
      <c r="D3659" s="5">
        <v>0.1</v>
      </c>
      <c r="E3659" s="5">
        <v>105.1</v>
      </c>
      <c r="F3659" s="5">
        <v>209.3</v>
      </c>
      <c r="G3659" s="5">
        <v>101.9</v>
      </c>
      <c r="H3659" s="5">
        <v>100.1</v>
      </c>
      <c r="I3659" s="5">
        <v>0</v>
      </c>
      <c r="J3659" s="5">
        <v>0</v>
      </c>
      <c r="K3659" s="5">
        <v>0</v>
      </c>
    </row>
    <row r="3660" spans="1:11" x14ac:dyDescent="0.25">
      <c r="A3660" s="5">
        <f>3653</f>
      </c>
      <c r="B3660" s="5" t="s">
        <v>3668</v>
      </c>
      <c r="C3660" s="5">
        <v>104.6</v>
      </c>
      <c r="D3660" s="5">
        <v>0.1</v>
      </c>
      <c r="E3660" s="5">
        <v>104.7</v>
      </c>
      <c r="F3660" s="5">
        <v>201.4</v>
      </c>
      <c r="G3660" s="5">
        <v>98.8</v>
      </c>
      <c r="H3660" s="5">
        <v>98.7</v>
      </c>
      <c r="I3660" s="5">
        <v>0</v>
      </c>
      <c r="J3660" s="5">
        <v>0</v>
      </c>
      <c r="K3660" s="5">
        <v>0</v>
      </c>
    </row>
    <row r="3661" spans="1:11" x14ac:dyDescent="0.25">
      <c r="A3661" s="5">
        <f>3654</f>
      </c>
      <c r="B3661" s="5" t="s">
        <v>3669</v>
      </c>
      <c r="C3661" s="5">
        <v>104.6</v>
      </c>
      <c r="D3661" s="5">
        <v>0.1</v>
      </c>
      <c r="E3661" s="5">
        <v>104.7</v>
      </c>
      <c r="F3661" s="5">
        <v>201.4</v>
      </c>
      <c r="G3661" s="5">
        <v>98.8</v>
      </c>
      <c r="H3661" s="5">
        <v>98.7</v>
      </c>
      <c r="I3661" s="5">
        <v>0</v>
      </c>
      <c r="J3661" s="5">
        <v>0</v>
      </c>
      <c r="K3661" s="5">
        <v>0</v>
      </c>
    </row>
    <row r="3662" spans="1:11" x14ac:dyDescent="0.25">
      <c r="A3662" s="5">
        <f>3655</f>
      </c>
      <c r="B3662" s="5" t="s">
        <v>3670</v>
      </c>
      <c r="C3662" s="5">
        <v>99</v>
      </c>
      <c r="D3662" s="5">
        <v>0.1</v>
      </c>
      <c r="E3662" s="5">
        <v>99.2</v>
      </c>
      <c r="F3662" s="5">
        <v>198.5</v>
      </c>
      <c r="G3662" s="5">
        <v>99</v>
      </c>
      <c r="H3662" s="5">
        <v>98.8</v>
      </c>
      <c r="I3662" s="5">
        <v>0</v>
      </c>
      <c r="J3662" s="5">
        <v>0</v>
      </c>
      <c r="K3662" s="5">
        <v>0</v>
      </c>
    </row>
    <row r="3663" spans="1:11" x14ac:dyDescent="0.25">
      <c r="A3663" s="5">
        <f>3656</f>
      </c>
      <c r="B3663" s="5" t="s">
        <v>3671</v>
      </c>
      <c r="C3663" s="5">
        <v>99</v>
      </c>
      <c r="D3663" s="5">
        <v>0.1</v>
      </c>
      <c r="E3663" s="5">
        <v>99.2</v>
      </c>
      <c r="F3663" s="5">
        <v>198.5</v>
      </c>
      <c r="G3663" s="5">
        <v>99</v>
      </c>
      <c r="H3663" s="5">
        <v>98.8</v>
      </c>
      <c r="I3663" s="5">
        <v>0</v>
      </c>
      <c r="J3663" s="5">
        <v>0</v>
      </c>
      <c r="K3663" s="5">
        <v>0</v>
      </c>
    </row>
    <row r="3664" spans="1:11" x14ac:dyDescent="0.25">
      <c r="A3664" s="5">
        <f>3657</f>
      </c>
      <c r="B3664" s="5" t="s">
        <v>3672</v>
      </c>
      <c r="C3664" s="5">
        <v>99.5</v>
      </c>
      <c r="D3664" s="5">
        <v>0.1</v>
      </c>
      <c r="E3664" s="5">
        <v>99.5</v>
      </c>
      <c r="F3664" s="5">
        <v>199.4</v>
      </c>
      <c r="G3664" s="5">
        <v>99.9</v>
      </c>
      <c r="H3664" s="5">
        <v>99.9</v>
      </c>
      <c r="I3664" s="5">
        <v>0</v>
      </c>
      <c r="J3664" s="5">
        <v>0</v>
      </c>
      <c r="K3664" s="5">
        <v>0</v>
      </c>
    </row>
    <row r="3665" spans="1:11" x14ac:dyDescent="0.25">
      <c r="A3665" s="5">
        <f>3658</f>
      </c>
      <c r="B3665" s="5" t="s">
        <v>3673</v>
      </c>
      <c r="C3665" s="5">
        <v>99.5</v>
      </c>
      <c r="D3665" s="5">
        <v>0.1</v>
      </c>
      <c r="E3665" s="5">
        <v>99.5</v>
      </c>
      <c r="F3665" s="5">
        <v>199.4</v>
      </c>
      <c r="G3665" s="5">
        <v>99.9</v>
      </c>
      <c r="H3665" s="5">
        <v>99.9</v>
      </c>
      <c r="I3665" s="5">
        <v>0</v>
      </c>
      <c r="J3665" s="5">
        <v>0</v>
      </c>
      <c r="K3665" s="5">
        <v>0</v>
      </c>
    </row>
    <row r="3666" spans="1:11" x14ac:dyDescent="0.25">
      <c r="A3666" s="5">
        <f>3659</f>
      </c>
      <c r="B3666" s="5" t="s">
        <v>3674</v>
      </c>
      <c r="C3666" s="5">
        <v>99.5</v>
      </c>
      <c r="D3666" s="5">
        <v>0.1</v>
      </c>
      <c r="E3666" s="5">
        <v>99.5</v>
      </c>
      <c r="F3666" s="5">
        <v>199.4</v>
      </c>
      <c r="G3666" s="5">
        <v>99.9</v>
      </c>
      <c r="H3666" s="5">
        <v>99.9</v>
      </c>
      <c r="I3666" s="5">
        <v>0</v>
      </c>
      <c r="J3666" s="5">
        <v>0</v>
      </c>
      <c r="K3666" s="5">
        <v>0</v>
      </c>
    </row>
    <row r="3667" spans="1:11" x14ac:dyDescent="0.25">
      <c r="A3667" s="5">
        <f>3660</f>
      </c>
      <c r="B3667" s="5" t="s">
        <v>3675</v>
      </c>
      <c r="C3667" s="5">
        <v>105</v>
      </c>
      <c r="D3667" s="5">
        <v>0.1</v>
      </c>
      <c r="E3667" s="5">
        <v>105.2</v>
      </c>
      <c r="F3667" s="5">
        <v>203.7</v>
      </c>
      <c r="G3667" s="5">
        <v>101.9</v>
      </c>
      <c r="H3667" s="5">
        <v>102</v>
      </c>
      <c r="I3667" s="5">
        <v>0</v>
      </c>
      <c r="J3667" s="5">
        <v>0</v>
      </c>
      <c r="K3667" s="5">
        <v>0</v>
      </c>
    </row>
    <row r="3668" spans="1:11" x14ac:dyDescent="0.25">
      <c r="A3668" s="5">
        <f>3661</f>
      </c>
      <c r="B3668" s="5" t="s">
        <v>3676</v>
      </c>
      <c r="C3668" s="5">
        <v>105</v>
      </c>
      <c r="D3668" s="5">
        <v>0.1</v>
      </c>
      <c r="E3668" s="5">
        <v>105.2</v>
      </c>
      <c r="F3668" s="5">
        <v>203.7</v>
      </c>
      <c r="G3668" s="5">
        <v>101.9</v>
      </c>
      <c r="H3668" s="5">
        <v>102</v>
      </c>
      <c r="I3668" s="5">
        <v>0</v>
      </c>
      <c r="J3668" s="5">
        <v>0</v>
      </c>
      <c r="K3668" s="5">
        <v>0</v>
      </c>
    </row>
    <row r="3669" spans="1:11" x14ac:dyDescent="0.25">
      <c r="A3669" s="5">
        <f>3662</f>
      </c>
      <c r="B3669" s="5" t="s">
        <v>3677</v>
      </c>
      <c r="C3669" s="5">
        <v>100.4</v>
      </c>
      <c r="D3669" s="5">
        <v>0.1</v>
      </c>
      <c r="E3669" s="5">
        <v>100.5</v>
      </c>
      <c r="F3669" s="5">
        <v>199.7</v>
      </c>
      <c r="G3669" s="5">
        <v>99.6</v>
      </c>
      <c r="H3669" s="5">
        <v>99.5</v>
      </c>
      <c r="I3669" s="5">
        <v>0</v>
      </c>
      <c r="J3669" s="5">
        <v>0</v>
      </c>
      <c r="K3669" s="5">
        <v>0</v>
      </c>
    </row>
    <row r="3670" spans="1:11" x14ac:dyDescent="0.25">
      <c r="A3670" s="5">
        <f>3663</f>
      </c>
      <c r="B3670" s="5" t="s">
        <v>3678</v>
      </c>
      <c r="C3670" s="5">
        <v>100.4</v>
      </c>
      <c r="D3670" s="5">
        <v>0.1</v>
      </c>
      <c r="E3670" s="5">
        <v>100.5</v>
      </c>
      <c r="F3670" s="5">
        <v>199.7</v>
      </c>
      <c r="G3670" s="5">
        <v>99.6</v>
      </c>
      <c r="H3670" s="5">
        <v>99.5</v>
      </c>
      <c r="I3670" s="5">
        <v>0</v>
      </c>
      <c r="J3670" s="5">
        <v>0</v>
      </c>
      <c r="K3670" s="5">
        <v>0</v>
      </c>
    </row>
    <row r="3671" spans="1:11" x14ac:dyDescent="0.25">
      <c r="A3671" s="5">
        <f>3664</f>
      </c>
      <c r="B3671" s="5" t="s">
        <v>3679</v>
      </c>
      <c r="C3671" s="5">
        <v>99.9</v>
      </c>
      <c r="D3671" s="5">
        <v>0.1</v>
      </c>
      <c r="E3671" s="5">
        <v>100.1</v>
      </c>
      <c r="F3671" s="5">
        <v>200.1</v>
      </c>
      <c r="G3671" s="5">
        <v>99.8</v>
      </c>
      <c r="H3671" s="5">
        <v>99.6</v>
      </c>
      <c r="I3671" s="5">
        <v>0</v>
      </c>
      <c r="J3671" s="5">
        <v>0</v>
      </c>
      <c r="K3671" s="5">
        <v>0</v>
      </c>
    </row>
    <row r="3672" spans="1:11" x14ac:dyDescent="0.25">
      <c r="A3672" s="5">
        <f>3665</f>
      </c>
      <c r="B3672" s="5" t="s">
        <v>3680</v>
      </c>
      <c r="C3672" s="5">
        <v>99.9</v>
      </c>
      <c r="D3672" s="5">
        <v>0.1</v>
      </c>
      <c r="E3672" s="5">
        <v>100.1</v>
      </c>
      <c r="F3672" s="5">
        <v>200.1</v>
      </c>
      <c r="G3672" s="5">
        <v>99.8</v>
      </c>
      <c r="H3672" s="5">
        <v>99.6</v>
      </c>
      <c r="I3672" s="5">
        <v>0</v>
      </c>
      <c r="J3672" s="5">
        <v>0</v>
      </c>
      <c r="K3672" s="5">
        <v>0</v>
      </c>
    </row>
    <row r="3673" spans="1:11" x14ac:dyDescent="0.25">
      <c r="A3673" s="5">
        <f>3666</f>
      </c>
      <c r="B3673" s="5" t="s">
        <v>3681</v>
      </c>
      <c r="C3673" s="5">
        <v>100.2</v>
      </c>
      <c r="D3673" s="5">
        <v>0.1</v>
      </c>
      <c r="E3673" s="5">
        <v>100.3</v>
      </c>
      <c r="F3673" s="5">
        <v>200.7</v>
      </c>
      <c r="G3673" s="5">
        <v>100.1</v>
      </c>
      <c r="H3673" s="5">
        <v>100</v>
      </c>
      <c r="I3673" s="5">
        <v>0</v>
      </c>
      <c r="J3673" s="5">
        <v>0</v>
      </c>
      <c r="K3673" s="5">
        <v>0</v>
      </c>
    </row>
    <row r="3674" spans="1:11" x14ac:dyDescent="0.25">
      <c r="A3674" s="5">
        <f>3667</f>
      </c>
      <c r="B3674" s="5" t="s">
        <v>3682</v>
      </c>
      <c r="C3674" s="5">
        <v>100.2</v>
      </c>
      <c r="D3674" s="5">
        <v>0.1</v>
      </c>
      <c r="E3674" s="5">
        <v>100.3</v>
      </c>
      <c r="F3674" s="5">
        <v>200.7</v>
      </c>
      <c r="G3674" s="5">
        <v>100.1</v>
      </c>
      <c r="H3674" s="5">
        <v>100</v>
      </c>
      <c r="I3674" s="5">
        <v>0</v>
      </c>
      <c r="J3674" s="5">
        <v>0</v>
      </c>
      <c r="K3674" s="5">
        <v>0</v>
      </c>
    </row>
    <row r="3675" spans="1:11" x14ac:dyDescent="0.25">
      <c r="A3675" s="5">
        <f>3668</f>
      </c>
      <c r="B3675" s="5" t="s">
        <v>3683</v>
      </c>
      <c r="C3675" s="5">
        <v>100.2</v>
      </c>
      <c r="D3675" s="5">
        <v>0.1</v>
      </c>
      <c r="E3675" s="5">
        <v>100.3</v>
      </c>
      <c r="F3675" s="5">
        <v>200.7</v>
      </c>
      <c r="G3675" s="5">
        <v>100.1</v>
      </c>
      <c r="H3675" s="5">
        <v>100</v>
      </c>
      <c r="I3675" s="5">
        <v>0</v>
      </c>
      <c r="J3675" s="5">
        <v>0</v>
      </c>
      <c r="K3675" s="5">
        <v>0</v>
      </c>
    </row>
    <row r="3676" spans="1:11" x14ac:dyDescent="0.25">
      <c r="A3676" s="5">
        <f>3669</f>
      </c>
      <c r="B3676" s="5" t="s">
        <v>3684</v>
      </c>
      <c r="C3676" s="5">
        <v>100.2</v>
      </c>
      <c r="D3676" s="5">
        <v>0.1</v>
      </c>
      <c r="E3676" s="5">
        <v>100.3</v>
      </c>
      <c r="F3676" s="5">
        <v>200.7</v>
      </c>
      <c r="G3676" s="5">
        <v>100.1</v>
      </c>
      <c r="H3676" s="5">
        <v>100</v>
      </c>
      <c r="I3676" s="5">
        <v>0</v>
      </c>
      <c r="J3676" s="5">
        <v>0</v>
      </c>
      <c r="K3676" s="5">
        <v>0</v>
      </c>
    </row>
    <row r="3677" spans="1:11" x14ac:dyDescent="0.25">
      <c r="A3677" s="5">
        <f>3670</f>
      </c>
      <c r="B3677" s="5" t="s">
        <v>3685</v>
      </c>
      <c r="C3677" s="5">
        <v>104.5</v>
      </c>
      <c r="D3677" s="5">
        <v>0.1</v>
      </c>
      <c r="E3677" s="5">
        <v>104.6</v>
      </c>
      <c r="F3677" s="5">
        <v>207.7</v>
      </c>
      <c r="G3677" s="5">
        <v>103.5</v>
      </c>
      <c r="H3677" s="5">
        <v>100</v>
      </c>
      <c r="I3677" s="5">
        <v>0</v>
      </c>
      <c r="J3677" s="5">
        <v>0</v>
      </c>
      <c r="K3677" s="5">
        <v>0</v>
      </c>
    </row>
    <row r="3678" spans="1:11" x14ac:dyDescent="0.25">
      <c r="A3678" s="5">
        <f>3671</f>
      </c>
      <c r="B3678" s="5" t="s">
        <v>3686</v>
      </c>
      <c r="C3678" s="5">
        <v>104.5</v>
      </c>
      <c r="D3678" s="5">
        <v>0.1</v>
      </c>
      <c r="E3678" s="5">
        <v>104.6</v>
      </c>
      <c r="F3678" s="5">
        <v>207.7</v>
      </c>
      <c r="G3678" s="5">
        <v>103.5</v>
      </c>
      <c r="H3678" s="5">
        <v>100</v>
      </c>
      <c r="I3678" s="5">
        <v>0</v>
      </c>
      <c r="J3678" s="5">
        <v>0</v>
      </c>
      <c r="K3678" s="5">
        <v>0</v>
      </c>
    </row>
    <row r="3679" spans="1:11" x14ac:dyDescent="0.25">
      <c r="A3679" s="5">
        <f>3672</f>
      </c>
      <c r="B3679" s="5" t="s">
        <v>3687</v>
      </c>
      <c r="C3679" s="5">
        <v>98.3</v>
      </c>
      <c r="D3679" s="5">
        <v>0.1</v>
      </c>
      <c r="E3679" s="5">
        <v>98.4</v>
      </c>
      <c r="F3679" s="5">
        <v>197.6</v>
      </c>
      <c r="G3679" s="5">
        <v>98.6</v>
      </c>
      <c r="H3679" s="5">
        <v>98.5</v>
      </c>
      <c r="I3679" s="5">
        <v>0</v>
      </c>
      <c r="J3679" s="5">
        <v>0</v>
      </c>
      <c r="K3679" s="5">
        <v>0</v>
      </c>
    </row>
    <row r="3680" spans="1:11" x14ac:dyDescent="0.25">
      <c r="A3680" s="5">
        <f>3673</f>
      </c>
      <c r="B3680" s="5" t="s">
        <v>3688</v>
      </c>
      <c r="C3680" s="5">
        <v>98.3</v>
      </c>
      <c r="D3680" s="5">
        <v>0.1</v>
      </c>
      <c r="E3680" s="5">
        <v>98.4</v>
      </c>
      <c r="F3680" s="5">
        <v>197.6</v>
      </c>
      <c r="G3680" s="5">
        <v>98.6</v>
      </c>
      <c r="H3680" s="5">
        <v>98.5</v>
      </c>
      <c r="I3680" s="5">
        <v>0</v>
      </c>
      <c r="J3680" s="5">
        <v>0</v>
      </c>
      <c r="K3680" s="5">
        <v>0</v>
      </c>
    </row>
    <row r="3681" spans="1:11" x14ac:dyDescent="0.25">
      <c r="A3681" s="5">
        <f>3674</f>
      </c>
      <c r="B3681" s="5" t="s">
        <v>3689</v>
      </c>
      <c r="C3681" s="5">
        <v>98.9</v>
      </c>
      <c r="D3681" s="5">
        <v>0.1</v>
      </c>
      <c r="E3681" s="5">
        <v>99</v>
      </c>
      <c r="F3681" s="5">
        <v>197.9</v>
      </c>
      <c r="G3681" s="5">
        <v>98.6</v>
      </c>
      <c r="H3681" s="5">
        <v>99.1</v>
      </c>
      <c r="I3681" s="5">
        <v>0</v>
      </c>
      <c r="J3681" s="5">
        <v>0</v>
      </c>
      <c r="K3681" s="5">
        <v>0</v>
      </c>
    </row>
    <row r="3682" spans="1:11" x14ac:dyDescent="0.25">
      <c r="A3682" s="5">
        <f>3675</f>
      </c>
      <c r="B3682" s="5" t="s">
        <v>3690</v>
      </c>
      <c r="C3682" s="5">
        <v>98.9</v>
      </c>
      <c r="D3682" s="5">
        <v>0.1</v>
      </c>
      <c r="E3682" s="5">
        <v>99</v>
      </c>
      <c r="F3682" s="5">
        <v>197.9</v>
      </c>
      <c r="G3682" s="5">
        <v>98.6</v>
      </c>
      <c r="H3682" s="5">
        <v>99.1</v>
      </c>
      <c r="I3682" s="5">
        <v>0</v>
      </c>
      <c r="J3682" s="5">
        <v>0</v>
      </c>
      <c r="K3682" s="5">
        <v>0</v>
      </c>
    </row>
    <row r="3683" spans="1:11" x14ac:dyDescent="0.25">
      <c r="A3683" s="5">
        <f>3676</f>
      </c>
      <c r="B3683" s="5" t="s">
        <v>3691</v>
      </c>
      <c r="C3683" s="5">
        <v>105.2</v>
      </c>
      <c r="D3683" s="5">
        <v>0.1</v>
      </c>
      <c r="E3683" s="5">
        <v>105.3</v>
      </c>
      <c r="F3683" s="5">
        <v>210.8</v>
      </c>
      <c r="G3683" s="5">
        <v>105.1</v>
      </c>
      <c r="H3683" s="5">
        <v>99.1</v>
      </c>
      <c r="I3683" s="5">
        <v>0</v>
      </c>
      <c r="J3683" s="5">
        <v>0</v>
      </c>
      <c r="K3683" s="5">
        <v>0</v>
      </c>
    </row>
    <row r="3684" spans="1:11" x14ac:dyDescent="0.25">
      <c r="A3684" s="5">
        <f>3677</f>
      </c>
      <c r="B3684" s="5" t="s">
        <v>3692</v>
      </c>
      <c r="C3684" s="5">
        <v>105.2</v>
      </c>
      <c r="D3684" s="5">
        <v>0.1</v>
      </c>
      <c r="E3684" s="5">
        <v>105.3</v>
      </c>
      <c r="F3684" s="5">
        <v>210.8</v>
      </c>
      <c r="G3684" s="5">
        <v>105.1</v>
      </c>
      <c r="H3684" s="5">
        <v>105.1</v>
      </c>
      <c r="I3684" s="5">
        <v>0</v>
      </c>
      <c r="J3684" s="5">
        <v>0</v>
      </c>
      <c r="K3684" s="5">
        <v>0</v>
      </c>
    </row>
    <row r="3685" spans="1:11" x14ac:dyDescent="0.25">
      <c r="A3685" s="5">
        <f>3678</f>
      </c>
      <c r="B3685" s="5" t="s">
        <v>3693</v>
      </c>
      <c r="C3685" s="5">
        <v>105.2</v>
      </c>
      <c r="D3685" s="5">
        <v>0.1</v>
      </c>
      <c r="E3685" s="5">
        <v>105.3</v>
      </c>
      <c r="F3685" s="5">
        <v>210.8</v>
      </c>
      <c r="G3685" s="5">
        <v>105.1</v>
      </c>
      <c r="H3685" s="5">
        <v>105.1</v>
      </c>
      <c r="I3685" s="5">
        <v>0</v>
      </c>
      <c r="J3685" s="5">
        <v>0</v>
      </c>
      <c r="K3685" s="5">
        <v>0</v>
      </c>
    </row>
    <row r="3686" spans="1:11" x14ac:dyDescent="0.25">
      <c r="A3686" s="5">
        <f>3679</f>
      </c>
      <c r="B3686" s="5" t="s">
        <v>3694</v>
      </c>
      <c r="C3686" s="5">
        <v>105.2</v>
      </c>
      <c r="D3686" s="5">
        <v>0.1</v>
      </c>
      <c r="E3686" s="5">
        <v>105.3</v>
      </c>
      <c r="F3686" s="5">
        <v>210.8</v>
      </c>
      <c r="G3686" s="5">
        <v>105.1</v>
      </c>
      <c r="H3686" s="5">
        <v>105.1</v>
      </c>
      <c r="I3686" s="5">
        <v>0</v>
      </c>
      <c r="J3686" s="5">
        <v>0</v>
      </c>
      <c r="K3686" s="5">
        <v>0</v>
      </c>
    </row>
    <row r="3687" spans="1:11" x14ac:dyDescent="0.25">
      <c r="A3687" s="5">
        <f>3680</f>
      </c>
      <c r="B3687" s="5" t="s">
        <v>3695</v>
      </c>
      <c r="C3687" s="5">
        <v>99.8</v>
      </c>
      <c r="D3687" s="5">
        <v>0.1</v>
      </c>
      <c r="E3687" s="5">
        <v>99.9</v>
      </c>
      <c r="F3687" s="5">
        <v>199.9</v>
      </c>
      <c r="G3687" s="5">
        <v>99.7</v>
      </c>
      <c r="H3687" s="5">
        <v>99.5</v>
      </c>
      <c r="I3687" s="5">
        <v>0</v>
      </c>
      <c r="J3687" s="5">
        <v>0</v>
      </c>
      <c r="K3687" s="5">
        <v>0</v>
      </c>
    </row>
    <row r="3688" spans="1:11" x14ac:dyDescent="0.25">
      <c r="A3688" s="5">
        <f>3681</f>
      </c>
      <c r="B3688" s="5" t="s">
        <v>3696</v>
      </c>
      <c r="C3688" s="5">
        <v>99.8</v>
      </c>
      <c r="D3688" s="5">
        <v>0.1</v>
      </c>
      <c r="E3688" s="5">
        <v>99.9</v>
      </c>
      <c r="F3688" s="5">
        <v>199.9</v>
      </c>
      <c r="G3688" s="5">
        <v>99.7</v>
      </c>
      <c r="H3688" s="5">
        <v>99.5</v>
      </c>
      <c r="I3688" s="5">
        <v>0</v>
      </c>
      <c r="J3688" s="5">
        <v>0</v>
      </c>
      <c r="K3688" s="5">
        <v>0</v>
      </c>
    </row>
    <row r="3689" spans="1:11" x14ac:dyDescent="0.25">
      <c r="A3689" s="5">
        <f>3682</f>
      </c>
      <c r="B3689" s="5" t="s">
        <v>3697</v>
      </c>
      <c r="C3689" s="5">
        <v>99.5</v>
      </c>
      <c r="D3689" s="5">
        <v>0.1</v>
      </c>
      <c r="E3689" s="5">
        <v>99.9</v>
      </c>
      <c r="F3689" s="5">
        <v>199.7</v>
      </c>
      <c r="G3689" s="5">
        <v>99.6</v>
      </c>
      <c r="H3689" s="5">
        <v>99.4</v>
      </c>
      <c r="I3689" s="5">
        <v>0</v>
      </c>
      <c r="J3689" s="5">
        <v>0</v>
      </c>
      <c r="K3689" s="5">
        <v>0</v>
      </c>
    </row>
    <row r="3690" spans="1:11" x14ac:dyDescent="0.25">
      <c r="A3690" s="5">
        <f>3683</f>
      </c>
      <c r="B3690" s="5" t="s">
        <v>3698</v>
      </c>
      <c r="C3690" s="5">
        <v>99.5</v>
      </c>
      <c r="D3690" s="5">
        <v>0.1</v>
      </c>
      <c r="E3690" s="5">
        <v>99.7</v>
      </c>
      <c r="F3690" s="5">
        <v>199.7</v>
      </c>
      <c r="G3690" s="5">
        <v>99.6</v>
      </c>
      <c r="H3690" s="5">
        <v>99.4</v>
      </c>
      <c r="I3690" s="5">
        <v>0</v>
      </c>
      <c r="J3690" s="5">
        <v>0</v>
      </c>
      <c r="K3690" s="5">
        <v>0</v>
      </c>
    </row>
    <row r="3691" spans="1:11" x14ac:dyDescent="0.25">
      <c r="A3691" s="5">
        <f>3684</f>
      </c>
      <c r="B3691" s="5" t="s">
        <v>3699</v>
      </c>
      <c r="C3691" s="5">
        <v>99.5</v>
      </c>
      <c r="D3691" s="5">
        <v>0.1</v>
      </c>
      <c r="E3691" s="5">
        <v>99.7</v>
      </c>
      <c r="F3691" s="5">
        <v>199.7</v>
      </c>
      <c r="G3691" s="5">
        <v>103.9</v>
      </c>
      <c r="H3691" s="5">
        <v>103.8</v>
      </c>
      <c r="I3691" s="5">
        <v>0</v>
      </c>
      <c r="J3691" s="5">
        <v>0</v>
      </c>
      <c r="K3691" s="5">
        <v>0</v>
      </c>
    </row>
    <row r="3692" spans="1:11" x14ac:dyDescent="0.25">
      <c r="A3692" s="5">
        <f>3685</f>
      </c>
      <c r="B3692" s="5" t="s">
        <v>3700</v>
      </c>
      <c r="C3692" s="5">
        <v>105.2</v>
      </c>
      <c r="D3692" s="5">
        <v>0.1</v>
      </c>
      <c r="E3692" s="5">
        <v>105.3</v>
      </c>
      <c r="F3692" s="5">
        <v>208.2</v>
      </c>
      <c r="G3692" s="5">
        <v>103.9</v>
      </c>
      <c r="H3692" s="5">
        <v>103.8</v>
      </c>
      <c r="I3692" s="5">
        <v>0</v>
      </c>
      <c r="J3692" s="5">
        <v>0</v>
      </c>
      <c r="K3692" s="5">
        <v>0</v>
      </c>
    </row>
    <row r="3693" spans="1:11" x14ac:dyDescent="0.25">
      <c r="A3693" s="5">
        <f>3686</f>
      </c>
      <c r="B3693" s="5" t="s">
        <v>3701</v>
      </c>
      <c r="C3693" s="5">
        <v>105.2</v>
      </c>
      <c r="D3693" s="5">
        <v>0.1</v>
      </c>
      <c r="E3693" s="5">
        <v>105.3</v>
      </c>
      <c r="F3693" s="5">
        <v>208.2</v>
      </c>
      <c r="G3693" s="5">
        <v>103.9</v>
      </c>
      <c r="H3693" s="5">
        <v>103.8</v>
      </c>
      <c r="I3693" s="5">
        <v>0</v>
      </c>
      <c r="J3693" s="5">
        <v>0</v>
      </c>
      <c r="K3693" s="5">
        <v>0</v>
      </c>
    </row>
    <row r="3694" spans="1:11" x14ac:dyDescent="0.25">
      <c r="A3694" s="5">
        <f>3687</f>
      </c>
      <c r="B3694" s="5" t="s">
        <v>3702</v>
      </c>
      <c r="C3694" s="5">
        <v>104.2</v>
      </c>
      <c r="D3694" s="5">
        <v>0.1</v>
      </c>
      <c r="E3694" s="5">
        <v>104.3</v>
      </c>
      <c r="F3694" s="5">
        <v>208</v>
      </c>
      <c r="G3694" s="5">
        <v>103.8</v>
      </c>
      <c r="H3694" s="5">
        <v>103.6</v>
      </c>
      <c r="I3694" s="5">
        <v>0</v>
      </c>
      <c r="J3694" s="5">
        <v>0</v>
      </c>
      <c r="K3694" s="5">
        <v>0</v>
      </c>
    </row>
    <row r="3695" spans="1:11" x14ac:dyDescent="0.25">
      <c r="A3695" s="5">
        <f>3688</f>
      </c>
      <c r="B3695" s="5" t="s">
        <v>3703</v>
      </c>
      <c r="C3695" s="5">
        <v>104.2</v>
      </c>
      <c r="D3695" s="5">
        <v>0.1</v>
      </c>
      <c r="E3695" s="5">
        <v>104.3</v>
      </c>
      <c r="F3695" s="5">
        <v>208</v>
      </c>
      <c r="G3695" s="5">
        <v>103.8</v>
      </c>
      <c r="H3695" s="5">
        <v>103.6</v>
      </c>
      <c r="I3695" s="5">
        <v>0</v>
      </c>
      <c r="J3695" s="5">
        <v>0</v>
      </c>
      <c r="K3695" s="5">
        <v>0</v>
      </c>
    </row>
    <row r="3696" spans="1:11" x14ac:dyDescent="0.25">
      <c r="A3696" s="5">
        <f>3689</f>
      </c>
      <c r="B3696" s="5" t="s">
        <v>3704</v>
      </c>
      <c r="C3696" s="5">
        <v>104.2</v>
      </c>
      <c r="D3696" s="5">
        <v>0.1</v>
      </c>
      <c r="E3696" s="5">
        <v>104.3</v>
      </c>
      <c r="F3696" s="5">
        <v>208</v>
      </c>
      <c r="G3696" s="5">
        <v>103.8</v>
      </c>
      <c r="H3696" s="5">
        <v>103.6</v>
      </c>
      <c r="I3696" s="5">
        <v>0</v>
      </c>
      <c r="J3696" s="5">
        <v>0</v>
      </c>
      <c r="K3696" s="5">
        <v>0</v>
      </c>
    </row>
    <row r="3697" spans="1:11" x14ac:dyDescent="0.25">
      <c r="A3697" s="5">
        <f>3690</f>
      </c>
      <c r="B3697" s="5" t="s">
        <v>3705</v>
      </c>
      <c r="C3697" s="5">
        <v>99.8</v>
      </c>
      <c r="D3697" s="5">
        <v>0.1</v>
      </c>
      <c r="E3697" s="5">
        <v>99.9</v>
      </c>
      <c r="F3697" s="5">
        <v>199.4</v>
      </c>
      <c r="G3697" s="5">
        <v>100.4</v>
      </c>
      <c r="H3697" s="5">
        <v>101.6</v>
      </c>
      <c r="I3697" s="5">
        <v>0</v>
      </c>
      <c r="J3697" s="5">
        <v>0</v>
      </c>
      <c r="K3697" s="5">
        <v>0</v>
      </c>
    </row>
    <row r="3698" spans="1:11" x14ac:dyDescent="0.25">
      <c r="A3698" s="5">
        <f>3691</f>
      </c>
      <c r="B3698" s="5" t="s">
        <v>3706</v>
      </c>
      <c r="C3698" s="5">
        <v>99.8</v>
      </c>
      <c r="D3698" s="5">
        <v>0.1</v>
      </c>
      <c r="E3698" s="5">
        <v>99.9</v>
      </c>
      <c r="F3698" s="5">
        <v>199.4</v>
      </c>
      <c r="G3698" s="5">
        <v>100.4</v>
      </c>
      <c r="H3698" s="5">
        <v>101.6</v>
      </c>
      <c r="I3698" s="5">
        <v>0</v>
      </c>
      <c r="J3698" s="5">
        <v>0</v>
      </c>
      <c r="K3698" s="5">
        <v>0</v>
      </c>
    </row>
    <row r="3699" spans="1:11" x14ac:dyDescent="0.25">
      <c r="A3699" s="5">
        <f>3692</f>
      </c>
      <c r="B3699" s="5" t="s">
        <v>3707</v>
      </c>
      <c r="C3699" s="5">
        <v>104.2</v>
      </c>
      <c r="D3699" s="5">
        <v>0.1</v>
      </c>
      <c r="E3699" s="5">
        <v>104.3</v>
      </c>
      <c r="F3699" s="5">
        <v>204.8</v>
      </c>
      <c r="G3699" s="5">
        <v>101.6</v>
      </c>
      <c r="H3699" s="5">
        <v>101</v>
      </c>
      <c r="I3699" s="5">
        <v>0</v>
      </c>
      <c r="J3699" s="5">
        <v>0</v>
      </c>
      <c r="K3699" s="5">
        <v>0</v>
      </c>
    </row>
    <row r="3700" spans="1:11" x14ac:dyDescent="0.25">
      <c r="A3700" s="5">
        <f>3693</f>
      </c>
      <c r="B3700" s="5" t="s">
        <v>3708</v>
      </c>
      <c r="C3700" s="5">
        <v>104.2</v>
      </c>
      <c r="D3700" s="5">
        <v>0.1</v>
      </c>
      <c r="E3700" s="5">
        <v>104.3</v>
      </c>
      <c r="F3700" s="5">
        <v>204.8</v>
      </c>
      <c r="G3700" s="5">
        <v>101.6</v>
      </c>
      <c r="H3700" s="5">
        <v>101</v>
      </c>
      <c r="I3700" s="5">
        <v>0</v>
      </c>
      <c r="J3700" s="5">
        <v>0</v>
      </c>
      <c r="K3700" s="5">
        <v>0</v>
      </c>
    </row>
    <row r="3701" spans="1:11" x14ac:dyDescent="0.25">
      <c r="A3701" s="5">
        <f>3694</f>
      </c>
      <c r="B3701" s="5" t="s">
        <v>3709</v>
      </c>
      <c r="C3701" s="5">
        <v>103.4</v>
      </c>
      <c r="D3701" s="5">
        <v>0.1</v>
      </c>
      <c r="E3701" s="5">
        <v>103.6</v>
      </c>
      <c r="F3701" s="5">
        <v>204.2</v>
      </c>
      <c r="G3701" s="5">
        <v>102.3</v>
      </c>
      <c r="H3701" s="5">
        <v>102.5</v>
      </c>
      <c r="I3701" s="5">
        <v>0</v>
      </c>
      <c r="J3701" s="5">
        <v>0</v>
      </c>
      <c r="K3701" s="5">
        <v>0</v>
      </c>
    </row>
    <row r="3702" spans="1:11" x14ac:dyDescent="0.25">
      <c r="A3702" s="5">
        <f>3695</f>
      </c>
      <c r="B3702" s="5" t="s">
        <v>3710</v>
      </c>
      <c r="C3702" s="5">
        <v>103.4</v>
      </c>
      <c r="D3702" s="5">
        <v>0.1</v>
      </c>
      <c r="E3702" s="5">
        <v>103.6</v>
      </c>
      <c r="F3702" s="5">
        <v>204.2</v>
      </c>
      <c r="G3702" s="5">
        <v>102.3</v>
      </c>
      <c r="H3702" s="5">
        <v>102.5</v>
      </c>
      <c r="I3702" s="5">
        <v>0</v>
      </c>
      <c r="J3702" s="5">
        <v>0</v>
      </c>
      <c r="K3702" s="5">
        <v>0</v>
      </c>
    </row>
    <row r="3703" spans="1:11" x14ac:dyDescent="0.25">
      <c r="A3703" s="5">
        <f>3696</f>
      </c>
      <c r="B3703" s="5" t="s">
        <v>3711</v>
      </c>
      <c r="C3703" s="5">
        <v>98</v>
      </c>
      <c r="D3703" s="5">
        <v>0.1</v>
      </c>
      <c r="E3703" s="5">
        <v>98.1</v>
      </c>
      <c r="F3703" s="5">
        <v>196.9</v>
      </c>
      <c r="G3703" s="5">
        <v>98.2</v>
      </c>
      <c r="H3703" s="5">
        <v>98</v>
      </c>
      <c r="I3703" s="5">
        <v>0</v>
      </c>
      <c r="J3703" s="5">
        <v>0</v>
      </c>
      <c r="K3703" s="5">
        <v>0</v>
      </c>
    </row>
    <row r="3704" spans="1:11" x14ac:dyDescent="0.25">
      <c r="A3704" s="5">
        <f>3697</f>
      </c>
      <c r="B3704" s="5" t="s">
        <v>3712</v>
      </c>
      <c r="C3704" s="5">
        <v>98</v>
      </c>
      <c r="D3704" s="5">
        <v>0.1</v>
      </c>
      <c r="E3704" s="5">
        <v>98.1</v>
      </c>
      <c r="F3704" s="5">
        <v>196.9</v>
      </c>
      <c r="G3704" s="5">
        <v>98.2</v>
      </c>
      <c r="H3704" s="5">
        <v>98</v>
      </c>
      <c r="I3704" s="5">
        <v>0</v>
      </c>
      <c r="J3704" s="5">
        <v>0</v>
      </c>
      <c r="K3704" s="5">
        <v>0</v>
      </c>
    </row>
    <row r="3705" spans="1:11" x14ac:dyDescent="0.25">
      <c r="A3705" s="5">
        <f>3698</f>
      </c>
      <c r="B3705" s="5" t="s">
        <v>3713</v>
      </c>
      <c r="C3705" s="5">
        <v>98</v>
      </c>
      <c r="D3705" s="5">
        <v>0.1</v>
      </c>
      <c r="E3705" s="5">
        <v>98.1</v>
      </c>
      <c r="F3705" s="5">
        <v>196.9</v>
      </c>
      <c r="G3705" s="5">
        <v>98.2</v>
      </c>
      <c r="H3705" s="5">
        <v>98</v>
      </c>
      <c r="I3705" s="5">
        <v>0</v>
      </c>
      <c r="J3705" s="5">
        <v>0</v>
      </c>
      <c r="K3705" s="5">
        <v>0</v>
      </c>
    </row>
    <row r="3706" spans="1:11" x14ac:dyDescent="0.25">
      <c r="A3706" s="5">
        <f>3699</f>
      </c>
      <c r="B3706" s="5" t="s">
        <v>3714</v>
      </c>
      <c r="C3706" s="5">
        <v>98</v>
      </c>
      <c r="D3706" s="5">
        <v>0.1</v>
      </c>
      <c r="E3706" s="5">
        <v>98.1</v>
      </c>
      <c r="F3706" s="5">
        <v>196.9</v>
      </c>
      <c r="G3706" s="5">
        <v>98.2</v>
      </c>
      <c r="H3706" s="5">
        <v>98</v>
      </c>
      <c r="I3706" s="5">
        <v>0</v>
      </c>
      <c r="J3706" s="5">
        <v>0</v>
      </c>
      <c r="K3706" s="5">
        <v>0</v>
      </c>
    </row>
    <row r="3707" spans="1:11" x14ac:dyDescent="0.25">
      <c r="A3707" s="5">
        <f>3700</f>
      </c>
      <c r="B3707" s="5" t="s">
        <v>3715</v>
      </c>
      <c r="C3707" s="5">
        <v>99.8</v>
      </c>
      <c r="D3707" s="5">
        <v>0.1</v>
      </c>
      <c r="E3707" s="5">
        <v>99.9</v>
      </c>
      <c r="F3707" s="5">
        <v>199.4</v>
      </c>
      <c r="G3707" s="5">
        <v>99.4</v>
      </c>
      <c r="H3707" s="5">
        <v>99.2</v>
      </c>
      <c r="I3707" s="5">
        <v>0</v>
      </c>
      <c r="J3707" s="5">
        <v>0</v>
      </c>
      <c r="K3707" s="5">
        <v>0</v>
      </c>
    </row>
    <row r="3708" spans="1:11" x14ac:dyDescent="0.25">
      <c r="A3708" s="5">
        <f>3701</f>
      </c>
      <c r="B3708" s="5" t="s">
        <v>3716</v>
      </c>
      <c r="C3708" s="5">
        <v>99.8</v>
      </c>
      <c r="D3708" s="5">
        <v>0.1</v>
      </c>
      <c r="E3708" s="5">
        <v>99.9</v>
      </c>
      <c r="F3708" s="5">
        <v>199.4</v>
      </c>
      <c r="G3708" s="5">
        <v>99.4</v>
      </c>
      <c r="H3708" s="5">
        <v>99.2</v>
      </c>
      <c r="I3708" s="5">
        <v>0</v>
      </c>
      <c r="J3708" s="5">
        <v>0</v>
      </c>
      <c r="K3708" s="5">
        <v>0</v>
      </c>
    </row>
    <row r="3709" spans="1:11" x14ac:dyDescent="0.25">
      <c r="A3709" s="5">
        <f>3702</f>
      </c>
      <c r="B3709" s="5" t="s">
        <v>3717</v>
      </c>
      <c r="C3709" s="5">
        <v>104.3</v>
      </c>
      <c r="D3709" s="5">
        <v>0.1</v>
      </c>
      <c r="E3709" s="5">
        <v>104.5</v>
      </c>
      <c r="F3709" s="5">
        <v>204.1</v>
      </c>
      <c r="G3709" s="5">
        <v>102</v>
      </c>
      <c r="H3709" s="5">
        <v>102.1</v>
      </c>
      <c r="I3709" s="5">
        <v>0</v>
      </c>
      <c r="J3709" s="5">
        <v>0</v>
      </c>
      <c r="K3709" s="5">
        <v>0</v>
      </c>
    </row>
    <row r="3710" spans="1:11" x14ac:dyDescent="0.25">
      <c r="A3710" s="5">
        <f>3703</f>
      </c>
      <c r="B3710" s="5" t="s">
        <v>3718</v>
      </c>
      <c r="C3710" s="5">
        <v>104.3</v>
      </c>
      <c r="D3710" s="5">
        <v>0.1</v>
      </c>
      <c r="E3710" s="5">
        <v>104.5</v>
      </c>
      <c r="F3710" s="5">
        <v>204.1</v>
      </c>
      <c r="G3710" s="5">
        <v>102</v>
      </c>
      <c r="H3710" s="5">
        <v>102.1</v>
      </c>
      <c r="I3710" s="5">
        <v>0</v>
      </c>
      <c r="J3710" s="5">
        <v>0</v>
      </c>
      <c r="K3710" s="5">
        <v>0</v>
      </c>
    </row>
    <row r="3711" spans="1:11" x14ac:dyDescent="0.25">
      <c r="A3711" s="5">
        <f>3704</f>
      </c>
      <c r="B3711" s="5" t="s">
        <v>3719</v>
      </c>
      <c r="C3711" s="5">
        <v>105.1</v>
      </c>
      <c r="D3711" s="5">
        <v>0.1</v>
      </c>
      <c r="E3711" s="5">
        <v>105.2</v>
      </c>
      <c r="F3711" s="5">
        <v>208.4</v>
      </c>
      <c r="G3711" s="5">
        <v>104</v>
      </c>
      <c r="H3711" s="5">
        <v>103.9</v>
      </c>
      <c r="I3711" s="5">
        <v>0</v>
      </c>
      <c r="J3711" s="5">
        <v>0</v>
      </c>
      <c r="K3711" s="5">
        <v>0</v>
      </c>
    </row>
    <row r="3712" spans="1:11" x14ac:dyDescent="0.25">
      <c r="A3712" s="5">
        <f>3705</f>
      </c>
      <c r="B3712" s="5" t="s">
        <v>3720</v>
      </c>
      <c r="C3712" s="5">
        <v>105.1</v>
      </c>
      <c r="D3712" s="5">
        <v>0.1</v>
      </c>
      <c r="E3712" s="5">
        <v>105.2</v>
      </c>
      <c r="F3712" s="5">
        <v>208.4</v>
      </c>
      <c r="G3712" s="5">
        <v>104</v>
      </c>
      <c r="H3712" s="5">
        <v>103.9</v>
      </c>
      <c r="I3712" s="5">
        <v>0</v>
      </c>
      <c r="J3712" s="5">
        <v>0</v>
      </c>
      <c r="K3712" s="5">
        <v>0</v>
      </c>
    </row>
    <row r="3713" spans="1:11" x14ac:dyDescent="0.25">
      <c r="A3713" s="5">
        <f>3706</f>
      </c>
      <c r="B3713" s="5" t="s">
        <v>3721</v>
      </c>
      <c r="C3713" s="5">
        <v>105.5</v>
      </c>
      <c r="D3713" s="5">
        <v>0.1</v>
      </c>
      <c r="E3713" s="5">
        <v>105.6</v>
      </c>
      <c r="F3713" s="5">
        <v>209.5</v>
      </c>
      <c r="G3713" s="5">
        <v>104.5</v>
      </c>
      <c r="H3713" s="5">
        <v>104.4</v>
      </c>
      <c r="I3713" s="5">
        <v>0</v>
      </c>
      <c r="J3713" s="5">
        <v>0</v>
      </c>
      <c r="K3713" s="5">
        <v>0</v>
      </c>
    </row>
    <row r="3714" spans="1:11" x14ac:dyDescent="0.25">
      <c r="A3714" s="5">
        <f>3707</f>
      </c>
      <c r="B3714" s="5" t="s">
        <v>3722</v>
      </c>
      <c r="C3714" s="5">
        <v>105.5</v>
      </c>
      <c r="D3714" s="5">
        <v>0.1</v>
      </c>
      <c r="E3714" s="5">
        <v>105.6</v>
      </c>
      <c r="F3714" s="5">
        <v>209.5</v>
      </c>
      <c r="G3714" s="5">
        <v>104.5</v>
      </c>
      <c r="H3714" s="5">
        <v>104.4</v>
      </c>
      <c r="I3714" s="5">
        <v>0</v>
      </c>
      <c r="J3714" s="5">
        <v>0</v>
      </c>
      <c r="K3714" s="5">
        <v>0</v>
      </c>
    </row>
    <row r="3715" spans="1:11" x14ac:dyDescent="0.25">
      <c r="A3715" s="5">
        <f>3708</f>
      </c>
      <c r="B3715" s="5" t="s">
        <v>3723</v>
      </c>
      <c r="C3715" s="5">
        <v>105.5</v>
      </c>
      <c r="D3715" s="5">
        <v>0.1</v>
      </c>
      <c r="E3715" s="5">
        <v>105.6</v>
      </c>
      <c r="F3715" s="5">
        <v>209.5</v>
      </c>
      <c r="G3715" s="5">
        <v>104.5</v>
      </c>
      <c r="H3715" s="5">
        <v>104.4</v>
      </c>
      <c r="I3715" s="5">
        <v>0</v>
      </c>
      <c r="J3715" s="5">
        <v>0</v>
      </c>
      <c r="K3715" s="5">
        <v>0</v>
      </c>
    </row>
    <row r="3716" spans="1:11" x14ac:dyDescent="0.25">
      <c r="A3716" s="5">
        <f>3709</f>
      </c>
      <c r="B3716" s="5" t="s">
        <v>3724</v>
      </c>
      <c r="C3716" s="5">
        <v>105.5</v>
      </c>
      <c r="D3716" s="5">
        <v>0.1</v>
      </c>
      <c r="E3716" s="5">
        <v>105.6</v>
      </c>
      <c r="F3716" s="5">
        <v>209.5</v>
      </c>
      <c r="G3716" s="5">
        <v>104.5</v>
      </c>
      <c r="H3716" s="5">
        <v>104.4</v>
      </c>
      <c r="I3716" s="5">
        <v>0</v>
      </c>
      <c r="J3716" s="5">
        <v>0</v>
      </c>
      <c r="K3716" s="5">
        <v>0</v>
      </c>
    </row>
    <row r="3717" spans="1:11" x14ac:dyDescent="0.25">
      <c r="A3717" s="5">
        <f>3710</f>
      </c>
      <c r="B3717" s="5" t="s">
        <v>3725</v>
      </c>
      <c r="C3717" s="5">
        <v>104.2</v>
      </c>
      <c r="D3717" s="5">
        <v>0.1</v>
      </c>
      <c r="E3717" s="5">
        <v>104.3</v>
      </c>
      <c r="F3717" s="5">
        <v>209.2</v>
      </c>
      <c r="G3717" s="5">
        <v>104.4</v>
      </c>
      <c r="H3717" s="5">
        <v>104.2</v>
      </c>
      <c r="I3717" s="5">
        <v>0</v>
      </c>
      <c r="J3717" s="5">
        <v>0</v>
      </c>
      <c r="K3717" s="5">
        <v>0</v>
      </c>
    </row>
    <row r="3718" spans="1:11" x14ac:dyDescent="0.25">
      <c r="A3718" s="5">
        <f>3711</f>
      </c>
      <c r="B3718" s="5" t="s">
        <v>3726</v>
      </c>
      <c r="C3718" s="5">
        <v>104.2</v>
      </c>
      <c r="D3718" s="5">
        <v>0.1</v>
      </c>
      <c r="E3718" s="5">
        <v>104.3</v>
      </c>
      <c r="F3718" s="5">
        <v>209.2</v>
      </c>
      <c r="G3718" s="5">
        <v>104.4</v>
      </c>
      <c r="H3718" s="5">
        <v>104.2</v>
      </c>
      <c r="I3718" s="5">
        <v>0</v>
      </c>
      <c r="J3718" s="5">
        <v>0</v>
      </c>
      <c r="K3718" s="5">
        <v>0</v>
      </c>
    </row>
    <row r="3719" spans="1:11" x14ac:dyDescent="0.25">
      <c r="A3719" s="5">
        <f>3712</f>
      </c>
      <c r="B3719" s="5" t="s">
        <v>3727</v>
      </c>
      <c r="C3719" s="5">
        <v>104.8</v>
      </c>
      <c r="D3719" s="5">
        <v>0.1</v>
      </c>
      <c r="E3719" s="5">
        <v>105</v>
      </c>
      <c r="F3719" s="5">
        <v>208.8</v>
      </c>
      <c r="G3719" s="5">
        <v>104.1</v>
      </c>
      <c r="H3719" s="5">
        <v>104.3</v>
      </c>
      <c r="I3719" s="5">
        <v>0</v>
      </c>
      <c r="J3719" s="5">
        <v>0</v>
      </c>
      <c r="K3719" s="5">
        <v>0</v>
      </c>
    </row>
    <row r="3720" spans="1:11" x14ac:dyDescent="0.25">
      <c r="A3720" s="5">
        <f>3713</f>
      </c>
      <c r="B3720" s="5" t="s">
        <v>3728</v>
      </c>
      <c r="C3720" s="5">
        <v>104.8</v>
      </c>
      <c r="D3720" s="5">
        <v>0.1</v>
      </c>
      <c r="E3720" s="5">
        <v>105</v>
      </c>
      <c r="F3720" s="5">
        <v>208.8</v>
      </c>
      <c r="G3720" s="5">
        <v>104.1</v>
      </c>
      <c r="H3720" s="5">
        <v>104.3</v>
      </c>
      <c r="I3720" s="5">
        <v>0</v>
      </c>
      <c r="J3720" s="5">
        <v>0</v>
      </c>
      <c r="K3720" s="5">
        <v>0</v>
      </c>
    </row>
    <row r="3721" spans="1:11" x14ac:dyDescent="0.25">
      <c r="A3721" s="5">
        <f>3714</f>
      </c>
      <c r="B3721" s="5" t="s">
        <v>3729</v>
      </c>
      <c r="C3721" s="5">
        <v>104.9</v>
      </c>
      <c r="D3721" s="5">
        <v>0.1</v>
      </c>
      <c r="E3721" s="5">
        <v>105</v>
      </c>
      <c r="F3721" s="5">
        <v>209.6</v>
      </c>
      <c r="G3721" s="5">
        <v>104.6</v>
      </c>
      <c r="H3721" s="5">
        <v>105</v>
      </c>
      <c r="I3721" s="5">
        <v>0</v>
      </c>
      <c r="J3721" s="5">
        <v>0</v>
      </c>
      <c r="K3721" s="5">
        <v>0</v>
      </c>
    </row>
    <row r="3722" spans="1:11" x14ac:dyDescent="0.25">
      <c r="A3722" s="5">
        <f>3715</f>
      </c>
      <c r="B3722" s="5" t="s">
        <v>3730</v>
      </c>
      <c r="C3722" s="5">
        <v>104.9</v>
      </c>
      <c r="D3722" s="5">
        <v>0.1</v>
      </c>
      <c r="E3722" s="5">
        <v>105</v>
      </c>
      <c r="F3722" s="5">
        <v>209.6</v>
      </c>
      <c r="G3722" s="5">
        <v>104.6</v>
      </c>
      <c r="H3722" s="5">
        <v>105</v>
      </c>
      <c r="I3722" s="5">
        <v>0</v>
      </c>
      <c r="J3722" s="5">
        <v>0</v>
      </c>
      <c r="K3722" s="5">
        <v>0</v>
      </c>
    </row>
    <row r="3723" spans="1:11" x14ac:dyDescent="0.25">
      <c r="A3723" s="5">
        <f>3716</f>
      </c>
      <c r="B3723" s="5" t="s">
        <v>3731</v>
      </c>
      <c r="C3723" s="5">
        <v>104.6</v>
      </c>
      <c r="D3723" s="5">
        <v>0.1</v>
      </c>
      <c r="E3723" s="5">
        <v>104.8</v>
      </c>
      <c r="F3723" s="5">
        <v>209.9</v>
      </c>
      <c r="G3723" s="5">
        <v>104.7</v>
      </c>
      <c r="H3723" s="5">
        <v>104.6</v>
      </c>
      <c r="I3723" s="5">
        <v>0</v>
      </c>
      <c r="J3723" s="5">
        <v>0</v>
      </c>
      <c r="K3723" s="5">
        <v>0</v>
      </c>
    </row>
    <row r="3724" spans="1:11" x14ac:dyDescent="0.25">
      <c r="A3724" s="5">
        <f>3717</f>
      </c>
      <c r="B3724" s="5" t="s">
        <v>3732</v>
      </c>
      <c r="C3724" s="5">
        <v>104.6</v>
      </c>
      <c r="D3724" s="5">
        <v>0.1</v>
      </c>
      <c r="E3724" s="5">
        <v>104.8</v>
      </c>
      <c r="F3724" s="5">
        <v>209.9</v>
      </c>
      <c r="G3724" s="5">
        <v>104.7</v>
      </c>
      <c r="H3724" s="5">
        <v>104.6</v>
      </c>
      <c r="I3724" s="5">
        <v>0</v>
      </c>
      <c r="J3724" s="5">
        <v>0</v>
      </c>
      <c r="K3724" s="5">
        <v>0</v>
      </c>
    </row>
    <row r="3725" spans="1:11" x14ac:dyDescent="0.25">
      <c r="A3725" s="5">
        <f>3718</f>
      </c>
      <c r="B3725" s="5" t="s">
        <v>3733</v>
      </c>
      <c r="C3725" s="5">
        <v>104.6</v>
      </c>
      <c r="D3725" s="5">
        <v>0.1</v>
      </c>
      <c r="E3725" s="5">
        <v>104.8</v>
      </c>
      <c r="F3725" s="5">
        <v>209.9</v>
      </c>
      <c r="G3725" s="5">
        <v>104.7</v>
      </c>
      <c r="H3725" s="5">
        <v>104.6</v>
      </c>
      <c r="I3725" s="5">
        <v>0</v>
      </c>
      <c r="J3725" s="5">
        <v>0</v>
      </c>
      <c r="K3725" s="5">
        <v>0</v>
      </c>
    </row>
    <row r="3726" spans="1:11" x14ac:dyDescent="0.25">
      <c r="A3726" s="5">
        <f>3719</f>
      </c>
      <c r="B3726" s="5" t="s">
        <v>3734</v>
      </c>
      <c r="C3726" s="5">
        <v>104.6</v>
      </c>
      <c r="D3726" s="5">
        <v>0.1</v>
      </c>
      <c r="E3726" s="5">
        <v>104.8</v>
      </c>
      <c r="F3726" s="5">
        <v>209.9</v>
      </c>
      <c r="G3726" s="5">
        <v>104.7</v>
      </c>
      <c r="H3726" s="5">
        <v>104.6</v>
      </c>
      <c r="I3726" s="5">
        <v>0</v>
      </c>
      <c r="J3726" s="5">
        <v>0</v>
      </c>
      <c r="K3726" s="5">
        <v>0</v>
      </c>
    </row>
    <row r="3727" spans="1:11" x14ac:dyDescent="0.25">
      <c r="A3727" s="5">
        <f>3720</f>
      </c>
      <c r="B3727" s="5" t="s">
        <v>3735</v>
      </c>
      <c r="C3727" s="5">
        <v>103.8</v>
      </c>
      <c r="D3727" s="5">
        <v>0.1</v>
      </c>
      <c r="E3727" s="5">
        <v>104</v>
      </c>
      <c r="F3727" s="5">
        <v>205.7</v>
      </c>
      <c r="G3727" s="5">
        <v>102.7</v>
      </c>
      <c r="H3727" s="5">
        <v>102.6</v>
      </c>
      <c r="I3727" s="5">
        <v>0</v>
      </c>
      <c r="J3727" s="5">
        <v>0</v>
      </c>
      <c r="K3727" s="5">
        <v>0</v>
      </c>
    </row>
    <row r="3728" spans="1:11" x14ac:dyDescent="0.25">
      <c r="A3728" s="5">
        <f>3721</f>
      </c>
      <c r="B3728" s="5" t="s">
        <v>3736</v>
      </c>
      <c r="C3728" s="5">
        <v>103.8</v>
      </c>
      <c r="D3728" s="5">
        <v>0.1</v>
      </c>
      <c r="E3728" s="5">
        <v>104</v>
      </c>
      <c r="F3728" s="5">
        <v>205.7</v>
      </c>
      <c r="G3728" s="5">
        <v>102.7</v>
      </c>
      <c r="H3728" s="5">
        <v>102.6</v>
      </c>
      <c r="I3728" s="5">
        <v>0</v>
      </c>
      <c r="J3728" s="5">
        <v>0</v>
      </c>
      <c r="K3728" s="5">
        <v>0</v>
      </c>
    </row>
    <row r="3729" spans="1:11" x14ac:dyDescent="0.25">
      <c r="A3729" s="5">
        <f>3722</f>
      </c>
      <c r="B3729" s="5" t="s">
        <v>3737</v>
      </c>
      <c r="C3729" s="5">
        <v>100</v>
      </c>
      <c r="D3729" s="5">
        <v>0.1</v>
      </c>
      <c r="E3729" s="5">
        <v>100.2</v>
      </c>
      <c r="F3729" s="5">
        <v>198.9</v>
      </c>
      <c r="G3729" s="5">
        <v>99.2</v>
      </c>
      <c r="H3729" s="5">
        <v>99.1</v>
      </c>
      <c r="I3729" s="5">
        <v>0</v>
      </c>
      <c r="J3729" s="5">
        <v>0</v>
      </c>
      <c r="K3729" s="5">
        <v>0</v>
      </c>
    </row>
    <row r="3730" spans="1:11" x14ac:dyDescent="0.25">
      <c r="A3730" s="5">
        <f>3723</f>
      </c>
      <c r="B3730" s="5" t="s">
        <v>3738</v>
      </c>
      <c r="C3730" s="5">
        <v>100</v>
      </c>
      <c r="D3730" s="5">
        <v>0.1</v>
      </c>
      <c r="E3730" s="5">
        <v>100.2</v>
      </c>
      <c r="F3730" s="5">
        <v>198.9</v>
      </c>
      <c r="G3730" s="5">
        <v>99.2</v>
      </c>
      <c r="H3730" s="5">
        <v>99.1</v>
      </c>
      <c r="I3730" s="5">
        <v>0</v>
      </c>
      <c r="J3730" s="5">
        <v>0</v>
      </c>
      <c r="K3730" s="5">
        <v>0</v>
      </c>
    </row>
    <row r="3731" spans="1:11" x14ac:dyDescent="0.25">
      <c r="A3731" s="5">
        <f>3724</f>
      </c>
      <c r="B3731" s="5" t="s">
        <v>3739</v>
      </c>
      <c r="C3731" s="5">
        <v>99.2</v>
      </c>
      <c r="D3731" s="5">
        <v>0.1</v>
      </c>
      <c r="E3731" s="5">
        <v>99.4</v>
      </c>
      <c r="F3731" s="5">
        <v>198</v>
      </c>
      <c r="G3731" s="5">
        <v>98.8</v>
      </c>
      <c r="H3731" s="5">
        <v>98.6</v>
      </c>
      <c r="I3731" s="5">
        <v>0</v>
      </c>
      <c r="J3731" s="5">
        <v>0</v>
      </c>
      <c r="K3731" s="5">
        <v>0</v>
      </c>
    </row>
    <row r="3732" spans="1:11" x14ac:dyDescent="0.25">
      <c r="A3732" s="5">
        <f>3725</f>
      </c>
      <c r="B3732" s="5" t="s">
        <v>3740</v>
      </c>
      <c r="C3732" s="5">
        <v>99.2</v>
      </c>
      <c r="D3732" s="5">
        <v>0.1</v>
      </c>
      <c r="E3732" s="5">
        <v>99.4</v>
      </c>
      <c r="F3732" s="5">
        <v>198</v>
      </c>
      <c r="G3732" s="5">
        <v>98.8</v>
      </c>
      <c r="H3732" s="5">
        <v>98.6</v>
      </c>
      <c r="I3732" s="5">
        <v>0</v>
      </c>
      <c r="J3732" s="5">
        <v>0</v>
      </c>
      <c r="K3732" s="5">
        <v>0</v>
      </c>
    </row>
    <row r="3733" spans="1:11" x14ac:dyDescent="0.25">
      <c r="A3733" s="5">
        <f>3726</f>
      </c>
      <c r="B3733" s="5" t="s">
        <v>3741</v>
      </c>
      <c r="C3733" s="5">
        <v>99.7</v>
      </c>
      <c r="D3733" s="5">
        <v>0.1</v>
      </c>
      <c r="E3733" s="5">
        <v>99.9</v>
      </c>
      <c r="F3733" s="5">
        <v>205.2</v>
      </c>
      <c r="G3733" s="5">
        <v>102.1</v>
      </c>
      <c r="H3733" s="5">
        <v>101.7</v>
      </c>
      <c r="I3733" s="5">
        <v>0</v>
      </c>
      <c r="J3733" s="5">
        <v>0</v>
      </c>
      <c r="K3733" s="5">
        <v>0</v>
      </c>
    </row>
    <row r="3734" spans="1:11" x14ac:dyDescent="0.25">
      <c r="A3734" s="5">
        <f>3727</f>
      </c>
      <c r="B3734" s="5" t="s">
        <v>3742</v>
      </c>
      <c r="C3734" s="5">
        <v>99.7</v>
      </c>
      <c r="D3734" s="5">
        <v>0.1</v>
      </c>
      <c r="E3734" s="5">
        <v>99.9</v>
      </c>
      <c r="F3734" s="5">
        <v>205.2</v>
      </c>
      <c r="G3734" s="5">
        <v>102.1</v>
      </c>
      <c r="H3734" s="5">
        <v>101.7</v>
      </c>
      <c r="I3734" s="5">
        <v>0</v>
      </c>
      <c r="J3734" s="5">
        <v>0</v>
      </c>
      <c r="K3734" s="5">
        <v>0</v>
      </c>
    </row>
    <row r="3735" spans="1:11" x14ac:dyDescent="0.25">
      <c r="A3735" s="5">
        <f>3728</f>
      </c>
      <c r="B3735" s="5" t="s">
        <v>3743</v>
      </c>
      <c r="C3735" s="5">
        <v>99.7</v>
      </c>
      <c r="D3735" s="5">
        <v>0.1</v>
      </c>
      <c r="E3735" s="5">
        <v>99.9</v>
      </c>
      <c r="F3735" s="5">
        <v>205.2</v>
      </c>
      <c r="G3735" s="5">
        <v>102.1</v>
      </c>
      <c r="H3735" s="5">
        <v>101.7</v>
      </c>
      <c r="I3735" s="5">
        <v>0</v>
      </c>
      <c r="J3735" s="5">
        <v>0</v>
      </c>
      <c r="K3735" s="5">
        <v>0</v>
      </c>
    </row>
    <row r="3736" spans="1:11" x14ac:dyDescent="0.25">
      <c r="A3736" s="5">
        <f>3729</f>
      </c>
      <c r="B3736" s="5" t="s">
        <v>3744</v>
      </c>
      <c r="C3736" s="5">
        <v>99.7</v>
      </c>
      <c r="D3736" s="5">
        <v>0.1</v>
      </c>
      <c r="E3736" s="5">
        <v>99.9</v>
      </c>
      <c r="F3736" s="5">
        <v>205.2</v>
      </c>
      <c r="G3736" s="5">
        <v>102.1</v>
      </c>
      <c r="H3736" s="5">
        <v>101.7</v>
      </c>
      <c r="I3736" s="5">
        <v>0</v>
      </c>
      <c r="J3736" s="5">
        <v>0</v>
      </c>
      <c r="K3736" s="5">
        <v>0</v>
      </c>
    </row>
    <row r="3737" spans="1:11" x14ac:dyDescent="0.25">
      <c r="A3737" s="5">
        <f>3730</f>
      </c>
      <c r="B3737" s="5" t="s">
        <v>3745</v>
      </c>
      <c r="C3737" s="5">
        <v>105.2</v>
      </c>
      <c r="D3737" s="5">
        <v>0.1</v>
      </c>
      <c r="E3737" s="5">
        <v>105.3</v>
      </c>
      <c r="F3737" s="5">
        <v>206</v>
      </c>
      <c r="G3737" s="5">
        <v>102.2</v>
      </c>
      <c r="H3737" s="5">
        <v>101.8</v>
      </c>
      <c r="I3737" s="5">
        <v>0</v>
      </c>
      <c r="J3737" s="5">
        <v>0</v>
      </c>
      <c r="K3737" s="5">
        <v>0</v>
      </c>
    </row>
    <row r="3738" spans="1:11" x14ac:dyDescent="0.25">
      <c r="A3738" s="5">
        <f>3731</f>
      </c>
      <c r="B3738" s="5" t="s">
        <v>3746</v>
      </c>
      <c r="C3738" s="5">
        <v>105.2</v>
      </c>
      <c r="D3738" s="5">
        <v>0.1</v>
      </c>
      <c r="E3738" s="5">
        <v>105.3</v>
      </c>
      <c r="F3738" s="5">
        <v>206</v>
      </c>
      <c r="G3738" s="5">
        <v>102.2</v>
      </c>
      <c r="H3738" s="5">
        <v>101.8</v>
      </c>
      <c r="I3738" s="5">
        <v>0</v>
      </c>
      <c r="J3738" s="5">
        <v>0</v>
      </c>
      <c r="K3738" s="5">
        <v>0</v>
      </c>
    </row>
    <row r="3739" spans="1:11" x14ac:dyDescent="0.25">
      <c r="A3739" s="5">
        <f>3732</f>
      </c>
      <c r="B3739" s="5" t="s">
        <v>3747</v>
      </c>
      <c r="C3739" s="5">
        <v>100</v>
      </c>
      <c r="D3739" s="5">
        <v>0.1</v>
      </c>
      <c r="E3739" s="5">
        <v>100.2</v>
      </c>
      <c r="F3739" s="5">
        <v>200.3</v>
      </c>
      <c r="G3739" s="5">
        <v>100.1</v>
      </c>
      <c r="H3739" s="5">
        <v>100.2</v>
      </c>
      <c r="I3739" s="5">
        <v>0</v>
      </c>
      <c r="J3739" s="5">
        <v>0</v>
      </c>
      <c r="K3739" s="5">
        <v>0</v>
      </c>
    </row>
    <row r="3740" spans="1:11" x14ac:dyDescent="0.25">
      <c r="A3740" s="5">
        <f>3733</f>
      </c>
      <c r="B3740" s="5" t="s">
        <v>3748</v>
      </c>
      <c r="C3740" s="5">
        <v>100</v>
      </c>
      <c r="D3740" s="5">
        <v>0.1</v>
      </c>
      <c r="E3740" s="5">
        <v>100.2</v>
      </c>
      <c r="F3740" s="5">
        <v>200.3</v>
      </c>
      <c r="G3740" s="5">
        <v>100.1</v>
      </c>
      <c r="H3740" s="5">
        <v>100.2</v>
      </c>
      <c r="I3740" s="5">
        <v>0</v>
      </c>
      <c r="J3740" s="5">
        <v>0</v>
      </c>
      <c r="K3740" s="5">
        <v>0</v>
      </c>
    </row>
    <row r="3741" spans="1:11" x14ac:dyDescent="0.25">
      <c r="A3741" s="5">
        <f>3734</f>
      </c>
      <c r="B3741" s="5" t="s">
        <v>3749</v>
      </c>
      <c r="C3741" s="5">
        <v>99.8</v>
      </c>
      <c r="D3741" s="5">
        <v>0.1</v>
      </c>
      <c r="E3741" s="5">
        <v>99.9</v>
      </c>
      <c r="F3741" s="5">
        <v>199.2</v>
      </c>
      <c r="G3741" s="5">
        <v>99.4</v>
      </c>
      <c r="H3741" s="5">
        <v>99.3</v>
      </c>
      <c r="I3741" s="5">
        <v>0</v>
      </c>
      <c r="J3741" s="5">
        <v>0</v>
      </c>
      <c r="K3741" s="5">
        <v>0</v>
      </c>
    </row>
    <row r="3742" spans="1:11" x14ac:dyDescent="0.25">
      <c r="A3742" s="5">
        <f>3735</f>
      </c>
      <c r="B3742" s="5" t="s">
        <v>3750</v>
      </c>
      <c r="C3742" s="5">
        <v>99.8</v>
      </c>
      <c r="D3742" s="5">
        <v>0.1</v>
      </c>
      <c r="E3742" s="5">
        <v>99.9</v>
      </c>
      <c r="F3742" s="5">
        <v>199.2</v>
      </c>
      <c r="G3742" s="5">
        <v>99.4</v>
      </c>
      <c r="H3742" s="5">
        <v>99.3</v>
      </c>
      <c r="I3742" s="5">
        <v>0</v>
      </c>
      <c r="J3742" s="5">
        <v>0</v>
      </c>
      <c r="K3742" s="5">
        <v>0</v>
      </c>
    </row>
    <row r="3743" spans="1:11" x14ac:dyDescent="0.25">
      <c r="A3743" s="5">
        <f>3736</f>
      </c>
      <c r="B3743" s="5" t="s">
        <v>3751</v>
      </c>
      <c r="C3743" s="5">
        <v>103.2</v>
      </c>
      <c r="D3743" s="5">
        <v>0.1</v>
      </c>
      <c r="E3743" s="5">
        <v>103.4</v>
      </c>
      <c r="F3743" s="5">
        <v>201.5</v>
      </c>
      <c r="G3743" s="5">
        <v>100.4</v>
      </c>
      <c r="H3743" s="5">
        <v>100.1</v>
      </c>
      <c r="I3743" s="5">
        <v>0</v>
      </c>
      <c r="J3743" s="5">
        <v>0</v>
      </c>
      <c r="K3743" s="5">
        <v>0</v>
      </c>
    </row>
    <row r="3744" spans="1:11" x14ac:dyDescent="0.25">
      <c r="A3744" s="5">
        <f>3737</f>
      </c>
      <c r="B3744" s="5" t="s">
        <v>3752</v>
      </c>
      <c r="C3744" s="5">
        <v>103.2</v>
      </c>
      <c r="D3744" s="5">
        <v>0.1</v>
      </c>
      <c r="E3744" s="5">
        <v>103.4</v>
      </c>
      <c r="F3744" s="5">
        <v>201.5</v>
      </c>
      <c r="G3744" s="5">
        <v>100.4</v>
      </c>
      <c r="H3744" s="5">
        <v>100.1</v>
      </c>
      <c r="I3744" s="5">
        <v>0</v>
      </c>
      <c r="J3744" s="5">
        <v>0</v>
      </c>
      <c r="K3744" s="5">
        <v>0</v>
      </c>
    </row>
    <row r="3745" spans="1:11" x14ac:dyDescent="0.25">
      <c r="A3745" s="5">
        <f>3738</f>
      </c>
      <c r="B3745" s="5" t="s">
        <v>3753</v>
      </c>
      <c r="C3745" s="5">
        <v>103.2</v>
      </c>
      <c r="D3745" s="5">
        <v>0.1</v>
      </c>
      <c r="E3745" s="5">
        <v>103.4</v>
      </c>
      <c r="F3745" s="5">
        <v>201.5</v>
      </c>
      <c r="G3745" s="5">
        <v>100.4</v>
      </c>
      <c r="H3745" s="5">
        <v>100.1</v>
      </c>
      <c r="I3745" s="5">
        <v>0</v>
      </c>
      <c r="J3745" s="5">
        <v>0</v>
      </c>
      <c r="K3745" s="5">
        <v>0</v>
      </c>
    </row>
    <row r="3746" spans="1:11" x14ac:dyDescent="0.25">
      <c r="A3746" s="5">
        <f>3739</f>
      </c>
      <c r="B3746" s="5" t="s">
        <v>3754</v>
      </c>
      <c r="C3746" s="5">
        <v>103.2</v>
      </c>
      <c r="D3746" s="5">
        <v>0.1</v>
      </c>
      <c r="E3746" s="5">
        <v>103.4</v>
      </c>
      <c r="F3746" s="5">
        <v>201.5</v>
      </c>
      <c r="G3746" s="5">
        <v>100.4</v>
      </c>
      <c r="H3746" s="5">
        <v>100.1</v>
      </c>
      <c r="I3746" s="5">
        <v>0</v>
      </c>
      <c r="J3746" s="5">
        <v>0</v>
      </c>
      <c r="K3746" s="5">
        <v>0</v>
      </c>
    </row>
    <row r="3747" spans="1:11" x14ac:dyDescent="0.25">
      <c r="A3747" s="5">
        <f>3740</f>
      </c>
      <c r="B3747" s="5" t="s">
        <v>3755</v>
      </c>
      <c r="C3747" s="5">
        <v>100.5</v>
      </c>
      <c r="D3747" s="5">
        <v>0.1</v>
      </c>
      <c r="E3747" s="5">
        <v>100.7</v>
      </c>
      <c r="F3747" s="5">
        <v>200.8</v>
      </c>
      <c r="G3747" s="5">
        <v>100.2</v>
      </c>
      <c r="H3747" s="5">
        <v>100</v>
      </c>
      <c r="I3747" s="5">
        <v>0</v>
      </c>
      <c r="J3747" s="5">
        <v>0</v>
      </c>
      <c r="K3747" s="5">
        <v>0</v>
      </c>
    </row>
    <row r="3748" spans="1:11" x14ac:dyDescent="0.25">
      <c r="A3748" s="5">
        <f>3741</f>
      </c>
      <c r="B3748" s="5" t="s">
        <v>3756</v>
      </c>
      <c r="C3748" s="5">
        <v>100.5</v>
      </c>
      <c r="D3748" s="5">
        <v>0.1</v>
      </c>
      <c r="E3748" s="5">
        <v>100.7</v>
      </c>
      <c r="F3748" s="5">
        <v>200.8</v>
      </c>
      <c r="G3748" s="5">
        <v>100.2</v>
      </c>
      <c r="H3748" s="5">
        <v>100</v>
      </c>
      <c r="I3748" s="5">
        <v>0</v>
      </c>
      <c r="J3748" s="5">
        <v>0</v>
      </c>
      <c r="K3748" s="5">
        <v>0</v>
      </c>
    </row>
    <row r="3749" spans="1:11" x14ac:dyDescent="0.25">
      <c r="A3749" s="5">
        <f>3742</f>
      </c>
      <c r="B3749" s="5" t="s">
        <v>3757</v>
      </c>
      <c r="C3749" s="5">
        <v>99.6</v>
      </c>
      <c r="D3749" s="5">
        <v>0.1</v>
      </c>
      <c r="E3749" s="5">
        <v>99.7</v>
      </c>
      <c r="F3749" s="5">
        <v>200.8</v>
      </c>
      <c r="G3749" s="5">
        <v>100.1</v>
      </c>
      <c r="H3749" s="5">
        <v>99.8</v>
      </c>
      <c r="I3749" s="5">
        <v>0</v>
      </c>
      <c r="J3749" s="5">
        <v>0</v>
      </c>
      <c r="K3749" s="5">
        <v>0</v>
      </c>
    </row>
    <row r="3750" spans="1:11" x14ac:dyDescent="0.25">
      <c r="A3750" s="5">
        <f>3743</f>
      </c>
      <c r="B3750" s="5" t="s">
        <v>3758</v>
      </c>
      <c r="C3750" s="5">
        <v>99.6</v>
      </c>
      <c r="D3750" s="5">
        <v>0.1</v>
      </c>
      <c r="E3750" s="5">
        <v>99.7</v>
      </c>
      <c r="F3750" s="5">
        <v>200.8</v>
      </c>
      <c r="G3750" s="5">
        <v>100.1</v>
      </c>
      <c r="H3750" s="5">
        <v>99.8</v>
      </c>
      <c r="I3750" s="5">
        <v>0</v>
      </c>
      <c r="J3750" s="5">
        <v>0</v>
      </c>
      <c r="K3750" s="5">
        <v>0</v>
      </c>
    </row>
    <row r="3751" spans="1:11" x14ac:dyDescent="0.25">
      <c r="A3751" s="5">
        <f>3744</f>
      </c>
      <c r="B3751" s="5" t="s">
        <v>3759</v>
      </c>
      <c r="C3751" s="5">
        <v>105.7</v>
      </c>
      <c r="D3751" s="5">
        <v>0.1</v>
      </c>
      <c r="E3751" s="5">
        <v>105.9</v>
      </c>
      <c r="F3751" s="5">
        <v>210.1</v>
      </c>
      <c r="G3751" s="5">
        <v>104.8</v>
      </c>
      <c r="H3751" s="5">
        <v>104.7</v>
      </c>
      <c r="I3751" s="5">
        <v>0</v>
      </c>
      <c r="J3751" s="5">
        <v>0</v>
      </c>
      <c r="K3751" s="5">
        <v>0</v>
      </c>
    </row>
    <row r="3752" spans="1:11" x14ac:dyDescent="0.25">
      <c r="A3752" s="5">
        <f>3745</f>
      </c>
      <c r="B3752" s="5" t="s">
        <v>3760</v>
      </c>
      <c r="C3752" s="5">
        <v>105.7</v>
      </c>
      <c r="D3752" s="5">
        <v>0.1</v>
      </c>
      <c r="E3752" s="5">
        <v>105.9</v>
      </c>
      <c r="F3752" s="5">
        <v>210.1</v>
      </c>
      <c r="G3752" s="5">
        <v>104.8</v>
      </c>
      <c r="H3752" s="5">
        <v>104.7</v>
      </c>
      <c r="I3752" s="5">
        <v>0</v>
      </c>
      <c r="J3752" s="5">
        <v>0</v>
      </c>
      <c r="K3752" s="5">
        <v>0</v>
      </c>
    </row>
    <row r="3753" spans="1:11" x14ac:dyDescent="0.25">
      <c r="A3753" s="5">
        <f>3746</f>
      </c>
      <c r="B3753" s="5" t="s">
        <v>3761</v>
      </c>
      <c r="C3753" s="5">
        <v>105.6</v>
      </c>
      <c r="D3753" s="5">
        <v>0.1</v>
      </c>
      <c r="E3753" s="5">
        <v>105.6</v>
      </c>
      <c r="F3753" s="5">
        <v>210.4</v>
      </c>
      <c r="G3753" s="5">
        <v>105.1</v>
      </c>
      <c r="H3753" s="5">
        <v>104.9</v>
      </c>
      <c r="I3753" s="5">
        <v>0</v>
      </c>
      <c r="J3753" s="5">
        <v>0</v>
      </c>
      <c r="K3753" s="5">
        <v>0</v>
      </c>
    </row>
    <row r="3754" spans="1:11" x14ac:dyDescent="0.25">
      <c r="A3754" s="5">
        <f>3747</f>
      </c>
      <c r="B3754" s="5" t="s">
        <v>3762</v>
      </c>
      <c r="C3754" s="5">
        <v>105.6</v>
      </c>
      <c r="D3754" s="5">
        <v>0.1</v>
      </c>
      <c r="E3754" s="5">
        <v>105.6</v>
      </c>
      <c r="F3754" s="5">
        <v>210.4</v>
      </c>
      <c r="G3754" s="5">
        <v>105.1</v>
      </c>
      <c r="H3754" s="5">
        <v>104.9</v>
      </c>
      <c r="I3754" s="5">
        <v>0</v>
      </c>
      <c r="J3754" s="5">
        <v>0</v>
      </c>
      <c r="K3754" s="5">
        <v>0</v>
      </c>
    </row>
    <row r="3755" spans="1:11" x14ac:dyDescent="0.25">
      <c r="A3755" s="5">
        <f>3748</f>
      </c>
      <c r="B3755" s="5" t="s">
        <v>3763</v>
      </c>
      <c r="C3755" s="5">
        <v>105.6</v>
      </c>
      <c r="D3755" s="5">
        <v>0.1</v>
      </c>
      <c r="E3755" s="5">
        <v>105.6</v>
      </c>
      <c r="F3755" s="5">
        <v>210.4</v>
      </c>
      <c r="G3755" s="5">
        <v>105.1</v>
      </c>
      <c r="H3755" s="5">
        <v>104.9</v>
      </c>
      <c r="I3755" s="5">
        <v>0</v>
      </c>
      <c r="J3755" s="5">
        <v>0</v>
      </c>
      <c r="K3755" s="5">
        <v>0</v>
      </c>
    </row>
    <row r="3756" spans="1:11" x14ac:dyDescent="0.25">
      <c r="A3756" s="5">
        <f>3749</f>
      </c>
      <c r="B3756" s="5" t="s">
        <v>3764</v>
      </c>
      <c r="C3756" s="5">
        <v>105.6</v>
      </c>
      <c r="D3756" s="5">
        <v>0.1</v>
      </c>
      <c r="E3756" s="5">
        <v>105.6</v>
      </c>
      <c r="F3756" s="5">
        <v>210.4</v>
      </c>
      <c r="G3756" s="5">
        <v>105.1</v>
      </c>
      <c r="H3756" s="5">
        <v>104.9</v>
      </c>
      <c r="I3756" s="5">
        <v>0</v>
      </c>
      <c r="J3756" s="5">
        <v>0</v>
      </c>
      <c r="K3756" s="5">
        <v>0</v>
      </c>
    </row>
    <row r="3757" spans="1:11" x14ac:dyDescent="0.25">
      <c r="A3757" s="5">
        <f>3750</f>
      </c>
      <c r="B3757" s="5" t="s">
        <v>3765</v>
      </c>
      <c r="C3757" s="5">
        <v>105.6</v>
      </c>
      <c r="D3757" s="5">
        <v>0.1</v>
      </c>
      <c r="E3757" s="5">
        <v>105.6</v>
      </c>
      <c r="F3757" s="5">
        <v>205.3</v>
      </c>
      <c r="G3757" s="5">
        <v>102.2</v>
      </c>
      <c r="H3757" s="5">
        <v>101.8</v>
      </c>
      <c r="I3757" s="5">
        <v>0</v>
      </c>
      <c r="J3757" s="5">
        <v>0</v>
      </c>
      <c r="K3757" s="5">
        <v>0</v>
      </c>
    </row>
    <row r="3758" spans="1:11" x14ac:dyDescent="0.25">
      <c r="A3758" s="5">
        <f>3751</f>
      </c>
      <c r="B3758" s="5" t="s">
        <v>3766</v>
      </c>
      <c r="C3758" s="5">
        <v>105.6</v>
      </c>
      <c r="D3758" s="5">
        <v>0.1</v>
      </c>
      <c r="E3758" s="5">
        <v>105.6</v>
      </c>
      <c r="F3758" s="5">
        <v>205.3</v>
      </c>
      <c r="G3758" s="5">
        <v>102.2</v>
      </c>
      <c r="H3758" s="5">
        <v>101.8</v>
      </c>
      <c r="I3758" s="5">
        <v>0</v>
      </c>
      <c r="J3758" s="5">
        <v>0</v>
      </c>
      <c r="K3758" s="5">
        <v>0</v>
      </c>
    </row>
    <row r="3759" spans="1:11" x14ac:dyDescent="0.25">
      <c r="A3759" s="5">
        <f>3752</f>
      </c>
      <c r="B3759" s="5" t="s">
        <v>3767</v>
      </c>
      <c r="C3759" s="5">
        <v>100.2</v>
      </c>
      <c r="D3759" s="5">
        <v>0.1</v>
      </c>
      <c r="E3759" s="5">
        <v>100.3</v>
      </c>
      <c r="F3759" s="5">
        <v>199.2</v>
      </c>
      <c r="G3759" s="5">
        <v>99.3</v>
      </c>
      <c r="H3759" s="5">
        <v>99.2</v>
      </c>
      <c r="I3759" s="5">
        <v>0</v>
      </c>
      <c r="J3759" s="5">
        <v>0</v>
      </c>
      <c r="K3759" s="5">
        <v>0</v>
      </c>
    </row>
    <row r="3760" spans="1:11" x14ac:dyDescent="0.25">
      <c r="A3760" s="5">
        <f>3753</f>
      </c>
      <c r="B3760" s="5" t="s">
        <v>3768</v>
      </c>
      <c r="C3760" s="5">
        <v>100.2</v>
      </c>
      <c r="D3760" s="5">
        <v>0.1</v>
      </c>
      <c r="E3760" s="5">
        <v>100.3</v>
      </c>
      <c r="F3760" s="5">
        <v>199.2</v>
      </c>
      <c r="G3760" s="5">
        <v>99.3</v>
      </c>
      <c r="H3760" s="5">
        <v>99.2</v>
      </c>
      <c r="I3760" s="5">
        <v>0</v>
      </c>
      <c r="J3760" s="5">
        <v>0</v>
      </c>
      <c r="K3760" s="5">
        <v>0</v>
      </c>
    </row>
    <row r="3761" spans="1:11" x14ac:dyDescent="0.25">
      <c r="A3761" s="5">
        <f>3754</f>
      </c>
      <c r="B3761" s="5" t="s">
        <v>3769</v>
      </c>
      <c r="C3761" s="5">
        <v>100.9</v>
      </c>
      <c r="D3761" s="5">
        <v>0.1</v>
      </c>
      <c r="E3761" s="5">
        <v>101.1</v>
      </c>
      <c r="F3761" s="5">
        <v>202.1</v>
      </c>
      <c r="G3761" s="5">
        <v>100.8</v>
      </c>
      <c r="H3761" s="5">
        <v>100.6</v>
      </c>
      <c r="I3761" s="5">
        <v>0</v>
      </c>
      <c r="J3761" s="5">
        <v>0</v>
      </c>
      <c r="K3761" s="5">
        <v>0</v>
      </c>
    </row>
    <row r="3762" spans="1:11" x14ac:dyDescent="0.25">
      <c r="A3762" s="5">
        <f>3755</f>
      </c>
      <c r="B3762" s="5" t="s">
        <v>3770</v>
      </c>
      <c r="C3762" s="5">
        <v>100.9</v>
      </c>
      <c r="D3762" s="5">
        <v>0.1</v>
      </c>
      <c r="E3762" s="5">
        <v>101.1</v>
      </c>
      <c r="F3762" s="5">
        <v>202.1</v>
      </c>
      <c r="G3762" s="5">
        <v>100.8</v>
      </c>
      <c r="H3762" s="5">
        <v>100.6</v>
      </c>
      <c r="I3762" s="5">
        <v>0</v>
      </c>
      <c r="J3762" s="5">
        <v>0</v>
      </c>
      <c r="K3762" s="5">
        <v>0</v>
      </c>
    </row>
    <row r="3763" spans="1:11" x14ac:dyDescent="0.25">
      <c r="A3763" s="5">
        <f>3756</f>
      </c>
      <c r="B3763" s="5" t="s">
        <v>3771</v>
      </c>
      <c r="C3763" s="5">
        <v>105.9</v>
      </c>
      <c r="D3763" s="5">
        <v>0.1</v>
      </c>
      <c r="E3763" s="5">
        <v>106.1</v>
      </c>
      <c r="F3763" s="5">
        <v>211.2</v>
      </c>
      <c r="G3763" s="5">
        <v>105.3</v>
      </c>
      <c r="H3763" s="5">
        <v>105.2</v>
      </c>
      <c r="I3763" s="5">
        <v>0</v>
      </c>
      <c r="J3763" s="5">
        <v>0</v>
      </c>
      <c r="K3763" s="5">
        <v>0</v>
      </c>
    </row>
    <row r="3764" spans="1:11" x14ac:dyDescent="0.25">
      <c r="A3764" s="5">
        <f>3757</f>
      </c>
      <c r="B3764" s="5" t="s">
        <v>3772</v>
      </c>
      <c r="C3764" s="5">
        <v>105.9</v>
      </c>
      <c r="D3764" s="5">
        <v>0.1</v>
      </c>
      <c r="E3764" s="5">
        <v>106.1</v>
      </c>
      <c r="F3764" s="5">
        <v>211.2</v>
      </c>
      <c r="G3764" s="5">
        <v>105.3</v>
      </c>
      <c r="H3764" s="5">
        <v>105.2</v>
      </c>
      <c r="I3764" s="5">
        <v>0</v>
      </c>
      <c r="J3764" s="5">
        <v>0</v>
      </c>
      <c r="K3764" s="5">
        <v>0</v>
      </c>
    </row>
    <row r="3765" spans="1:11" x14ac:dyDescent="0.25">
      <c r="A3765" s="5">
        <f>3758</f>
      </c>
      <c r="B3765" s="5" t="s">
        <v>3773</v>
      </c>
      <c r="C3765" s="5">
        <v>105.9</v>
      </c>
      <c r="D3765" s="5">
        <v>0.1</v>
      </c>
      <c r="E3765" s="5">
        <v>106.1</v>
      </c>
      <c r="F3765" s="5">
        <v>211.2</v>
      </c>
      <c r="G3765" s="5">
        <v>105.3</v>
      </c>
      <c r="H3765" s="5">
        <v>105.2</v>
      </c>
      <c r="I3765" s="5">
        <v>0</v>
      </c>
      <c r="J3765" s="5">
        <v>0</v>
      </c>
      <c r="K3765" s="5">
        <v>0</v>
      </c>
    </row>
    <row r="3766" spans="1:11" x14ac:dyDescent="0.25">
      <c r="A3766" s="5">
        <f>3759</f>
      </c>
      <c r="B3766" s="5" t="s">
        <v>3774</v>
      </c>
      <c r="C3766" s="5">
        <v>105.9</v>
      </c>
      <c r="D3766" s="5">
        <v>0.1</v>
      </c>
      <c r="E3766" s="5">
        <v>106.1</v>
      </c>
      <c r="F3766" s="5">
        <v>211.2</v>
      </c>
      <c r="G3766" s="5">
        <v>105.3</v>
      </c>
      <c r="H3766" s="5">
        <v>105.2</v>
      </c>
      <c r="I3766" s="5">
        <v>0</v>
      </c>
      <c r="J3766" s="5">
        <v>0</v>
      </c>
      <c r="K3766" s="5">
        <v>0</v>
      </c>
    </row>
    <row r="3767" spans="1:11" x14ac:dyDescent="0.25">
      <c r="A3767" s="5">
        <f>3760</f>
      </c>
      <c r="B3767" s="5" t="s">
        <v>3775</v>
      </c>
      <c r="C3767" s="5">
        <v>101.1</v>
      </c>
      <c r="D3767" s="5">
        <v>0.1</v>
      </c>
      <c r="E3767" s="5">
        <v>101.2</v>
      </c>
      <c r="F3767" s="5">
        <v>204.9</v>
      </c>
      <c r="G3767" s="5">
        <v>102.5</v>
      </c>
      <c r="H3767" s="5">
        <v>102.6</v>
      </c>
      <c r="I3767" s="5">
        <v>0</v>
      </c>
      <c r="J3767" s="5">
        <v>0</v>
      </c>
      <c r="K3767" s="5">
        <v>0</v>
      </c>
    </row>
    <row r="3768" spans="1:11" x14ac:dyDescent="0.25">
      <c r="A3768" s="5">
        <f>3761</f>
      </c>
      <c r="B3768" s="5" t="s">
        <v>3776</v>
      </c>
      <c r="C3768" s="5">
        <v>101.1</v>
      </c>
      <c r="D3768" s="5">
        <v>0.1</v>
      </c>
      <c r="E3768" s="5">
        <v>101.2</v>
      </c>
      <c r="F3768" s="5">
        <v>204.9</v>
      </c>
      <c r="G3768" s="5">
        <v>102.5</v>
      </c>
      <c r="H3768" s="5">
        <v>102.6</v>
      </c>
      <c r="I3768" s="5">
        <v>0</v>
      </c>
      <c r="J3768" s="5">
        <v>0</v>
      </c>
      <c r="K3768" s="5">
        <v>0</v>
      </c>
    </row>
    <row r="3769" spans="1:11" x14ac:dyDescent="0.25">
      <c r="A3769" s="5">
        <f>3762</f>
      </c>
      <c r="B3769" s="5" t="s">
        <v>3777</v>
      </c>
      <c r="C3769" s="5">
        <v>106.3</v>
      </c>
      <c r="D3769" s="5">
        <v>0.1</v>
      </c>
      <c r="E3769" s="5">
        <v>106.5</v>
      </c>
      <c r="F3769" s="5">
        <v>203.8</v>
      </c>
      <c r="G3769" s="5">
        <v>101.8</v>
      </c>
      <c r="H3769" s="5">
        <v>101.9</v>
      </c>
      <c r="I3769" s="5">
        <v>0</v>
      </c>
      <c r="J3769" s="5">
        <v>0</v>
      </c>
      <c r="K3769" s="5">
        <v>0</v>
      </c>
    </row>
    <row r="3770" spans="1:11" x14ac:dyDescent="0.25">
      <c r="A3770" s="5">
        <f>3763</f>
      </c>
      <c r="B3770" s="5" t="s">
        <v>3778</v>
      </c>
      <c r="C3770" s="5">
        <v>106.3</v>
      </c>
      <c r="D3770" s="5">
        <v>0.1</v>
      </c>
      <c r="E3770" s="5">
        <v>106.5</v>
      </c>
      <c r="F3770" s="5">
        <v>203.8</v>
      </c>
      <c r="G3770" s="5">
        <v>101.8</v>
      </c>
      <c r="H3770" s="5">
        <v>101.9</v>
      </c>
      <c r="I3770" s="5">
        <v>0</v>
      </c>
      <c r="J3770" s="5">
        <v>0</v>
      </c>
      <c r="K3770" s="5">
        <v>0</v>
      </c>
    </row>
    <row r="3771" spans="1:11" x14ac:dyDescent="0.25">
      <c r="A3771" s="5">
        <f>3764</f>
      </c>
      <c r="B3771" s="5" t="s">
        <v>3779</v>
      </c>
      <c r="C3771" s="5">
        <v>101.2</v>
      </c>
      <c r="D3771" s="5">
        <v>0.1</v>
      </c>
      <c r="E3771" s="5">
        <v>101.4</v>
      </c>
      <c r="F3771" s="5">
        <v>207.1</v>
      </c>
      <c r="G3771" s="5">
        <v>103.5</v>
      </c>
      <c r="H3771" s="5">
        <v>103.5</v>
      </c>
      <c r="I3771" s="5">
        <v>0</v>
      </c>
      <c r="J3771" s="5">
        <v>0</v>
      </c>
      <c r="K3771" s="5">
        <v>0</v>
      </c>
    </row>
    <row r="3772" spans="1:11" x14ac:dyDescent="0.25">
      <c r="A3772" s="5">
        <f>3765</f>
      </c>
      <c r="B3772" s="5" t="s">
        <v>3780</v>
      </c>
      <c r="C3772" s="5">
        <v>101.2</v>
      </c>
      <c r="D3772" s="5">
        <v>0.1</v>
      </c>
      <c r="E3772" s="5">
        <v>101.4</v>
      </c>
      <c r="F3772" s="5">
        <v>207.1</v>
      </c>
      <c r="G3772" s="5">
        <v>103.5</v>
      </c>
      <c r="H3772" s="5">
        <v>103.5</v>
      </c>
      <c r="I3772" s="5">
        <v>0</v>
      </c>
      <c r="J3772" s="5">
        <v>0</v>
      </c>
      <c r="K3772" s="5">
        <v>0</v>
      </c>
    </row>
    <row r="3773" spans="1:11" x14ac:dyDescent="0.25">
      <c r="A3773" s="5">
        <f>3766</f>
      </c>
      <c r="B3773" s="5" t="s">
        <v>3781</v>
      </c>
      <c r="C3773" s="5">
        <v>100.7</v>
      </c>
      <c r="D3773" s="5">
        <v>0.1</v>
      </c>
      <c r="E3773" s="5">
        <v>100.8</v>
      </c>
      <c r="F3773" s="5">
        <v>203.2</v>
      </c>
      <c r="G3773" s="5">
        <v>101.3</v>
      </c>
      <c r="H3773" s="5">
        <v>101</v>
      </c>
      <c r="I3773" s="5">
        <v>0</v>
      </c>
      <c r="J3773" s="5">
        <v>0</v>
      </c>
      <c r="K3773" s="5">
        <v>0</v>
      </c>
    </row>
    <row r="3774" spans="1:11" x14ac:dyDescent="0.25">
      <c r="A3774" s="5">
        <f>3767</f>
      </c>
      <c r="B3774" s="5" t="s">
        <v>3782</v>
      </c>
      <c r="C3774" s="5">
        <v>100.7</v>
      </c>
      <c r="D3774" s="5">
        <v>0.1</v>
      </c>
      <c r="E3774" s="5">
        <v>100.8</v>
      </c>
      <c r="F3774" s="5">
        <v>203.2</v>
      </c>
      <c r="G3774" s="5">
        <v>101.3</v>
      </c>
      <c r="H3774" s="5">
        <v>101</v>
      </c>
      <c r="I3774" s="5">
        <v>0</v>
      </c>
      <c r="J3774" s="5">
        <v>0</v>
      </c>
      <c r="K3774" s="5">
        <v>0</v>
      </c>
    </row>
    <row r="3775" spans="1:11" x14ac:dyDescent="0.25">
      <c r="A3775" s="5">
        <f>3768</f>
      </c>
      <c r="B3775" s="5" t="s">
        <v>3783</v>
      </c>
      <c r="C3775" s="5">
        <v>100.7</v>
      </c>
      <c r="D3775" s="5">
        <v>0.1</v>
      </c>
      <c r="E3775" s="5">
        <v>100.8</v>
      </c>
      <c r="F3775" s="5">
        <v>203.2</v>
      </c>
      <c r="G3775" s="5">
        <v>101.3</v>
      </c>
      <c r="H3775" s="5">
        <v>101</v>
      </c>
      <c r="I3775" s="5">
        <v>0</v>
      </c>
      <c r="J3775" s="5">
        <v>0</v>
      </c>
      <c r="K3775" s="5">
        <v>0</v>
      </c>
    </row>
    <row r="3776" spans="1:11" x14ac:dyDescent="0.25">
      <c r="A3776" s="5">
        <f>3769</f>
      </c>
      <c r="B3776" s="5" t="s">
        <v>3784</v>
      </c>
      <c r="C3776" s="5">
        <v>100.7</v>
      </c>
      <c r="D3776" s="5">
        <v>0.1</v>
      </c>
      <c r="E3776" s="5">
        <v>105.6</v>
      </c>
      <c r="F3776" s="5">
        <v>202.7</v>
      </c>
      <c r="G3776" s="5">
        <v>101.3</v>
      </c>
      <c r="H3776" s="5">
        <v>101.5</v>
      </c>
      <c r="I3776" s="5">
        <v>0</v>
      </c>
      <c r="J3776" s="5">
        <v>0</v>
      </c>
      <c r="K3776" s="5">
        <v>0</v>
      </c>
    </row>
    <row r="3777" spans="1:11" x14ac:dyDescent="0.25">
      <c r="A3777" s="5">
        <f>3770</f>
      </c>
      <c r="B3777" s="5" t="s">
        <v>3785</v>
      </c>
      <c r="C3777" s="5">
        <v>105.4</v>
      </c>
      <c r="D3777" s="5">
        <v>0.1</v>
      </c>
      <c r="E3777" s="5">
        <v>105.6</v>
      </c>
      <c r="F3777" s="5">
        <v>202.7</v>
      </c>
      <c r="G3777" s="5">
        <v>101.3</v>
      </c>
      <c r="H3777" s="5">
        <v>101.5</v>
      </c>
      <c r="I3777" s="5">
        <v>0</v>
      </c>
      <c r="J3777" s="5">
        <v>0</v>
      </c>
      <c r="K3777" s="5">
        <v>0</v>
      </c>
    </row>
    <row r="3778" spans="1:11" x14ac:dyDescent="0.25">
      <c r="A3778" s="5">
        <f>3771</f>
      </c>
      <c r="B3778" s="5" t="s">
        <v>3786</v>
      </c>
      <c r="C3778" s="5">
        <v>105.4</v>
      </c>
      <c r="D3778" s="5">
        <v>0.1</v>
      </c>
      <c r="E3778" s="5">
        <v>105.4</v>
      </c>
      <c r="F3778" s="5">
        <v>206.3</v>
      </c>
      <c r="G3778" s="5">
        <v>103.2</v>
      </c>
      <c r="H3778" s="5">
        <v>103.2</v>
      </c>
      <c r="I3778" s="5">
        <v>0</v>
      </c>
      <c r="J3778" s="5">
        <v>0</v>
      </c>
      <c r="K3778" s="5">
        <v>0</v>
      </c>
    </row>
    <row r="3779" spans="1:11" x14ac:dyDescent="0.25">
      <c r="A3779" s="5">
        <f>3772</f>
      </c>
      <c r="B3779" s="5" t="s">
        <v>3787</v>
      </c>
      <c r="C3779" s="5">
        <v>105.3</v>
      </c>
      <c r="D3779" s="5">
        <v>0.1</v>
      </c>
      <c r="E3779" s="5">
        <v>105.4</v>
      </c>
      <c r="F3779" s="5">
        <v>206.3</v>
      </c>
      <c r="G3779" s="5">
        <v>103.2</v>
      </c>
      <c r="H3779" s="5">
        <v>103.2</v>
      </c>
      <c r="I3779" s="5">
        <v>0</v>
      </c>
      <c r="J3779" s="5">
        <v>0</v>
      </c>
      <c r="K3779" s="5">
        <v>0</v>
      </c>
    </row>
    <row r="3780" spans="1:11" x14ac:dyDescent="0.25">
      <c r="A3780" s="5">
        <f>3773</f>
      </c>
      <c r="B3780" s="5" t="s">
        <v>3788</v>
      </c>
      <c r="C3780" s="5">
        <v>105.3</v>
      </c>
      <c r="D3780" s="5">
        <v>0.1</v>
      </c>
      <c r="E3780" s="5">
        <v>105.4</v>
      </c>
      <c r="F3780" s="5">
        <v>202.8</v>
      </c>
      <c r="G3780" s="5">
        <v>101.4</v>
      </c>
      <c r="H3780" s="5">
        <v>101.5</v>
      </c>
      <c r="I3780" s="5">
        <v>0</v>
      </c>
      <c r="J3780" s="5">
        <v>0</v>
      </c>
      <c r="K3780" s="5">
        <v>0</v>
      </c>
    </row>
    <row r="3781" spans="1:11" x14ac:dyDescent="0.25">
      <c r="A3781" s="5">
        <f>3774</f>
      </c>
      <c r="B3781" s="5" t="s">
        <v>3789</v>
      </c>
      <c r="C3781" s="5">
        <v>104.6</v>
      </c>
      <c r="D3781" s="5">
        <v>0.1</v>
      </c>
      <c r="E3781" s="5">
        <v>104.7</v>
      </c>
      <c r="F3781" s="5">
        <v>202.8</v>
      </c>
      <c r="G3781" s="5">
        <v>101.4</v>
      </c>
      <c r="H3781" s="5">
        <v>101.5</v>
      </c>
      <c r="I3781" s="5">
        <v>0</v>
      </c>
      <c r="J3781" s="5">
        <v>0</v>
      </c>
      <c r="K3781" s="5">
        <v>0</v>
      </c>
    </row>
    <row r="3782" spans="1:11" x14ac:dyDescent="0.25">
      <c r="A3782" s="5">
        <f>3775</f>
      </c>
      <c r="B3782" s="5" t="s">
        <v>3790</v>
      </c>
      <c r="C3782" s="5">
        <v>104.6</v>
      </c>
      <c r="D3782" s="5">
        <v>0.1</v>
      </c>
      <c r="E3782" s="5">
        <v>104.7</v>
      </c>
      <c r="F3782" s="5">
        <v>202.8</v>
      </c>
      <c r="G3782" s="5">
        <v>101.4</v>
      </c>
      <c r="H3782" s="5">
        <v>101.5</v>
      </c>
      <c r="I3782" s="5">
        <v>0</v>
      </c>
      <c r="J3782" s="5">
        <v>0</v>
      </c>
      <c r="K3782" s="5">
        <v>0</v>
      </c>
    </row>
    <row r="3783" spans="1:11" x14ac:dyDescent="0.25">
      <c r="A3783" s="5">
        <f>3776</f>
      </c>
      <c r="B3783" s="5" t="s">
        <v>3791</v>
      </c>
      <c r="C3783" s="5">
        <v>100.1</v>
      </c>
      <c r="D3783" s="5">
        <v>0.1</v>
      </c>
      <c r="E3783" s="5">
        <v>100.2</v>
      </c>
      <c r="F3783" s="5">
        <v>200.1</v>
      </c>
      <c r="G3783" s="5">
        <v>99.8</v>
      </c>
      <c r="H3783" s="5">
        <v>99.6</v>
      </c>
      <c r="I3783" s="5">
        <v>0</v>
      </c>
      <c r="J3783" s="5">
        <v>0</v>
      </c>
      <c r="K3783" s="5">
        <v>0</v>
      </c>
    </row>
    <row r="3784" spans="1:11" x14ac:dyDescent="0.25">
      <c r="A3784" s="5">
        <f>3777</f>
      </c>
      <c r="B3784" s="5" t="s">
        <v>3792</v>
      </c>
      <c r="C3784" s="5">
        <v>100.1</v>
      </c>
      <c r="D3784" s="5">
        <v>0.1</v>
      </c>
      <c r="E3784" s="5">
        <v>100.2</v>
      </c>
      <c r="F3784" s="5">
        <v>200.1</v>
      </c>
      <c r="G3784" s="5">
        <v>99.8</v>
      </c>
      <c r="H3784" s="5">
        <v>99.6</v>
      </c>
      <c r="I3784" s="5">
        <v>0</v>
      </c>
      <c r="J3784" s="5">
        <v>0</v>
      </c>
      <c r="K3784" s="5">
        <v>0</v>
      </c>
    </row>
    <row r="3785" spans="1:11" x14ac:dyDescent="0.25">
      <c r="A3785" s="5">
        <f>3778</f>
      </c>
      <c r="B3785" s="5" t="s">
        <v>3793</v>
      </c>
      <c r="C3785" s="5">
        <v>100.1</v>
      </c>
      <c r="D3785" s="5">
        <v>0.1</v>
      </c>
      <c r="E3785" s="5">
        <v>100.2</v>
      </c>
      <c r="F3785" s="5">
        <v>200.1</v>
      </c>
      <c r="G3785" s="5">
        <v>99.8</v>
      </c>
      <c r="H3785" s="5">
        <v>99.6</v>
      </c>
      <c r="I3785" s="5">
        <v>0</v>
      </c>
      <c r="J3785" s="5">
        <v>0</v>
      </c>
      <c r="K3785" s="5">
        <v>0</v>
      </c>
    </row>
    <row r="3786" spans="1:11" x14ac:dyDescent="0.25">
      <c r="A3786" s="5">
        <f>3779</f>
      </c>
      <c r="B3786" s="5" t="s">
        <v>3794</v>
      </c>
      <c r="C3786" s="5">
        <v>100.1</v>
      </c>
      <c r="D3786" s="5">
        <v>0.1</v>
      </c>
      <c r="E3786" s="5">
        <v>100.2</v>
      </c>
      <c r="F3786" s="5">
        <v>200.1</v>
      </c>
      <c r="G3786" s="5">
        <v>99.8</v>
      </c>
      <c r="H3786" s="5">
        <v>99.6</v>
      </c>
      <c r="I3786" s="5">
        <v>0</v>
      </c>
      <c r="J3786" s="5">
        <v>0</v>
      </c>
      <c r="K3786" s="5">
        <v>0</v>
      </c>
    </row>
    <row r="3787" spans="1:11" x14ac:dyDescent="0.25">
      <c r="A3787" s="5">
        <f>3780</f>
      </c>
      <c r="B3787" s="5" t="s">
        <v>3795</v>
      </c>
      <c r="C3787" s="5">
        <v>98.6</v>
      </c>
      <c r="D3787" s="5">
        <v>0.1</v>
      </c>
      <c r="E3787" s="5">
        <v>98.8</v>
      </c>
      <c r="F3787" s="5">
        <v>200.4</v>
      </c>
      <c r="G3787" s="5">
        <v>99.8</v>
      </c>
      <c r="H3787" s="5">
        <v>99.5</v>
      </c>
      <c r="I3787" s="5">
        <v>0</v>
      </c>
      <c r="J3787" s="5">
        <v>0</v>
      </c>
      <c r="K3787" s="5">
        <v>0</v>
      </c>
    </row>
    <row r="3788" spans="1:11" x14ac:dyDescent="0.25">
      <c r="A3788" s="5">
        <f>3781</f>
      </c>
      <c r="B3788" s="5" t="s">
        <v>3796</v>
      </c>
      <c r="C3788" s="5">
        <v>98.6</v>
      </c>
      <c r="D3788" s="5">
        <v>0.1</v>
      </c>
      <c r="E3788" s="5">
        <v>98.8</v>
      </c>
      <c r="F3788" s="5">
        <v>200.4</v>
      </c>
      <c r="G3788" s="5">
        <v>99.8</v>
      </c>
      <c r="H3788" s="5">
        <v>99.5</v>
      </c>
      <c r="I3788" s="5">
        <v>0</v>
      </c>
      <c r="J3788" s="5">
        <v>0</v>
      </c>
      <c r="K3788" s="5">
        <v>0</v>
      </c>
    </row>
    <row r="3789" spans="1:11" x14ac:dyDescent="0.25">
      <c r="A3789" s="5">
        <f>3782</f>
      </c>
      <c r="B3789" s="5" t="s">
        <v>3797</v>
      </c>
      <c r="C3789" s="5">
        <v>100</v>
      </c>
      <c r="D3789" s="5">
        <v>0.1</v>
      </c>
      <c r="E3789" s="5">
        <v>100.2</v>
      </c>
      <c r="F3789" s="5">
        <v>202.8</v>
      </c>
      <c r="G3789" s="5">
        <v>101.1</v>
      </c>
      <c r="H3789" s="5">
        <v>100.8</v>
      </c>
      <c r="I3789" s="5">
        <v>0</v>
      </c>
      <c r="J3789" s="5">
        <v>0</v>
      </c>
      <c r="K3789" s="5">
        <v>0</v>
      </c>
    </row>
    <row r="3790" spans="1:11" x14ac:dyDescent="0.25">
      <c r="A3790" s="5">
        <f>3783</f>
      </c>
      <c r="B3790" s="5" t="s">
        <v>3798</v>
      </c>
      <c r="C3790" s="5">
        <v>100</v>
      </c>
      <c r="D3790" s="5">
        <v>0.1</v>
      </c>
      <c r="E3790" s="5">
        <v>100.2</v>
      </c>
      <c r="F3790" s="5">
        <v>202.8</v>
      </c>
      <c r="G3790" s="5">
        <v>101.1</v>
      </c>
      <c r="H3790" s="5">
        <v>100.8</v>
      </c>
      <c r="I3790" s="5">
        <v>0</v>
      </c>
      <c r="J3790" s="5">
        <v>0</v>
      </c>
      <c r="K3790" s="5">
        <v>0</v>
      </c>
    </row>
    <row r="3791" spans="1:11" x14ac:dyDescent="0.25">
      <c r="A3791" s="5">
        <f>3784</f>
      </c>
      <c r="B3791" s="5" t="s">
        <v>3799</v>
      </c>
      <c r="C3791" s="5">
        <v>97.4</v>
      </c>
      <c r="D3791" s="5">
        <v>0.1</v>
      </c>
      <c r="E3791" s="5">
        <v>97.5</v>
      </c>
      <c r="F3791" s="5">
        <v>207.1</v>
      </c>
      <c r="G3791" s="5">
        <v>103</v>
      </c>
      <c r="H3791" s="5">
        <v>102.5</v>
      </c>
      <c r="I3791" s="5">
        <v>0</v>
      </c>
      <c r="J3791" s="5">
        <v>0</v>
      </c>
      <c r="K3791" s="5">
        <v>0</v>
      </c>
    </row>
    <row r="3792" spans="1:11" x14ac:dyDescent="0.25">
      <c r="A3792" s="5">
        <f>3785</f>
      </c>
      <c r="B3792" s="5" t="s">
        <v>3800</v>
      </c>
      <c r="C3792" s="5">
        <v>97.4</v>
      </c>
      <c r="D3792" s="5">
        <v>0.1</v>
      </c>
      <c r="E3792" s="5">
        <v>97.5</v>
      </c>
      <c r="F3792" s="5">
        <v>207.1</v>
      </c>
      <c r="G3792" s="5">
        <v>103</v>
      </c>
      <c r="H3792" s="5">
        <v>102.5</v>
      </c>
      <c r="I3792" s="5">
        <v>0</v>
      </c>
      <c r="J3792" s="5">
        <v>0</v>
      </c>
      <c r="K3792" s="5">
        <v>0</v>
      </c>
    </row>
    <row r="3793" spans="1:11" x14ac:dyDescent="0.25">
      <c r="A3793" s="5">
        <f>3786</f>
      </c>
      <c r="B3793" s="5" t="s">
        <v>3801</v>
      </c>
      <c r="C3793" s="5">
        <v>97.3</v>
      </c>
      <c r="D3793" s="5">
        <v>0.1</v>
      </c>
      <c r="E3793" s="5">
        <v>97.5</v>
      </c>
      <c r="F3793" s="5">
        <v>200.8</v>
      </c>
      <c r="G3793" s="5">
        <v>101.3</v>
      </c>
      <c r="H3793" s="5">
        <v>101.2</v>
      </c>
      <c r="I3793" s="5">
        <v>0</v>
      </c>
      <c r="J3793" s="5">
        <v>0</v>
      </c>
      <c r="K3793" s="5">
        <v>0</v>
      </c>
    </row>
    <row r="3794" spans="1:11" x14ac:dyDescent="0.25">
      <c r="A3794" s="5">
        <f>3787</f>
      </c>
      <c r="B3794" s="5" t="s">
        <v>3802</v>
      </c>
      <c r="C3794" s="5">
        <v>97.3</v>
      </c>
      <c r="D3794" s="5">
        <v>0.1</v>
      </c>
      <c r="E3794" s="5">
        <v>97.5</v>
      </c>
      <c r="F3794" s="5">
        <v>200.8</v>
      </c>
      <c r="G3794" s="5">
        <v>101.3</v>
      </c>
      <c r="H3794" s="5">
        <v>101.2</v>
      </c>
      <c r="I3794" s="5">
        <v>0</v>
      </c>
      <c r="J3794" s="5">
        <v>0</v>
      </c>
      <c r="K3794" s="5">
        <v>0</v>
      </c>
    </row>
    <row r="3795" spans="1:11" x14ac:dyDescent="0.25">
      <c r="A3795" s="5">
        <f>3788</f>
      </c>
      <c r="B3795" s="5" t="s">
        <v>3803</v>
      </c>
      <c r="C3795" s="5">
        <v>97.3</v>
      </c>
      <c r="D3795" s="5">
        <v>0.1</v>
      </c>
      <c r="E3795" s="5">
        <v>97.5</v>
      </c>
      <c r="F3795" s="5">
        <v>200.8</v>
      </c>
      <c r="G3795" s="5">
        <v>101.3</v>
      </c>
      <c r="H3795" s="5">
        <v>101.2</v>
      </c>
      <c r="I3795" s="5">
        <v>0</v>
      </c>
      <c r="J3795" s="5">
        <v>0</v>
      </c>
      <c r="K3795" s="5">
        <v>0</v>
      </c>
    </row>
    <row r="3796" spans="1:11" x14ac:dyDescent="0.25">
      <c r="A3796" s="5">
        <f>3789</f>
      </c>
      <c r="B3796" s="5" t="s">
        <v>3804</v>
      </c>
      <c r="C3796" s="5">
        <v>97.3</v>
      </c>
      <c r="D3796" s="5">
        <v>0.1</v>
      </c>
      <c r="E3796" s="5">
        <v>97.5</v>
      </c>
      <c r="F3796" s="5">
        <v>200.8</v>
      </c>
      <c r="G3796" s="5">
        <v>101.3</v>
      </c>
      <c r="H3796" s="5">
        <v>101.2</v>
      </c>
      <c r="I3796" s="5">
        <v>0</v>
      </c>
      <c r="J3796" s="5">
        <v>0</v>
      </c>
      <c r="K3796" s="5">
        <v>0</v>
      </c>
    </row>
    <row r="3797" spans="1:11" x14ac:dyDescent="0.25">
      <c r="A3797" s="5">
        <f>3790</f>
      </c>
      <c r="B3797" s="5" t="s">
        <v>3805</v>
      </c>
      <c r="C3797" s="5">
        <v>95.4</v>
      </c>
      <c r="D3797" s="5">
        <v>0.1</v>
      </c>
      <c r="E3797" s="5">
        <v>95.5</v>
      </c>
      <c r="F3797" s="5">
        <v>199.1</v>
      </c>
      <c r="G3797" s="5">
        <v>99.1</v>
      </c>
      <c r="H3797" s="5">
        <v>98.7</v>
      </c>
      <c r="I3797" s="5">
        <v>0</v>
      </c>
      <c r="J3797" s="5">
        <v>0</v>
      </c>
      <c r="K3797" s="5">
        <v>0</v>
      </c>
    </row>
    <row r="3798" spans="1:11" x14ac:dyDescent="0.25">
      <c r="A3798" s="5">
        <f>3791</f>
      </c>
      <c r="B3798" s="5" t="s">
        <v>3806</v>
      </c>
      <c r="C3798" s="5">
        <v>95.4</v>
      </c>
      <c r="D3798" s="5">
        <v>0.1</v>
      </c>
      <c r="E3798" s="5">
        <v>95.5</v>
      </c>
      <c r="F3798" s="5">
        <v>199.1</v>
      </c>
      <c r="G3798" s="5">
        <v>99.1</v>
      </c>
      <c r="H3798" s="5">
        <v>98.7</v>
      </c>
      <c r="I3798" s="5">
        <v>0</v>
      </c>
      <c r="J3798" s="5">
        <v>0</v>
      </c>
      <c r="K3798" s="5">
        <v>0</v>
      </c>
    </row>
    <row r="3799" spans="1:11" x14ac:dyDescent="0.25">
      <c r="A3799" s="5">
        <f>3792</f>
      </c>
      <c r="B3799" s="5" t="s">
        <v>3807</v>
      </c>
      <c r="C3799" s="5">
        <v>100.6</v>
      </c>
      <c r="D3799" s="5">
        <v>0.1</v>
      </c>
      <c r="E3799" s="5">
        <v>100.8</v>
      </c>
      <c r="F3799" s="5">
        <v>199.2</v>
      </c>
      <c r="G3799" s="5">
        <v>99.5</v>
      </c>
      <c r="H3799" s="5">
        <v>99.4</v>
      </c>
      <c r="I3799" s="5">
        <v>0</v>
      </c>
      <c r="J3799" s="5">
        <v>0</v>
      </c>
      <c r="K3799" s="5">
        <v>0</v>
      </c>
    </row>
    <row r="3800" spans="1:11" x14ac:dyDescent="0.25">
      <c r="A3800" s="5">
        <f>3793</f>
      </c>
      <c r="B3800" s="5" t="s">
        <v>3808</v>
      </c>
      <c r="C3800" s="5">
        <v>100.6</v>
      </c>
      <c r="D3800" s="5">
        <v>0.1</v>
      </c>
      <c r="E3800" s="5">
        <v>100.8</v>
      </c>
      <c r="F3800" s="5">
        <v>199.2</v>
      </c>
      <c r="G3800" s="5">
        <v>99.5</v>
      </c>
      <c r="H3800" s="5">
        <v>99.4</v>
      </c>
      <c r="I3800" s="5">
        <v>0</v>
      </c>
      <c r="J3800" s="5">
        <v>0</v>
      </c>
      <c r="K3800" s="5">
        <v>0</v>
      </c>
    </row>
    <row r="3801" spans="1:11" x14ac:dyDescent="0.25">
      <c r="A3801" s="5">
        <f>3794</f>
      </c>
      <c r="B3801" s="5" t="s">
        <v>3809</v>
      </c>
      <c r="C3801" s="5">
        <v>99.5</v>
      </c>
      <c r="D3801" s="5">
        <v>0.1</v>
      </c>
      <c r="E3801" s="5">
        <v>99.6</v>
      </c>
      <c r="F3801" s="5">
        <v>190</v>
      </c>
      <c r="G3801" s="5">
        <v>95.1</v>
      </c>
      <c r="H3801" s="5">
        <v>95.3</v>
      </c>
      <c r="I3801" s="5">
        <v>0</v>
      </c>
      <c r="J3801" s="5">
        <v>0</v>
      </c>
      <c r="K3801" s="5">
        <v>0</v>
      </c>
    </row>
    <row r="3802" spans="1:11" x14ac:dyDescent="0.25">
      <c r="A3802" s="5">
        <f>3795</f>
      </c>
      <c r="B3802" s="5" t="s">
        <v>3810</v>
      </c>
      <c r="C3802" s="5">
        <v>99.5</v>
      </c>
      <c r="D3802" s="5">
        <v>0.1</v>
      </c>
      <c r="E3802" s="5">
        <v>99.6</v>
      </c>
      <c r="F3802" s="5">
        <v>190</v>
      </c>
      <c r="G3802" s="5">
        <v>95.1</v>
      </c>
      <c r="H3802" s="5">
        <v>95.3</v>
      </c>
      <c r="I3802" s="5">
        <v>0</v>
      </c>
      <c r="J3802" s="5">
        <v>0</v>
      </c>
      <c r="K3802" s="5">
        <v>0</v>
      </c>
    </row>
    <row r="3803" spans="1:11" x14ac:dyDescent="0.25">
      <c r="A3803" s="5">
        <f>3796</f>
      </c>
      <c r="B3803" s="5" t="s">
        <v>3811</v>
      </c>
      <c r="C3803" s="5">
        <v>99.3</v>
      </c>
      <c r="D3803" s="5">
        <v>0.1</v>
      </c>
      <c r="E3803" s="5">
        <v>99.4</v>
      </c>
      <c r="F3803" s="5">
        <v>192.7</v>
      </c>
      <c r="G3803" s="5">
        <v>96.4</v>
      </c>
      <c r="H3803" s="5">
        <v>96.5</v>
      </c>
      <c r="I3803" s="5">
        <v>0</v>
      </c>
      <c r="J3803" s="5">
        <v>0</v>
      </c>
      <c r="K3803" s="5">
        <v>0</v>
      </c>
    </row>
    <row r="3804" spans="1:11" x14ac:dyDescent="0.25">
      <c r="A3804" s="5">
        <f>3797</f>
      </c>
      <c r="B3804" s="5" t="s">
        <v>3812</v>
      </c>
      <c r="C3804" s="5">
        <v>99.3</v>
      </c>
      <c r="D3804" s="5">
        <v>0.1</v>
      </c>
      <c r="E3804" s="5">
        <v>99.4</v>
      </c>
      <c r="F3804" s="5">
        <v>192.7</v>
      </c>
      <c r="G3804" s="5">
        <v>96.4</v>
      </c>
      <c r="H3804" s="5">
        <v>96.5</v>
      </c>
      <c r="I3804" s="5">
        <v>0</v>
      </c>
      <c r="J3804" s="5">
        <v>0</v>
      </c>
      <c r="K3804" s="5">
        <v>0</v>
      </c>
    </row>
    <row r="3805" spans="1:11" x14ac:dyDescent="0.25">
      <c r="A3805" s="5">
        <f>3798</f>
      </c>
      <c r="B3805" s="5" t="s">
        <v>3813</v>
      </c>
      <c r="C3805" s="5">
        <v>99.3</v>
      </c>
      <c r="D3805" s="5">
        <v>0.1</v>
      </c>
      <c r="E3805" s="5">
        <v>99.4</v>
      </c>
      <c r="F3805" s="5">
        <v>192.7</v>
      </c>
      <c r="G3805" s="5">
        <v>96.4</v>
      </c>
      <c r="H3805" s="5">
        <v>96.5</v>
      </c>
      <c r="I3805" s="5">
        <v>0</v>
      </c>
      <c r="J3805" s="5">
        <v>0</v>
      </c>
      <c r="K3805" s="5">
        <v>0</v>
      </c>
    </row>
    <row r="3806" spans="1:11" x14ac:dyDescent="0.25">
      <c r="A3806" s="5">
        <f>3799</f>
      </c>
      <c r="B3806" s="5" t="s">
        <v>3814</v>
      </c>
      <c r="C3806" s="5">
        <v>99.3</v>
      </c>
      <c r="D3806" s="5">
        <v>0.1</v>
      </c>
      <c r="E3806" s="5">
        <v>94.8</v>
      </c>
      <c r="F3806" s="5">
        <v>189.3</v>
      </c>
      <c r="G3806" s="5">
        <v>94.4</v>
      </c>
      <c r="H3806" s="5">
        <v>94.2</v>
      </c>
      <c r="I3806" s="5">
        <v>0</v>
      </c>
      <c r="J3806" s="5">
        <v>0</v>
      </c>
      <c r="K3806" s="5">
        <v>0</v>
      </c>
    </row>
    <row r="3807" spans="1:11" x14ac:dyDescent="0.25">
      <c r="A3807" s="5">
        <f>3800</f>
      </c>
      <c r="B3807" s="5" t="s">
        <v>3815</v>
      </c>
      <c r="C3807" s="5">
        <v>94.6</v>
      </c>
      <c r="D3807" s="5">
        <v>0.1</v>
      </c>
      <c r="E3807" s="5">
        <v>94.8</v>
      </c>
      <c r="F3807" s="5">
        <v>189.3</v>
      </c>
      <c r="G3807" s="5">
        <v>94.4</v>
      </c>
      <c r="H3807" s="5">
        <v>94.2</v>
      </c>
      <c r="I3807" s="5">
        <v>0</v>
      </c>
      <c r="J3807" s="5">
        <v>0</v>
      </c>
      <c r="K3807" s="5">
        <v>0</v>
      </c>
    </row>
    <row r="3808" spans="1:11" x14ac:dyDescent="0.25">
      <c r="A3808" s="5">
        <f>3801</f>
      </c>
      <c r="B3808" s="5" t="s">
        <v>3816</v>
      </c>
      <c r="C3808" s="5">
        <v>94.6</v>
      </c>
      <c r="D3808" s="5">
        <v>0.1</v>
      </c>
      <c r="E3808" s="5">
        <v>94.3</v>
      </c>
      <c r="F3808" s="5">
        <v>189.6</v>
      </c>
      <c r="G3808" s="5">
        <v>94.5</v>
      </c>
      <c r="H3808" s="5">
        <v>94.4</v>
      </c>
      <c r="I3808" s="5">
        <v>0</v>
      </c>
      <c r="J3808" s="5">
        <v>0</v>
      </c>
      <c r="K3808" s="5">
        <v>0</v>
      </c>
    </row>
    <row r="3809" spans="1:11" x14ac:dyDescent="0.25">
      <c r="A3809" s="5">
        <f>3802</f>
      </c>
      <c r="B3809" s="5" t="s">
        <v>3817</v>
      </c>
      <c r="C3809" s="5">
        <v>94.2</v>
      </c>
      <c r="D3809" s="5">
        <v>0.1</v>
      </c>
      <c r="E3809" s="5">
        <v>94.3</v>
      </c>
      <c r="F3809" s="5">
        <v>189.6</v>
      </c>
      <c r="G3809" s="5">
        <v>94.5</v>
      </c>
      <c r="H3809" s="5">
        <v>94.4</v>
      </c>
      <c r="I3809" s="5">
        <v>0</v>
      </c>
      <c r="J3809" s="5">
        <v>0</v>
      </c>
      <c r="K3809" s="5">
        <v>0</v>
      </c>
    </row>
    <row r="3810" spans="1:11" x14ac:dyDescent="0.25">
      <c r="A3810" s="5">
        <f>3803</f>
      </c>
      <c r="B3810" s="5" t="s">
        <v>3818</v>
      </c>
      <c r="C3810" s="5">
        <v>94.2</v>
      </c>
      <c r="D3810" s="5">
        <v>0.1</v>
      </c>
      <c r="E3810" s="5">
        <v>94.3</v>
      </c>
      <c r="F3810" s="5">
        <v>187.3</v>
      </c>
      <c r="G3810" s="5">
        <v>93.4</v>
      </c>
      <c r="H3810" s="5">
        <v>93.3</v>
      </c>
      <c r="I3810" s="5">
        <v>0</v>
      </c>
      <c r="J3810" s="5">
        <v>0</v>
      </c>
      <c r="K3810" s="5">
        <v>0</v>
      </c>
    </row>
    <row r="3811" spans="1:11" x14ac:dyDescent="0.25">
      <c r="A3811" s="5">
        <f>3804</f>
      </c>
      <c r="B3811" s="5" t="s">
        <v>3819</v>
      </c>
      <c r="C3811" s="5">
        <v>92.9</v>
      </c>
      <c r="D3811" s="5">
        <v>0.1</v>
      </c>
      <c r="E3811" s="5">
        <v>93</v>
      </c>
      <c r="F3811" s="5">
        <v>187.3</v>
      </c>
      <c r="G3811" s="5">
        <v>93.4</v>
      </c>
      <c r="H3811" s="5">
        <v>93.3</v>
      </c>
      <c r="I3811" s="5">
        <v>0</v>
      </c>
      <c r="J3811" s="5">
        <v>0</v>
      </c>
      <c r="K3811" s="5">
        <v>0</v>
      </c>
    </row>
    <row r="3812" spans="1:11" x14ac:dyDescent="0.25">
      <c r="A3812" s="5">
        <f>3805</f>
      </c>
      <c r="B3812" s="5" t="s">
        <v>3820</v>
      </c>
      <c r="C3812" s="5">
        <v>92.9</v>
      </c>
      <c r="D3812" s="5">
        <v>0.1</v>
      </c>
      <c r="E3812" s="5">
        <v>93</v>
      </c>
      <c r="F3812" s="5">
        <v>187.3</v>
      </c>
      <c r="G3812" s="5">
        <v>93.4</v>
      </c>
      <c r="H3812" s="5">
        <v>95.3</v>
      </c>
      <c r="I3812" s="5">
        <v>0</v>
      </c>
      <c r="J3812" s="5">
        <v>0</v>
      </c>
      <c r="K3812" s="5">
        <v>0</v>
      </c>
    </row>
    <row r="3813" spans="1:11" x14ac:dyDescent="0.25">
      <c r="A3813" s="5">
        <f>3806</f>
      </c>
      <c r="B3813" s="5" t="s">
        <v>3821</v>
      </c>
      <c r="C3813" s="5">
        <v>93.4</v>
      </c>
      <c r="D3813" s="5">
        <v>0.1</v>
      </c>
      <c r="E3813" s="5">
        <v>93.5</v>
      </c>
      <c r="F3813" s="5">
        <v>192</v>
      </c>
      <c r="G3813" s="5">
        <v>95.6</v>
      </c>
      <c r="H3813" s="5">
        <v>95.3</v>
      </c>
      <c r="I3813" s="5">
        <v>0</v>
      </c>
      <c r="J3813" s="5">
        <v>0</v>
      </c>
      <c r="K3813" s="5">
        <v>0</v>
      </c>
    </row>
    <row r="3814" spans="1:11" x14ac:dyDescent="0.25">
      <c r="A3814" s="5">
        <f>3807</f>
      </c>
      <c r="B3814" s="5" t="s">
        <v>3822</v>
      </c>
      <c r="C3814" s="5">
        <v>93.4</v>
      </c>
      <c r="D3814" s="5">
        <v>0.1</v>
      </c>
      <c r="E3814" s="5">
        <v>93.5</v>
      </c>
      <c r="F3814" s="5">
        <v>192</v>
      </c>
      <c r="G3814" s="5">
        <v>95.6</v>
      </c>
      <c r="H3814" s="5">
        <v>95.3</v>
      </c>
      <c r="I3814" s="5">
        <v>0</v>
      </c>
      <c r="J3814" s="5">
        <v>0</v>
      </c>
      <c r="K3814" s="5">
        <v>0</v>
      </c>
    </row>
    <row r="3815" spans="1:11" x14ac:dyDescent="0.25">
      <c r="A3815" s="5">
        <f>3808</f>
      </c>
      <c r="B3815" s="5" t="s">
        <v>3823</v>
      </c>
      <c r="C3815" s="5">
        <v>93.4</v>
      </c>
      <c r="D3815" s="5">
        <v>0.1</v>
      </c>
      <c r="E3815" s="5">
        <v>93.5</v>
      </c>
      <c r="F3815" s="5">
        <v>192</v>
      </c>
      <c r="G3815" s="5">
        <v>95.6</v>
      </c>
      <c r="H3815" s="5">
        <v>95.3</v>
      </c>
      <c r="I3815" s="5">
        <v>0</v>
      </c>
      <c r="J3815" s="5">
        <v>0</v>
      </c>
      <c r="K3815" s="5">
        <v>0</v>
      </c>
    </row>
    <row r="3816" spans="1:11" x14ac:dyDescent="0.25">
      <c r="A3816" s="5">
        <f>3809</f>
      </c>
      <c r="B3816" s="5" t="s">
        <v>3824</v>
      </c>
      <c r="C3816" s="5">
        <v>100.1</v>
      </c>
      <c r="D3816" s="5">
        <v>0.1</v>
      </c>
      <c r="E3816" s="5">
        <v>100.2</v>
      </c>
      <c r="F3816" s="5">
        <v>194.1</v>
      </c>
      <c r="G3816" s="5">
        <v>97</v>
      </c>
      <c r="H3816" s="5">
        <v>97</v>
      </c>
      <c r="I3816" s="5">
        <v>0</v>
      </c>
      <c r="J3816" s="5">
        <v>0</v>
      </c>
      <c r="K3816" s="5">
        <v>0</v>
      </c>
    </row>
    <row r="3817" spans="1:11" x14ac:dyDescent="0.25">
      <c r="A3817" s="5">
        <f>3810</f>
      </c>
      <c r="B3817" s="5" t="s">
        <v>3825</v>
      </c>
      <c r="C3817" s="5">
        <v>100.1</v>
      </c>
      <c r="D3817" s="5">
        <v>0.1</v>
      </c>
      <c r="E3817" s="5">
        <v>100.2</v>
      </c>
      <c r="F3817" s="5">
        <v>194.1</v>
      </c>
      <c r="G3817" s="5">
        <v>97</v>
      </c>
      <c r="H3817" s="5">
        <v>97</v>
      </c>
      <c r="I3817" s="5">
        <v>0</v>
      </c>
      <c r="J3817" s="5">
        <v>0</v>
      </c>
      <c r="K3817" s="5">
        <v>0</v>
      </c>
    </row>
    <row r="3818" spans="1:11" x14ac:dyDescent="0.25">
      <c r="A3818" s="5">
        <f>3811</f>
      </c>
      <c r="B3818" s="5" t="s">
        <v>3826</v>
      </c>
      <c r="C3818" s="5">
        <v>99.8</v>
      </c>
      <c r="D3818" s="5">
        <v>0.1</v>
      </c>
      <c r="E3818" s="5">
        <v>99.9</v>
      </c>
      <c r="F3818" s="5">
        <v>198.4</v>
      </c>
      <c r="G3818" s="5">
        <v>99</v>
      </c>
      <c r="H3818" s="5">
        <v>98.9</v>
      </c>
      <c r="I3818" s="5">
        <v>0</v>
      </c>
      <c r="J3818" s="5">
        <v>0</v>
      </c>
      <c r="K3818" s="5">
        <v>0</v>
      </c>
    </row>
    <row r="3819" spans="1:11" x14ac:dyDescent="0.25">
      <c r="A3819" s="5">
        <f>3812</f>
      </c>
      <c r="B3819" s="5" t="s">
        <v>3827</v>
      </c>
      <c r="C3819" s="5">
        <v>99.8</v>
      </c>
      <c r="D3819" s="5">
        <v>0.1</v>
      </c>
      <c r="E3819" s="5">
        <v>99.9</v>
      </c>
      <c r="F3819" s="5">
        <v>198.4</v>
      </c>
      <c r="G3819" s="5">
        <v>99</v>
      </c>
      <c r="H3819" s="5">
        <v>98.9</v>
      </c>
      <c r="I3819" s="5">
        <v>0</v>
      </c>
      <c r="J3819" s="5">
        <v>0</v>
      </c>
      <c r="K3819" s="5">
        <v>0</v>
      </c>
    </row>
    <row r="3820" spans="1:11" x14ac:dyDescent="0.25">
      <c r="A3820" s="5">
        <f>3813</f>
      </c>
      <c r="B3820" s="5" t="s">
        <v>3828</v>
      </c>
      <c r="C3820" s="5">
        <v>100.3</v>
      </c>
      <c r="D3820" s="5">
        <v>0.1</v>
      </c>
      <c r="E3820" s="5">
        <v>100.5</v>
      </c>
      <c r="F3820" s="5">
        <v>200.5</v>
      </c>
      <c r="G3820" s="5">
        <v>100.1</v>
      </c>
      <c r="H3820" s="5">
        <v>99.9</v>
      </c>
      <c r="I3820" s="5">
        <v>0</v>
      </c>
      <c r="J3820" s="5">
        <v>0</v>
      </c>
      <c r="K3820" s="5">
        <v>0</v>
      </c>
    </row>
    <row r="3821" spans="1:11" x14ac:dyDescent="0.25">
      <c r="A3821" s="5">
        <f>3814</f>
      </c>
      <c r="B3821" s="5" t="s">
        <v>3829</v>
      </c>
      <c r="C3821" s="5">
        <v>100.3</v>
      </c>
      <c r="D3821" s="5">
        <v>0.1</v>
      </c>
      <c r="E3821" s="5">
        <v>100.5</v>
      </c>
      <c r="F3821" s="5">
        <v>200.5</v>
      </c>
      <c r="G3821" s="5">
        <v>100.1</v>
      </c>
      <c r="H3821" s="5">
        <v>99.9</v>
      </c>
      <c r="I3821" s="5">
        <v>0</v>
      </c>
      <c r="J3821" s="5">
        <v>0</v>
      </c>
      <c r="K3821" s="5">
        <v>0</v>
      </c>
    </row>
    <row r="3822" spans="1:11" x14ac:dyDescent="0.25">
      <c r="A3822" s="5">
        <f>3815</f>
      </c>
      <c r="B3822" s="5" t="s">
        <v>3830</v>
      </c>
      <c r="C3822" s="5">
        <v>100.1</v>
      </c>
      <c r="D3822" s="5">
        <v>0.1</v>
      </c>
      <c r="E3822" s="5">
        <v>100.2</v>
      </c>
      <c r="F3822" s="5">
        <v>198.9</v>
      </c>
      <c r="G3822" s="5">
        <v>99.3</v>
      </c>
      <c r="H3822" s="5">
        <v>99.2</v>
      </c>
      <c r="I3822" s="5">
        <v>0</v>
      </c>
      <c r="J3822" s="5">
        <v>0</v>
      </c>
      <c r="K3822" s="5">
        <v>0</v>
      </c>
    </row>
    <row r="3823" spans="1:11" x14ac:dyDescent="0.25">
      <c r="A3823" s="5">
        <f>3816</f>
      </c>
      <c r="B3823" s="5" t="s">
        <v>3831</v>
      </c>
      <c r="C3823" s="5">
        <v>100.1</v>
      </c>
      <c r="D3823" s="5">
        <v>0.1</v>
      </c>
      <c r="E3823" s="5">
        <v>100.2</v>
      </c>
      <c r="F3823" s="5">
        <v>198.9</v>
      </c>
      <c r="G3823" s="5">
        <v>99.3</v>
      </c>
      <c r="H3823" s="5">
        <v>99.2</v>
      </c>
      <c r="I3823" s="5">
        <v>0</v>
      </c>
      <c r="J3823" s="5">
        <v>0</v>
      </c>
      <c r="K3823" s="5">
        <v>0</v>
      </c>
    </row>
    <row r="3824" spans="1:11" x14ac:dyDescent="0.25">
      <c r="A3824" s="5">
        <f>3817</f>
      </c>
      <c r="B3824" s="5" t="s">
        <v>3832</v>
      </c>
      <c r="C3824" s="5">
        <v>100.1</v>
      </c>
      <c r="D3824" s="5">
        <v>0.1</v>
      </c>
      <c r="E3824" s="5">
        <v>100.2</v>
      </c>
      <c r="F3824" s="5">
        <v>198.9</v>
      </c>
      <c r="G3824" s="5">
        <v>99.3</v>
      </c>
      <c r="H3824" s="5">
        <v>99.2</v>
      </c>
      <c r="I3824" s="5">
        <v>0</v>
      </c>
      <c r="J3824" s="5">
        <v>0</v>
      </c>
      <c r="K3824" s="5">
        <v>0</v>
      </c>
    </row>
    <row r="3825" spans="1:11" x14ac:dyDescent="0.25">
      <c r="A3825" s="5">
        <f>3818</f>
      </c>
      <c r="B3825" s="5" t="s">
        <v>3833</v>
      </c>
      <c r="C3825" s="5">
        <v>100.1</v>
      </c>
      <c r="D3825" s="5">
        <v>0.1</v>
      </c>
      <c r="E3825" s="5">
        <v>100.2</v>
      </c>
      <c r="F3825" s="5">
        <v>198.9</v>
      </c>
      <c r="G3825" s="5">
        <v>99.3</v>
      </c>
      <c r="H3825" s="5">
        <v>99.2</v>
      </c>
      <c r="I3825" s="5">
        <v>0</v>
      </c>
      <c r="J3825" s="5">
        <v>0</v>
      </c>
      <c r="K3825" s="5">
        <v>0</v>
      </c>
    </row>
    <row r="3826" spans="1:11" x14ac:dyDescent="0.25">
      <c r="A3826" s="5">
        <f>3819</f>
      </c>
      <c r="B3826" s="5" t="s">
        <v>3834</v>
      </c>
      <c r="C3826" s="5">
        <v>100.1</v>
      </c>
      <c r="D3826" s="5">
        <v>0.1</v>
      </c>
      <c r="E3826" s="5">
        <v>100.2</v>
      </c>
      <c r="F3826" s="5">
        <v>199.5</v>
      </c>
      <c r="G3826" s="5">
        <v>99.5</v>
      </c>
      <c r="H3826" s="5">
        <v>99.4</v>
      </c>
      <c r="I3826" s="5">
        <v>0</v>
      </c>
      <c r="J3826" s="5">
        <v>0</v>
      </c>
      <c r="K3826" s="5">
        <v>0</v>
      </c>
    </row>
    <row r="3827" spans="1:11" x14ac:dyDescent="0.25">
      <c r="A3827" s="5">
        <f>3820</f>
      </c>
      <c r="B3827" s="5" t="s">
        <v>3835</v>
      </c>
      <c r="C3827" s="5">
        <v>100.1</v>
      </c>
      <c r="D3827" s="5">
        <v>0.1</v>
      </c>
      <c r="E3827" s="5">
        <v>100.2</v>
      </c>
      <c r="F3827" s="5">
        <v>199.5</v>
      </c>
      <c r="G3827" s="5">
        <v>99.5</v>
      </c>
      <c r="H3827" s="5">
        <v>99.4</v>
      </c>
      <c r="I3827" s="5">
        <v>0</v>
      </c>
      <c r="J3827" s="5">
        <v>0</v>
      </c>
      <c r="K3827" s="5">
        <v>0</v>
      </c>
    </row>
    <row r="3828" spans="1:11" x14ac:dyDescent="0.25">
      <c r="A3828" s="5">
        <f>3821</f>
      </c>
      <c r="B3828" s="5" t="s">
        <v>3836</v>
      </c>
      <c r="C3828" s="5">
        <v>98.3</v>
      </c>
      <c r="D3828" s="5">
        <v>0.1</v>
      </c>
      <c r="E3828" s="5">
        <v>98.5</v>
      </c>
      <c r="F3828" s="5">
        <v>196.8</v>
      </c>
      <c r="G3828" s="5">
        <v>98.2</v>
      </c>
      <c r="H3828" s="5">
        <v>98.2</v>
      </c>
      <c r="I3828" s="5">
        <v>0</v>
      </c>
      <c r="J3828" s="5">
        <v>0</v>
      </c>
      <c r="K3828" s="5">
        <v>0</v>
      </c>
    </row>
    <row r="3829" spans="1:11" x14ac:dyDescent="0.25">
      <c r="A3829" s="5">
        <f>3822</f>
      </c>
      <c r="B3829" s="5" t="s">
        <v>3837</v>
      </c>
      <c r="C3829" s="5">
        <v>98.3</v>
      </c>
      <c r="D3829" s="5">
        <v>0.1</v>
      </c>
      <c r="E3829" s="5">
        <v>98.5</v>
      </c>
      <c r="F3829" s="5">
        <v>196.8</v>
      </c>
      <c r="G3829" s="5">
        <v>98.2</v>
      </c>
      <c r="H3829" s="5">
        <v>98.2</v>
      </c>
      <c r="I3829" s="5">
        <v>0</v>
      </c>
      <c r="J3829" s="5">
        <v>0</v>
      </c>
      <c r="K3829" s="5">
        <v>0</v>
      </c>
    </row>
    <row r="3830" spans="1:11" x14ac:dyDescent="0.25">
      <c r="A3830" s="5">
        <f>3823</f>
      </c>
      <c r="B3830" s="5" t="s">
        <v>3838</v>
      </c>
      <c r="C3830" s="5">
        <v>98.9</v>
      </c>
      <c r="D3830" s="5">
        <v>0.1</v>
      </c>
      <c r="E3830" s="5">
        <v>99</v>
      </c>
      <c r="F3830" s="5">
        <v>196.9</v>
      </c>
      <c r="G3830" s="5">
        <v>98.3</v>
      </c>
      <c r="H3830" s="5">
        <v>98.1</v>
      </c>
      <c r="I3830" s="5">
        <v>0</v>
      </c>
      <c r="J3830" s="5">
        <v>0</v>
      </c>
      <c r="K3830" s="5">
        <v>0</v>
      </c>
    </row>
    <row r="3831" spans="1:11" x14ac:dyDescent="0.25">
      <c r="A3831" s="5">
        <f>3824</f>
      </c>
      <c r="B3831" s="5" t="s">
        <v>3839</v>
      </c>
      <c r="C3831" s="5">
        <v>98.9</v>
      </c>
      <c r="D3831" s="5">
        <v>0.1</v>
      </c>
      <c r="E3831" s="5">
        <v>99</v>
      </c>
      <c r="F3831" s="5">
        <v>196.9</v>
      </c>
      <c r="G3831" s="5">
        <v>98.3</v>
      </c>
      <c r="H3831" s="5">
        <v>98.1</v>
      </c>
      <c r="I3831" s="5">
        <v>0</v>
      </c>
      <c r="J3831" s="5">
        <v>0</v>
      </c>
      <c r="K3831" s="5">
        <v>0</v>
      </c>
    </row>
    <row r="3832" spans="1:11" x14ac:dyDescent="0.25">
      <c r="A3832" s="5">
        <f>3825</f>
      </c>
      <c r="B3832" s="5" t="s">
        <v>3840</v>
      </c>
      <c r="C3832" s="5">
        <v>91.7</v>
      </c>
      <c r="D3832" s="5">
        <v>0.1</v>
      </c>
      <c r="E3832" s="5">
        <v>91.8</v>
      </c>
      <c r="F3832" s="5">
        <v>188.2</v>
      </c>
      <c r="G3832" s="5">
        <v>93.3</v>
      </c>
      <c r="H3832" s="5">
        <v>93.1</v>
      </c>
      <c r="I3832" s="5">
        <v>0</v>
      </c>
      <c r="J3832" s="5">
        <v>0</v>
      </c>
      <c r="K3832" s="5">
        <v>0</v>
      </c>
    </row>
    <row r="3833" spans="1:11" x14ac:dyDescent="0.25">
      <c r="A3833" s="5">
        <f>3826</f>
      </c>
      <c r="B3833" s="5" t="s">
        <v>3841</v>
      </c>
      <c r="C3833" s="5">
        <v>91.7</v>
      </c>
      <c r="D3833" s="5">
        <v>0.1</v>
      </c>
      <c r="E3833" s="5">
        <v>91.8</v>
      </c>
      <c r="F3833" s="5">
        <v>188.2</v>
      </c>
      <c r="G3833" s="5">
        <v>93.3</v>
      </c>
      <c r="H3833" s="5">
        <v>93.1</v>
      </c>
      <c r="I3833" s="5">
        <v>0</v>
      </c>
      <c r="J3833" s="5">
        <v>0</v>
      </c>
      <c r="K3833" s="5">
        <v>0</v>
      </c>
    </row>
    <row r="3834" spans="1:11" x14ac:dyDescent="0.25">
      <c r="A3834" s="5">
        <f>3827</f>
      </c>
      <c r="B3834" s="5" t="s">
        <v>3842</v>
      </c>
      <c r="C3834" s="5">
        <v>91.7</v>
      </c>
      <c r="D3834" s="5">
        <v>0.1</v>
      </c>
      <c r="E3834" s="5">
        <v>91.8</v>
      </c>
      <c r="F3834" s="5">
        <v>188.2</v>
      </c>
      <c r="G3834" s="5">
        <v>93.3</v>
      </c>
      <c r="H3834" s="5">
        <v>93.1</v>
      </c>
      <c r="I3834" s="5">
        <v>0</v>
      </c>
      <c r="J3834" s="5">
        <v>0</v>
      </c>
      <c r="K3834" s="5">
        <v>0</v>
      </c>
    </row>
    <row r="3835" spans="1:11" x14ac:dyDescent="0.25">
      <c r="A3835" s="5">
        <f>3828</f>
      </c>
      <c r="B3835" s="5" t="s">
        <v>3843</v>
      </c>
      <c r="C3835" s="5">
        <v>91.7</v>
      </c>
      <c r="D3835" s="5">
        <v>0.1</v>
      </c>
      <c r="E3835" s="5">
        <v>91.8</v>
      </c>
      <c r="F3835" s="5">
        <v>188.2</v>
      </c>
      <c r="G3835" s="5">
        <v>93.3</v>
      </c>
      <c r="H3835" s="5">
        <v>93.1</v>
      </c>
      <c r="I3835" s="5">
        <v>0</v>
      </c>
      <c r="J3835" s="5">
        <v>0</v>
      </c>
      <c r="K3835" s="5">
        <v>0</v>
      </c>
    </row>
    <row r="3836" spans="1:11" x14ac:dyDescent="0.25">
      <c r="A3836" s="5">
        <f>3829</f>
      </c>
      <c r="B3836" s="5" t="s">
        <v>3844</v>
      </c>
      <c r="C3836" s="5">
        <v>98.2</v>
      </c>
      <c r="D3836" s="5">
        <v>0.1</v>
      </c>
      <c r="E3836" s="5">
        <v>98.3</v>
      </c>
      <c r="F3836" s="5">
        <v>187.2</v>
      </c>
      <c r="G3836" s="5">
        <v>93.7</v>
      </c>
      <c r="H3836" s="5">
        <v>93.9</v>
      </c>
      <c r="I3836" s="5">
        <v>0</v>
      </c>
      <c r="J3836" s="5">
        <v>0</v>
      </c>
      <c r="K3836" s="5">
        <v>0</v>
      </c>
    </row>
    <row r="3837" spans="1:11" x14ac:dyDescent="0.25">
      <c r="A3837" s="5">
        <f>3830</f>
      </c>
      <c r="B3837" s="5" t="s">
        <v>3845</v>
      </c>
      <c r="C3837" s="5">
        <v>98.2</v>
      </c>
      <c r="D3837" s="5">
        <v>0.1</v>
      </c>
      <c r="E3837" s="5">
        <v>98.3</v>
      </c>
      <c r="F3837" s="5">
        <v>187.2</v>
      </c>
      <c r="G3837" s="5">
        <v>93.7</v>
      </c>
      <c r="H3837" s="5">
        <v>93.9</v>
      </c>
      <c r="I3837" s="5">
        <v>0</v>
      </c>
      <c r="J3837" s="5">
        <v>0</v>
      </c>
      <c r="K3837" s="5">
        <v>0</v>
      </c>
    </row>
    <row r="3838" spans="1:11" x14ac:dyDescent="0.25">
      <c r="A3838" s="5">
        <f>3831</f>
      </c>
      <c r="B3838" s="5" t="s">
        <v>3846</v>
      </c>
      <c r="C3838" s="5">
        <v>98.2</v>
      </c>
      <c r="D3838" s="5">
        <v>0.1</v>
      </c>
      <c r="E3838" s="5">
        <v>98.3</v>
      </c>
      <c r="F3838" s="5">
        <v>187.2</v>
      </c>
      <c r="G3838" s="5">
        <v>93.7</v>
      </c>
      <c r="H3838" s="5">
        <v>93.9</v>
      </c>
      <c r="I3838" s="5">
        <v>0</v>
      </c>
      <c r="J3838" s="5">
        <v>0</v>
      </c>
      <c r="K3838" s="5">
        <v>0</v>
      </c>
    </row>
    <row r="3839" spans="1:11" x14ac:dyDescent="0.25">
      <c r="A3839" s="5">
        <f>3832</f>
      </c>
      <c r="B3839" s="5" t="s">
        <v>3847</v>
      </c>
      <c r="C3839" s="5">
        <v>98.2</v>
      </c>
      <c r="D3839" s="5">
        <v>0.1</v>
      </c>
      <c r="E3839" s="5">
        <v>98.3</v>
      </c>
      <c r="F3839" s="5">
        <v>187.2</v>
      </c>
      <c r="G3839" s="5">
        <v>93.7</v>
      </c>
      <c r="H3839" s="5">
        <v>93.9</v>
      </c>
      <c r="I3839" s="5">
        <v>0</v>
      </c>
      <c r="J3839" s="5">
        <v>0</v>
      </c>
      <c r="K3839" s="5">
        <v>0</v>
      </c>
    </row>
    <row r="3840" spans="1:11" x14ac:dyDescent="0.25">
      <c r="A3840" s="5">
        <f>3833</f>
      </c>
      <c r="B3840" s="5" t="s">
        <v>3848</v>
      </c>
      <c r="C3840" s="5">
        <v>99.9</v>
      </c>
      <c r="D3840" s="5">
        <v>0.1</v>
      </c>
      <c r="E3840" s="5">
        <v>100.1</v>
      </c>
      <c r="F3840" s="5">
        <v>187.2</v>
      </c>
      <c r="G3840" s="5">
        <v>93.7</v>
      </c>
      <c r="H3840" s="5">
        <v>93.9</v>
      </c>
      <c r="I3840" s="5">
        <v>0</v>
      </c>
      <c r="J3840" s="5">
        <v>0</v>
      </c>
      <c r="K3840" s="5">
        <v>0</v>
      </c>
    </row>
    <row r="3841" spans="1:11" x14ac:dyDescent="0.25">
      <c r="A3841" s="5">
        <f>3834</f>
      </c>
      <c r="B3841" s="5" t="s">
        <v>3849</v>
      </c>
      <c r="C3841" s="5">
        <v>99.9</v>
      </c>
      <c r="D3841" s="5">
        <v>0.1</v>
      </c>
      <c r="E3841" s="5">
        <v>100.1</v>
      </c>
      <c r="F3841" s="5">
        <v>199.1</v>
      </c>
      <c r="G3841" s="5">
        <v>99.3</v>
      </c>
      <c r="H3841" s="5">
        <v>99.2</v>
      </c>
      <c r="I3841" s="5">
        <v>0</v>
      </c>
      <c r="J3841" s="5">
        <v>0</v>
      </c>
      <c r="K3841" s="5">
        <v>0</v>
      </c>
    </row>
    <row r="3842" spans="1:11" x14ac:dyDescent="0.25">
      <c r="A3842" s="5">
        <f>3835</f>
      </c>
      <c r="B3842" s="5" t="s">
        <v>3850</v>
      </c>
      <c r="C3842" s="5">
        <v>99.4</v>
      </c>
      <c r="D3842" s="5">
        <v>0.1</v>
      </c>
      <c r="E3842" s="5">
        <v>100.1</v>
      </c>
      <c r="F3842" s="5">
        <v>199.1</v>
      </c>
      <c r="G3842" s="5">
        <v>99.3</v>
      </c>
      <c r="H3842" s="5">
        <v>99.2</v>
      </c>
      <c r="I3842" s="5">
        <v>0</v>
      </c>
      <c r="J3842" s="5">
        <v>0</v>
      </c>
      <c r="K3842" s="5">
        <v>0</v>
      </c>
    </row>
    <row r="3843" spans="1:11" x14ac:dyDescent="0.25">
      <c r="A3843" s="5">
        <f>3836</f>
      </c>
      <c r="B3843" s="5" t="s">
        <v>3851</v>
      </c>
      <c r="C3843" s="5">
        <v>99.4</v>
      </c>
      <c r="D3843" s="5">
        <v>0.1</v>
      </c>
      <c r="E3843" s="5">
        <v>99.5</v>
      </c>
      <c r="F3843" s="5">
        <v>197.7</v>
      </c>
      <c r="G3843" s="5">
        <v>98.6</v>
      </c>
      <c r="H3843" s="5">
        <v>98.5</v>
      </c>
      <c r="I3843" s="5">
        <v>0</v>
      </c>
      <c r="J3843" s="5">
        <v>0</v>
      </c>
      <c r="K3843" s="5">
        <v>0</v>
      </c>
    </row>
    <row r="3844" spans="1:11" x14ac:dyDescent="0.25">
      <c r="A3844" s="5">
        <f>3837</f>
      </c>
      <c r="B3844" s="5" t="s">
        <v>3852</v>
      </c>
      <c r="C3844" s="5">
        <v>99.4</v>
      </c>
      <c r="D3844" s="5">
        <v>0.1</v>
      </c>
      <c r="E3844" s="5">
        <v>99.5</v>
      </c>
      <c r="F3844" s="5">
        <v>197.7</v>
      </c>
      <c r="G3844" s="5">
        <v>98.6</v>
      </c>
      <c r="H3844" s="5">
        <v>98.5</v>
      </c>
      <c r="I3844" s="5">
        <v>0</v>
      </c>
      <c r="J3844" s="5">
        <v>0</v>
      </c>
      <c r="K3844" s="5">
        <v>0</v>
      </c>
    </row>
    <row r="3845" spans="1:11" x14ac:dyDescent="0.25">
      <c r="A3845" s="5">
        <f>3838</f>
      </c>
      <c r="B3845" s="5" t="s">
        <v>3853</v>
      </c>
      <c r="C3845" s="5">
        <v>99.4</v>
      </c>
      <c r="D3845" s="5">
        <v>0.1</v>
      </c>
      <c r="E3845" s="5">
        <v>99.5</v>
      </c>
      <c r="F3845" s="5">
        <v>197.7</v>
      </c>
      <c r="G3845" s="5">
        <v>98.6</v>
      </c>
      <c r="H3845" s="5">
        <v>98.5</v>
      </c>
      <c r="I3845" s="5">
        <v>0</v>
      </c>
      <c r="J3845" s="5">
        <v>0</v>
      </c>
      <c r="K3845" s="5">
        <v>0</v>
      </c>
    </row>
    <row r="3846" spans="1:11" x14ac:dyDescent="0.25">
      <c r="A3846" s="5">
        <f>3839</f>
      </c>
      <c r="B3846" s="5" t="s">
        <v>3854</v>
      </c>
      <c r="C3846" s="5">
        <v>98.4</v>
      </c>
      <c r="D3846" s="5">
        <v>0.1</v>
      </c>
      <c r="E3846" s="5">
        <v>98.6</v>
      </c>
      <c r="F3846" s="5">
        <v>198.1</v>
      </c>
      <c r="G3846" s="5">
        <v>98.8</v>
      </c>
      <c r="H3846" s="5">
        <v>98.6</v>
      </c>
      <c r="I3846" s="5">
        <v>0</v>
      </c>
      <c r="J3846" s="5">
        <v>0</v>
      </c>
      <c r="K3846" s="5">
        <v>0</v>
      </c>
    </row>
    <row r="3847" spans="1:11" x14ac:dyDescent="0.25">
      <c r="A3847" s="5">
        <f>3840</f>
      </c>
      <c r="B3847" s="5" t="s">
        <v>3855</v>
      </c>
      <c r="C3847" s="5">
        <v>98.4</v>
      </c>
      <c r="D3847" s="5">
        <v>0.1</v>
      </c>
      <c r="E3847" s="5">
        <v>98.6</v>
      </c>
      <c r="F3847" s="5">
        <v>198.1</v>
      </c>
      <c r="G3847" s="5">
        <v>98.8</v>
      </c>
      <c r="H3847" s="5">
        <v>98.6</v>
      </c>
      <c r="I3847" s="5">
        <v>0</v>
      </c>
      <c r="J3847" s="5">
        <v>0</v>
      </c>
      <c r="K3847" s="5">
        <v>0</v>
      </c>
    </row>
    <row r="3848" spans="1:11" x14ac:dyDescent="0.25">
      <c r="A3848" s="5">
        <f>3841</f>
      </c>
      <c r="B3848" s="5" t="s">
        <v>3856</v>
      </c>
      <c r="C3848" s="5">
        <v>94.2</v>
      </c>
      <c r="D3848" s="5">
        <v>0.1</v>
      </c>
      <c r="E3848" s="5">
        <v>94.4</v>
      </c>
      <c r="F3848" s="5">
        <v>192.1</v>
      </c>
      <c r="G3848" s="5">
        <v>99.2</v>
      </c>
      <c r="H3848" s="5">
        <v>99.1</v>
      </c>
      <c r="I3848" s="5">
        <v>0</v>
      </c>
      <c r="J3848" s="5">
        <v>0</v>
      </c>
      <c r="K3848" s="5">
        <v>0</v>
      </c>
    </row>
    <row r="3849" spans="1:11" x14ac:dyDescent="0.25">
      <c r="A3849" s="5">
        <f>3842</f>
      </c>
      <c r="B3849" s="5" t="s">
        <v>3857</v>
      </c>
      <c r="C3849" s="5">
        <v>94.2</v>
      </c>
      <c r="D3849" s="5">
        <v>0.1</v>
      </c>
      <c r="E3849" s="5">
        <v>94.4</v>
      </c>
      <c r="F3849" s="5">
        <v>192.1</v>
      </c>
      <c r="G3849" s="5">
        <v>99.2</v>
      </c>
      <c r="H3849" s="5">
        <v>99.1</v>
      </c>
      <c r="I3849" s="5">
        <v>0</v>
      </c>
      <c r="J3849" s="5">
        <v>0</v>
      </c>
      <c r="K3849" s="5">
        <v>0</v>
      </c>
    </row>
    <row r="3850" spans="1:11" x14ac:dyDescent="0.25">
      <c r="A3850" s="5">
        <f>3843</f>
      </c>
      <c r="B3850" s="5" t="s">
        <v>3858</v>
      </c>
      <c r="C3850" s="5">
        <v>96</v>
      </c>
      <c r="D3850" s="5">
        <v>0.1</v>
      </c>
      <c r="E3850" s="5">
        <v>96.1</v>
      </c>
      <c r="F3850" s="5">
        <v>190.9</v>
      </c>
      <c r="G3850" s="5">
        <v>97.9</v>
      </c>
      <c r="H3850" s="5">
        <v>97.6</v>
      </c>
      <c r="I3850" s="5">
        <v>0</v>
      </c>
      <c r="J3850" s="5">
        <v>0</v>
      </c>
      <c r="K3850" s="5">
        <v>0</v>
      </c>
    </row>
    <row r="3851" spans="1:11" x14ac:dyDescent="0.25">
      <c r="A3851" s="5">
        <f>3844</f>
      </c>
      <c r="B3851" s="5" t="s">
        <v>3859</v>
      </c>
      <c r="C3851" s="5">
        <v>96</v>
      </c>
      <c r="D3851" s="5">
        <v>0.1</v>
      </c>
      <c r="E3851" s="5">
        <v>96.1</v>
      </c>
      <c r="F3851" s="5">
        <v>190.9</v>
      </c>
      <c r="G3851" s="5">
        <v>97.9</v>
      </c>
      <c r="H3851" s="5">
        <v>97.6</v>
      </c>
      <c r="I3851" s="5">
        <v>0</v>
      </c>
      <c r="J3851" s="5">
        <v>0</v>
      </c>
      <c r="K3851" s="5">
        <v>0</v>
      </c>
    </row>
    <row r="3852" spans="1:11" x14ac:dyDescent="0.25">
      <c r="A3852" s="5">
        <f>3845</f>
      </c>
      <c r="B3852" s="5" t="s">
        <v>3860</v>
      </c>
      <c r="C3852" s="5">
        <v>93.2</v>
      </c>
      <c r="D3852" s="5">
        <v>0.1</v>
      </c>
      <c r="E3852" s="5">
        <v>93.4</v>
      </c>
      <c r="F3852" s="5">
        <v>184.6</v>
      </c>
      <c r="G3852" s="5">
        <v>93</v>
      </c>
      <c r="H3852" s="5">
        <v>97.4</v>
      </c>
      <c r="I3852" s="5">
        <v>0</v>
      </c>
      <c r="J3852" s="5">
        <v>0</v>
      </c>
      <c r="K3852" s="5">
        <v>0</v>
      </c>
    </row>
    <row r="3853" spans="1:11" x14ac:dyDescent="0.25">
      <c r="A3853" s="5">
        <f>3846</f>
      </c>
      <c r="B3853" s="5" t="s">
        <v>3861</v>
      </c>
      <c r="C3853" s="5">
        <v>93.2</v>
      </c>
      <c r="D3853" s="5">
        <v>0.1</v>
      </c>
      <c r="E3853" s="5">
        <v>93.4</v>
      </c>
      <c r="F3853" s="5">
        <v>184.6</v>
      </c>
      <c r="G3853" s="5">
        <v>93</v>
      </c>
      <c r="H3853" s="5">
        <v>97.4</v>
      </c>
      <c r="I3853" s="5">
        <v>0</v>
      </c>
      <c r="J3853" s="5">
        <v>0</v>
      </c>
      <c r="K3853" s="5">
        <v>0</v>
      </c>
    </row>
    <row r="3854" spans="1:11" x14ac:dyDescent="0.25">
      <c r="A3854" s="5">
        <f>3847</f>
      </c>
      <c r="B3854" s="5" t="s">
        <v>3862</v>
      </c>
      <c r="C3854" s="5">
        <v>93.2</v>
      </c>
      <c r="D3854" s="5">
        <v>0.1</v>
      </c>
      <c r="E3854" s="5">
        <v>93.4</v>
      </c>
      <c r="F3854" s="5">
        <v>184.6</v>
      </c>
      <c r="G3854" s="5">
        <v>93</v>
      </c>
      <c r="H3854" s="5">
        <v>97.4</v>
      </c>
      <c r="I3854" s="5">
        <v>0</v>
      </c>
      <c r="J3854" s="5">
        <v>0</v>
      </c>
      <c r="K3854" s="5">
        <v>0</v>
      </c>
    </row>
    <row r="3855" spans="1:11" x14ac:dyDescent="0.25">
      <c r="A3855" s="5">
        <f>3848</f>
      </c>
      <c r="B3855" s="5" t="s">
        <v>3863</v>
      </c>
      <c r="C3855" s="5">
        <v>93.2</v>
      </c>
      <c r="D3855" s="5">
        <v>0.1</v>
      </c>
      <c r="E3855" s="5">
        <v>93.4</v>
      </c>
      <c r="F3855" s="5">
        <v>184.6</v>
      </c>
      <c r="G3855" s="5">
        <v>93</v>
      </c>
      <c r="H3855" s="5">
        <v>97.4</v>
      </c>
      <c r="I3855" s="5">
        <v>0</v>
      </c>
      <c r="J3855" s="5">
        <v>0</v>
      </c>
      <c r="K3855" s="5">
        <v>0</v>
      </c>
    </row>
    <row r="3856" spans="1:11" x14ac:dyDescent="0.25">
      <c r="A3856" s="5">
        <f>3849</f>
      </c>
      <c r="B3856" s="5" t="s">
        <v>3864</v>
      </c>
      <c r="C3856" s="5">
        <v>100.2</v>
      </c>
      <c r="D3856" s="5">
        <v>0.1</v>
      </c>
      <c r="E3856" s="5">
        <v>100.4</v>
      </c>
      <c r="F3856" s="5">
        <v>200</v>
      </c>
      <c r="G3856" s="5">
        <v>99.8</v>
      </c>
      <c r="H3856" s="5">
        <v>99.7</v>
      </c>
      <c r="I3856" s="5">
        <v>0</v>
      </c>
      <c r="J3856" s="5">
        <v>0</v>
      </c>
      <c r="K3856" s="5">
        <v>0</v>
      </c>
    </row>
    <row r="3857" spans="1:11" x14ac:dyDescent="0.25">
      <c r="A3857" s="5">
        <f>3850</f>
      </c>
      <c r="B3857" s="5" t="s">
        <v>3865</v>
      </c>
      <c r="C3857" s="5">
        <v>100.2</v>
      </c>
      <c r="D3857" s="5">
        <v>0.1</v>
      </c>
      <c r="E3857" s="5">
        <v>100.4</v>
      </c>
      <c r="F3857" s="5">
        <v>200</v>
      </c>
      <c r="G3857" s="5">
        <v>99.8</v>
      </c>
      <c r="H3857" s="5">
        <v>99.7</v>
      </c>
      <c r="I3857" s="5">
        <v>0</v>
      </c>
      <c r="J3857" s="5">
        <v>0</v>
      </c>
      <c r="K3857" s="5">
        <v>0</v>
      </c>
    </row>
    <row r="3858" spans="1:11" x14ac:dyDescent="0.25">
      <c r="A3858" s="5">
        <f>3851</f>
      </c>
      <c r="B3858" s="5" t="s">
        <v>3866</v>
      </c>
      <c r="C3858" s="5">
        <v>99.9</v>
      </c>
      <c r="D3858" s="5">
        <v>0.1</v>
      </c>
      <c r="E3858" s="5">
        <v>100</v>
      </c>
      <c r="F3858" s="5">
        <v>194.5</v>
      </c>
      <c r="G3858" s="5">
        <v>97.2</v>
      </c>
      <c r="H3858" s="5">
        <v>97.3</v>
      </c>
      <c r="I3858" s="5">
        <v>0</v>
      </c>
      <c r="J3858" s="5">
        <v>0</v>
      </c>
      <c r="K3858" s="5">
        <v>0</v>
      </c>
    </row>
    <row r="3859" spans="1:11" x14ac:dyDescent="0.25">
      <c r="A3859" s="5">
        <f>3852</f>
      </c>
      <c r="B3859" s="5" t="s">
        <v>3867</v>
      </c>
      <c r="C3859" s="5">
        <v>99.9</v>
      </c>
      <c r="D3859" s="5">
        <v>0.1</v>
      </c>
      <c r="E3859" s="5">
        <v>100</v>
      </c>
      <c r="F3859" s="5">
        <v>194.5</v>
      </c>
      <c r="G3859" s="5">
        <v>97.2</v>
      </c>
      <c r="H3859" s="5">
        <v>97.3</v>
      </c>
      <c r="I3859" s="5">
        <v>0</v>
      </c>
      <c r="J3859" s="5">
        <v>0</v>
      </c>
      <c r="K3859" s="5">
        <v>0</v>
      </c>
    </row>
    <row r="3860" spans="1:11" x14ac:dyDescent="0.25">
      <c r="A3860" s="5">
        <f>3853</f>
      </c>
      <c r="B3860" s="5" t="s">
        <v>3868</v>
      </c>
      <c r="C3860" s="5">
        <v>99.9</v>
      </c>
      <c r="D3860" s="5">
        <v>0.1</v>
      </c>
      <c r="E3860" s="5">
        <v>100.1</v>
      </c>
      <c r="F3860" s="5">
        <v>192.1</v>
      </c>
      <c r="G3860" s="5">
        <v>96.1</v>
      </c>
      <c r="H3860" s="5">
        <v>96.2</v>
      </c>
      <c r="I3860" s="5">
        <v>0</v>
      </c>
      <c r="J3860" s="5">
        <v>0</v>
      </c>
      <c r="K3860" s="5">
        <v>0</v>
      </c>
    </row>
    <row r="3861" spans="1:11" x14ac:dyDescent="0.25">
      <c r="A3861" s="5">
        <f>3854</f>
      </c>
      <c r="B3861" s="5" t="s">
        <v>3869</v>
      </c>
      <c r="C3861" s="5">
        <v>99.9</v>
      </c>
      <c r="D3861" s="5">
        <v>0.1</v>
      </c>
      <c r="E3861" s="5">
        <v>100.1</v>
      </c>
      <c r="F3861" s="5">
        <v>192.1</v>
      </c>
      <c r="G3861" s="5">
        <v>96.1</v>
      </c>
      <c r="H3861" s="5">
        <v>96.2</v>
      </c>
      <c r="I3861" s="5">
        <v>0</v>
      </c>
      <c r="J3861" s="5">
        <v>0</v>
      </c>
      <c r="K3861" s="5">
        <v>0</v>
      </c>
    </row>
    <row r="3862" spans="1:11" x14ac:dyDescent="0.25">
      <c r="A3862" s="5">
        <f>3855</f>
      </c>
      <c r="B3862" s="5" t="s">
        <v>3870</v>
      </c>
      <c r="C3862" s="5">
        <v>98.9</v>
      </c>
      <c r="D3862" s="5">
        <v>0.1</v>
      </c>
      <c r="E3862" s="5">
        <v>99.1</v>
      </c>
      <c r="F3862" s="5">
        <v>193.1</v>
      </c>
      <c r="G3862" s="5">
        <v>96.4</v>
      </c>
      <c r="H3862" s="5">
        <v>96.4</v>
      </c>
      <c r="I3862" s="5">
        <v>0</v>
      </c>
      <c r="J3862" s="5">
        <v>0</v>
      </c>
      <c r="K3862" s="5">
        <v>0</v>
      </c>
    </row>
    <row r="3863" spans="1:11" x14ac:dyDescent="0.25">
      <c r="A3863" s="5">
        <f>3856</f>
      </c>
      <c r="B3863" s="5" t="s">
        <v>3871</v>
      </c>
      <c r="C3863" s="5">
        <v>98.9</v>
      </c>
      <c r="D3863" s="5">
        <v>0.1</v>
      </c>
      <c r="E3863" s="5">
        <v>99.1</v>
      </c>
      <c r="F3863" s="5">
        <v>193.1</v>
      </c>
      <c r="G3863" s="5">
        <v>96.4</v>
      </c>
      <c r="H3863" s="5">
        <v>96.4</v>
      </c>
      <c r="I3863" s="5">
        <v>0</v>
      </c>
      <c r="J3863" s="5">
        <v>0</v>
      </c>
      <c r="K3863" s="5">
        <v>0</v>
      </c>
    </row>
    <row r="3864" spans="1:11" x14ac:dyDescent="0.25">
      <c r="A3864" s="5">
        <f>3857</f>
      </c>
      <c r="B3864" s="5" t="s">
        <v>3872</v>
      </c>
      <c r="C3864" s="5">
        <v>98.9</v>
      </c>
      <c r="D3864" s="5">
        <v>0.1</v>
      </c>
      <c r="E3864" s="5">
        <v>99.1</v>
      </c>
      <c r="F3864" s="5">
        <v>193.1</v>
      </c>
      <c r="G3864" s="5">
        <v>96.4</v>
      </c>
      <c r="H3864" s="5">
        <v>96.4</v>
      </c>
      <c r="I3864" s="5">
        <v>0</v>
      </c>
      <c r="J3864" s="5">
        <v>0</v>
      </c>
      <c r="K3864" s="5">
        <v>0</v>
      </c>
    </row>
    <row r="3865" spans="1:11" x14ac:dyDescent="0.25">
      <c r="A3865" s="5">
        <f>3858</f>
      </c>
      <c r="B3865" s="5" t="s">
        <v>3873</v>
      </c>
      <c r="C3865" s="5">
        <v>98.9</v>
      </c>
      <c r="D3865" s="5">
        <v>0.1</v>
      </c>
      <c r="E3865" s="5">
        <v>99.1</v>
      </c>
      <c r="F3865" s="5">
        <v>193.1</v>
      </c>
      <c r="G3865" s="5">
        <v>96.4</v>
      </c>
      <c r="H3865" s="5">
        <v>96.4</v>
      </c>
      <c r="I3865" s="5">
        <v>0</v>
      </c>
      <c r="J3865" s="5">
        <v>0</v>
      </c>
      <c r="K3865" s="5">
        <v>0</v>
      </c>
    </row>
    <row r="3866" spans="1:11" x14ac:dyDescent="0.25">
      <c r="A3866" s="5">
        <f>3859</f>
      </c>
      <c r="B3866" s="5" t="s">
        <v>3874</v>
      </c>
      <c r="C3866" s="5">
        <v>93.9</v>
      </c>
      <c r="D3866" s="5">
        <v>0.1</v>
      </c>
      <c r="E3866" s="5">
        <v>94.1</v>
      </c>
      <c r="F3866" s="5">
        <v>185.3</v>
      </c>
      <c r="G3866" s="5">
        <v>92.3</v>
      </c>
      <c r="H3866" s="5">
        <v>92.1</v>
      </c>
      <c r="I3866" s="5">
        <v>0</v>
      </c>
      <c r="J3866" s="5">
        <v>0</v>
      </c>
      <c r="K3866" s="5">
        <v>0</v>
      </c>
    </row>
    <row r="3867" spans="1:11" x14ac:dyDescent="0.25">
      <c r="A3867" s="5">
        <f>3860</f>
      </c>
      <c r="B3867" s="5" t="s">
        <v>3875</v>
      </c>
      <c r="C3867" s="5">
        <v>93.9</v>
      </c>
      <c r="D3867" s="5">
        <v>0.1</v>
      </c>
      <c r="E3867" s="5">
        <v>94.1</v>
      </c>
      <c r="F3867" s="5">
        <v>185.3</v>
      </c>
      <c r="G3867" s="5">
        <v>92.3</v>
      </c>
      <c r="H3867" s="5">
        <v>92.1</v>
      </c>
      <c r="I3867" s="5">
        <v>0</v>
      </c>
      <c r="J3867" s="5">
        <v>0</v>
      </c>
      <c r="K3867" s="5">
        <v>0</v>
      </c>
    </row>
    <row r="3868" spans="1:11" x14ac:dyDescent="0.25">
      <c r="A3868" s="5">
        <f>3861</f>
      </c>
      <c r="B3868" s="5" t="s">
        <v>3876</v>
      </c>
      <c r="C3868" s="5">
        <v>93.4</v>
      </c>
      <c r="D3868" s="5">
        <v>0.1</v>
      </c>
      <c r="E3868" s="5">
        <v>93.5</v>
      </c>
      <c r="F3868" s="5">
        <v>187.2</v>
      </c>
      <c r="G3868" s="5">
        <v>93.4</v>
      </c>
      <c r="H3868" s="5">
        <v>93.4</v>
      </c>
      <c r="I3868" s="5">
        <v>0</v>
      </c>
      <c r="J3868" s="5">
        <v>0</v>
      </c>
      <c r="K3868" s="5">
        <v>0</v>
      </c>
    </row>
    <row r="3869" spans="1:11" x14ac:dyDescent="0.25">
      <c r="A3869" s="5">
        <f>3862</f>
      </c>
      <c r="B3869" s="5" t="s">
        <v>3877</v>
      </c>
      <c r="C3869" s="5">
        <v>93.4</v>
      </c>
      <c r="D3869" s="5">
        <v>0.1</v>
      </c>
      <c r="E3869" s="5">
        <v>93.5</v>
      </c>
      <c r="F3869" s="5">
        <v>187.2</v>
      </c>
      <c r="G3869" s="5">
        <v>93.4</v>
      </c>
      <c r="H3869" s="5">
        <v>93.4</v>
      </c>
      <c r="I3869" s="5">
        <v>0</v>
      </c>
      <c r="J3869" s="5">
        <v>0</v>
      </c>
      <c r="K3869" s="5">
        <v>0</v>
      </c>
    </row>
    <row r="3870" spans="1:11" x14ac:dyDescent="0.25">
      <c r="A3870" s="5">
        <f>3863</f>
      </c>
      <c r="B3870" s="5" t="s">
        <v>3878</v>
      </c>
      <c r="C3870" s="5">
        <v>97.6</v>
      </c>
      <c r="D3870" s="5">
        <v>0.1</v>
      </c>
      <c r="E3870" s="5">
        <v>97.8</v>
      </c>
      <c r="F3870" s="5">
        <v>184.6</v>
      </c>
      <c r="G3870" s="5">
        <v>91.8</v>
      </c>
      <c r="H3870" s="5">
        <v>91.5</v>
      </c>
      <c r="I3870" s="5">
        <v>0</v>
      </c>
      <c r="J3870" s="5">
        <v>0</v>
      </c>
      <c r="K3870" s="5">
        <v>0</v>
      </c>
    </row>
    <row r="3871" spans="1:11" x14ac:dyDescent="0.25">
      <c r="A3871" s="5">
        <f>3864</f>
      </c>
      <c r="B3871" s="5" t="s">
        <v>3879</v>
      </c>
      <c r="C3871" s="5">
        <v>97.6</v>
      </c>
      <c r="D3871" s="5">
        <v>0.1</v>
      </c>
      <c r="E3871" s="5">
        <v>97.8</v>
      </c>
      <c r="F3871" s="5">
        <v>184.6</v>
      </c>
      <c r="G3871" s="5">
        <v>91.8</v>
      </c>
      <c r="H3871" s="5">
        <v>91.5</v>
      </c>
      <c r="I3871" s="5">
        <v>0</v>
      </c>
      <c r="J3871" s="5">
        <v>0</v>
      </c>
      <c r="K3871" s="5">
        <v>0</v>
      </c>
    </row>
    <row r="3872" spans="1:11" x14ac:dyDescent="0.25">
      <c r="A3872" s="5">
        <f>3865</f>
      </c>
      <c r="B3872" s="5" t="s">
        <v>3880</v>
      </c>
      <c r="C3872" s="5">
        <v>99.9</v>
      </c>
      <c r="D3872" s="5">
        <v>0.1</v>
      </c>
      <c r="E3872" s="5">
        <v>100</v>
      </c>
      <c r="F3872" s="5">
        <v>198.6</v>
      </c>
      <c r="G3872" s="5">
        <v>98.9</v>
      </c>
      <c r="H3872" s="5">
        <v>98.6</v>
      </c>
      <c r="I3872" s="5">
        <v>0</v>
      </c>
      <c r="J3872" s="5">
        <v>0</v>
      </c>
      <c r="K3872" s="5">
        <v>0</v>
      </c>
    </row>
    <row r="3873" spans="1:11" x14ac:dyDescent="0.25">
      <c r="A3873" s="5">
        <f>3866</f>
      </c>
      <c r="B3873" s="5" t="s">
        <v>3881</v>
      </c>
      <c r="C3873" s="5">
        <v>99.9</v>
      </c>
      <c r="D3873" s="5">
        <v>0.1</v>
      </c>
      <c r="E3873" s="5">
        <v>100</v>
      </c>
      <c r="F3873" s="5">
        <v>198.6</v>
      </c>
      <c r="G3873" s="5">
        <v>98.9</v>
      </c>
      <c r="H3873" s="5">
        <v>98.6</v>
      </c>
      <c r="I3873" s="5">
        <v>0</v>
      </c>
      <c r="J3873" s="5">
        <v>0</v>
      </c>
      <c r="K3873" s="5">
        <v>0</v>
      </c>
    </row>
    <row r="3874" spans="1:11" x14ac:dyDescent="0.25">
      <c r="A3874" s="5">
        <f>3867</f>
      </c>
      <c r="B3874" s="5" t="s">
        <v>3882</v>
      </c>
      <c r="C3874" s="5">
        <v>99.9</v>
      </c>
      <c r="D3874" s="5">
        <v>0.1</v>
      </c>
      <c r="E3874" s="5">
        <v>100</v>
      </c>
      <c r="F3874" s="5">
        <v>198.6</v>
      </c>
      <c r="G3874" s="5">
        <v>98.9</v>
      </c>
      <c r="H3874" s="5">
        <v>98.6</v>
      </c>
      <c r="I3874" s="5">
        <v>0</v>
      </c>
      <c r="J3874" s="5">
        <v>0</v>
      </c>
      <c r="K3874" s="5">
        <v>0</v>
      </c>
    </row>
    <row r="3875" spans="1:11" x14ac:dyDescent="0.25">
      <c r="A3875" s="5">
        <f>3868</f>
      </c>
      <c r="B3875" s="5" t="s">
        <v>3883</v>
      </c>
      <c r="C3875" s="5">
        <v>99.9</v>
      </c>
      <c r="D3875" s="5">
        <v>0.1</v>
      </c>
      <c r="E3875" s="5">
        <v>100</v>
      </c>
      <c r="F3875" s="5">
        <v>198.6</v>
      </c>
      <c r="G3875" s="5">
        <v>98.9</v>
      </c>
      <c r="H3875" s="5">
        <v>98.6</v>
      </c>
      <c r="I3875" s="5">
        <v>0</v>
      </c>
      <c r="J3875" s="5">
        <v>0</v>
      </c>
      <c r="K3875" s="5">
        <v>0</v>
      </c>
    </row>
    <row r="3876" spans="1:11" x14ac:dyDescent="0.25">
      <c r="A3876" s="5">
        <f>3869</f>
      </c>
      <c r="B3876" s="5" t="s">
        <v>3884</v>
      </c>
      <c r="C3876" s="5">
        <v>97.3</v>
      </c>
      <c r="D3876" s="5">
        <v>0.1</v>
      </c>
      <c r="E3876" s="5">
        <v>97.3</v>
      </c>
      <c r="F3876" s="5">
        <v>194.7</v>
      </c>
      <c r="G3876" s="5">
        <v>97.1</v>
      </c>
      <c r="H3876" s="5">
        <v>96.9</v>
      </c>
      <c r="I3876" s="5">
        <v>0</v>
      </c>
      <c r="J3876" s="5">
        <v>0</v>
      </c>
      <c r="K3876" s="5">
        <v>0</v>
      </c>
    </row>
    <row r="3877" spans="1:11" x14ac:dyDescent="0.25">
      <c r="A3877" s="5">
        <f>3870</f>
      </c>
      <c r="B3877" s="5" t="s">
        <v>3885</v>
      </c>
      <c r="C3877" s="5">
        <v>97.3</v>
      </c>
      <c r="D3877" s="5">
        <v>0.1</v>
      </c>
      <c r="E3877" s="5">
        <v>97.3</v>
      </c>
      <c r="F3877" s="5">
        <v>194.7</v>
      </c>
      <c r="G3877" s="5">
        <v>97.1</v>
      </c>
      <c r="H3877" s="5">
        <v>96.9</v>
      </c>
      <c r="I3877" s="5">
        <v>0</v>
      </c>
      <c r="J3877" s="5">
        <v>0</v>
      </c>
      <c r="K3877" s="5">
        <v>0</v>
      </c>
    </row>
    <row r="3878" spans="1:11" x14ac:dyDescent="0.25">
      <c r="A3878" s="5">
        <f>3871</f>
      </c>
      <c r="B3878" s="5" t="s">
        <v>3886</v>
      </c>
      <c r="C3878" s="5">
        <v>96.5</v>
      </c>
      <c r="D3878" s="5">
        <v>0.1</v>
      </c>
      <c r="E3878" s="5">
        <v>96.7</v>
      </c>
      <c r="F3878" s="5">
        <v>193.6</v>
      </c>
      <c r="G3878" s="5">
        <v>96.5</v>
      </c>
      <c r="H3878" s="5">
        <v>96.3</v>
      </c>
      <c r="I3878" s="5">
        <v>0</v>
      </c>
      <c r="J3878" s="5">
        <v>0</v>
      </c>
      <c r="K3878" s="5">
        <v>0</v>
      </c>
    </row>
    <row r="3879" spans="1:11" x14ac:dyDescent="0.25">
      <c r="A3879" s="5">
        <f>3872</f>
      </c>
      <c r="B3879" s="5" t="s">
        <v>3887</v>
      </c>
      <c r="C3879" s="5">
        <v>96.5</v>
      </c>
      <c r="D3879" s="5">
        <v>0.1</v>
      </c>
      <c r="E3879" s="5">
        <v>96.7</v>
      </c>
      <c r="F3879" s="5">
        <v>193.6</v>
      </c>
      <c r="G3879" s="5">
        <v>96.5</v>
      </c>
      <c r="H3879" s="5">
        <v>96.3</v>
      </c>
      <c r="I3879" s="5">
        <v>0</v>
      </c>
      <c r="J3879" s="5">
        <v>0</v>
      </c>
      <c r="K3879" s="5">
        <v>0</v>
      </c>
    </row>
    <row r="3880" spans="1:11" x14ac:dyDescent="0.25">
      <c r="A3880" s="5">
        <f>3873</f>
      </c>
      <c r="B3880" s="5" t="s">
        <v>3888</v>
      </c>
      <c r="C3880" s="5">
        <v>99</v>
      </c>
      <c r="D3880" s="5">
        <v>0.1</v>
      </c>
      <c r="E3880" s="5">
        <v>99.2</v>
      </c>
      <c r="F3880" s="5">
        <v>194.5</v>
      </c>
      <c r="G3880" s="5">
        <v>97.2</v>
      </c>
      <c r="H3880" s="5">
        <v>97.3</v>
      </c>
      <c r="I3880" s="5">
        <v>0</v>
      </c>
      <c r="J3880" s="5">
        <v>0</v>
      </c>
      <c r="K3880" s="5">
        <v>0</v>
      </c>
    </row>
    <row r="3881" spans="1:11" x14ac:dyDescent="0.25">
      <c r="A3881" s="5">
        <f>3874</f>
      </c>
      <c r="B3881" s="5" t="s">
        <v>3889</v>
      </c>
      <c r="C3881" s="5">
        <v>99</v>
      </c>
      <c r="D3881" s="5">
        <v>0.1</v>
      </c>
      <c r="E3881" s="5">
        <v>99.2</v>
      </c>
      <c r="F3881" s="5">
        <v>194.5</v>
      </c>
      <c r="G3881" s="5">
        <v>97.2</v>
      </c>
      <c r="H3881" s="5">
        <v>97.3</v>
      </c>
      <c r="I3881" s="5">
        <v>0</v>
      </c>
      <c r="J3881" s="5">
        <v>0</v>
      </c>
      <c r="K3881" s="5">
        <v>0</v>
      </c>
    </row>
    <row r="3882" spans="1:11" x14ac:dyDescent="0.25">
      <c r="A3882" s="5">
        <f>3875</f>
      </c>
      <c r="B3882" s="5" t="s">
        <v>3890</v>
      </c>
      <c r="C3882" s="5">
        <v>96.5</v>
      </c>
      <c r="D3882" s="5">
        <v>0.1</v>
      </c>
      <c r="E3882" s="5">
        <v>96.7</v>
      </c>
      <c r="F3882" s="5">
        <v>187.4</v>
      </c>
      <c r="G3882" s="5">
        <v>93.8</v>
      </c>
      <c r="H3882" s="5">
        <v>93.9</v>
      </c>
      <c r="I3882" s="5">
        <v>0</v>
      </c>
      <c r="J3882" s="5">
        <v>0</v>
      </c>
      <c r="K3882" s="5">
        <v>0</v>
      </c>
    </row>
    <row r="3883" spans="1:11" x14ac:dyDescent="0.25">
      <c r="A3883" s="5">
        <f>3876</f>
      </c>
      <c r="B3883" s="5" t="s">
        <v>3891</v>
      </c>
      <c r="C3883" s="5">
        <v>96.5</v>
      </c>
      <c r="D3883" s="5">
        <v>0.1</v>
      </c>
      <c r="E3883" s="5">
        <v>96.7</v>
      </c>
      <c r="F3883" s="5">
        <v>187.4</v>
      </c>
      <c r="G3883" s="5">
        <v>93.8</v>
      </c>
      <c r="H3883" s="5">
        <v>93.9</v>
      </c>
      <c r="I3883" s="5">
        <v>0</v>
      </c>
      <c r="J3883" s="5">
        <v>0</v>
      </c>
      <c r="K3883" s="5">
        <v>0</v>
      </c>
    </row>
    <row r="3884" spans="1:11" x14ac:dyDescent="0.25">
      <c r="A3884" s="5">
        <f>3877</f>
      </c>
      <c r="B3884" s="5" t="s">
        <v>3892</v>
      </c>
      <c r="C3884" s="5">
        <v>96.5</v>
      </c>
      <c r="D3884" s="5">
        <v>0.1</v>
      </c>
      <c r="E3884" s="5">
        <v>96.7</v>
      </c>
      <c r="F3884" s="5">
        <v>187.4</v>
      </c>
      <c r="G3884" s="5">
        <v>93.8</v>
      </c>
      <c r="H3884" s="5">
        <v>93.9</v>
      </c>
      <c r="I3884" s="5">
        <v>0</v>
      </c>
      <c r="J3884" s="5">
        <v>0</v>
      </c>
      <c r="K3884" s="5">
        <v>0</v>
      </c>
    </row>
    <row r="3885" spans="1:11" x14ac:dyDescent="0.25">
      <c r="A3885" s="5">
        <f>3878</f>
      </c>
      <c r="B3885" s="5" t="s">
        <v>3893</v>
      </c>
      <c r="C3885" s="5">
        <v>96.5</v>
      </c>
      <c r="D3885" s="5">
        <v>0.1</v>
      </c>
      <c r="E3885" s="5">
        <v>96.7</v>
      </c>
      <c r="F3885" s="5">
        <v>187.4</v>
      </c>
      <c r="G3885" s="5">
        <v>93.8</v>
      </c>
      <c r="H3885" s="5">
        <v>93.9</v>
      </c>
      <c r="I3885" s="5">
        <v>0</v>
      </c>
      <c r="J3885" s="5">
        <v>0</v>
      </c>
      <c r="K3885" s="5">
        <v>0</v>
      </c>
    </row>
    <row r="3886" spans="1:11" x14ac:dyDescent="0.25">
      <c r="A3886" s="5">
        <f>3879</f>
      </c>
      <c r="B3886" s="5" t="s">
        <v>3894</v>
      </c>
      <c r="C3886" s="5">
        <v>92.8</v>
      </c>
      <c r="D3886" s="5">
        <v>0.1</v>
      </c>
      <c r="E3886" s="5">
        <v>92.9</v>
      </c>
      <c r="F3886" s="5">
        <v>184.9</v>
      </c>
      <c r="G3886" s="5">
        <v>92.2</v>
      </c>
      <c r="H3886" s="5">
        <v>92.1</v>
      </c>
      <c r="I3886" s="5">
        <v>0</v>
      </c>
      <c r="J3886" s="5">
        <v>0</v>
      </c>
      <c r="K3886" s="5">
        <v>0</v>
      </c>
    </row>
    <row r="3887" spans="1:11" x14ac:dyDescent="0.25">
      <c r="A3887" s="5">
        <f>3880</f>
      </c>
      <c r="B3887" s="5" t="s">
        <v>3895</v>
      </c>
      <c r="C3887" s="5">
        <v>92.8</v>
      </c>
      <c r="D3887" s="5">
        <v>0.1</v>
      </c>
      <c r="E3887" s="5">
        <v>92.9</v>
      </c>
      <c r="F3887" s="5">
        <v>184.9</v>
      </c>
      <c r="G3887" s="5">
        <v>92.2</v>
      </c>
      <c r="H3887" s="5">
        <v>92.1</v>
      </c>
      <c r="I3887" s="5">
        <v>0</v>
      </c>
      <c r="J3887" s="5">
        <v>0</v>
      </c>
      <c r="K3887" s="5">
        <v>0</v>
      </c>
    </row>
    <row r="3888" spans="1:11" x14ac:dyDescent="0.25">
      <c r="A3888" s="5">
        <f>3881</f>
      </c>
      <c r="B3888" s="5" t="s">
        <v>3896</v>
      </c>
      <c r="C3888" s="5">
        <v>90.3</v>
      </c>
      <c r="D3888" s="5">
        <v>0.1</v>
      </c>
      <c r="E3888" s="5">
        <v>90.4</v>
      </c>
      <c r="F3888" s="5">
        <v>181.3</v>
      </c>
      <c r="G3888" s="5">
        <v>90.5</v>
      </c>
      <c r="H3888" s="5">
        <v>90.3</v>
      </c>
      <c r="I3888" s="5">
        <v>0</v>
      </c>
      <c r="J3888" s="5">
        <v>0</v>
      </c>
      <c r="K3888" s="5">
        <v>0</v>
      </c>
    </row>
    <row r="3889" spans="1:11" x14ac:dyDescent="0.25">
      <c r="A3889" s="5">
        <f>3882</f>
      </c>
      <c r="B3889" s="5" t="s">
        <v>3897</v>
      </c>
      <c r="C3889" s="5">
        <v>90.3</v>
      </c>
      <c r="D3889" s="5">
        <v>0.1</v>
      </c>
      <c r="E3889" s="5">
        <v>90.4</v>
      </c>
      <c r="F3889" s="5">
        <v>181.3</v>
      </c>
      <c r="G3889" s="5">
        <v>90.5</v>
      </c>
      <c r="H3889" s="5">
        <v>90.3</v>
      </c>
      <c r="I3889" s="5">
        <v>0</v>
      </c>
      <c r="J3889" s="5">
        <v>0</v>
      </c>
      <c r="K3889" s="5">
        <v>0</v>
      </c>
    </row>
    <row r="3890" spans="1:11" x14ac:dyDescent="0.25">
      <c r="A3890" s="5">
        <f>3883</f>
      </c>
      <c r="B3890" s="5" t="s">
        <v>3898</v>
      </c>
      <c r="C3890" s="5">
        <v>98.1</v>
      </c>
      <c r="D3890" s="5">
        <v>0.1</v>
      </c>
      <c r="E3890" s="5">
        <v>98.3</v>
      </c>
      <c r="F3890" s="5">
        <v>186.9</v>
      </c>
      <c r="G3890" s="5">
        <v>93</v>
      </c>
      <c r="H3890" s="5">
        <v>92.6</v>
      </c>
      <c r="I3890" s="5">
        <v>0</v>
      </c>
      <c r="J3890" s="5">
        <v>0</v>
      </c>
      <c r="K3890" s="5">
        <v>0</v>
      </c>
    </row>
    <row r="3891" spans="1:11" x14ac:dyDescent="0.25">
      <c r="A3891" s="5">
        <f>3884</f>
      </c>
      <c r="B3891" s="5" t="s">
        <v>3899</v>
      </c>
      <c r="C3891" s="5">
        <v>98.1</v>
      </c>
      <c r="D3891" s="5">
        <v>0.1</v>
      </c>
      <c r="E3891" s="5">
        <v>98.3</v>
      </c>
      <c r="F3891" s="5">
        <v>186.9</v>
      </c>
      <c r="G3891" s="5">
        <v>93</v>
      </c>
      <c r="H3891" s="5">
        <v>92.6</v>
      </c>
      <c r="I3891" s="5">
        <v>0</v>
      </c>
      <c r="J3891" s="5">
        <v>0</v>
      </c>
      <c r="K3891" s="5">
        <v>0</v>
      </c>
    </row>
    <row r="3892" spans="1:11" x14ac:dyDescent="0.25">
      <c r="A3892" s="5">
        <f>3885</f>
      </c>
      <c r="B3892" s="5" t="s">
        <v>3900</v>
      </c>
      <c r="C3892" s="5">
        <v>99.2</v>
      </c>
      <c r="D3892" s="5">
        <v>0.1</v>
      </c>
      <c r="E3892" s="5">
        <v>99.4</v>
      </c>
      <c r="F3892" s="5">
        <v>199.3</v>
      </c>
      <c r="G3892" s="5">
        <v>99.5</v>
      </c>
      <c r="H3892" s="5">
        <v>99.5</v>
      </c>
      <c r="I3892" s="5">
        <v>0</v>
      </c>
      <c r="J3892" s="5">
        <v>0</v>
      </c>
      <c r="K3892" s="5">
        <v>0</v>
      </c>
    </row>
    <row r="3893" spans="1:11" x14ac:dyDescent="0.25">
      <c r="A3893" s="5">
        <f>3886</f>
      </c>
      <c r="B3893" s="5" t="s">
        <v>3901</v>
      </c>
      <c r="C3893" s="5">
        <v>99.2</v>
      </c>
      <c r="D3893" s="5">
        <v>0.1</v>
      </c>
      <c r="E3893" s="5">
        <v>99.4</v>
      </c>
      <c r="F3893" s="5">
        <v>199.3</v>
      </c>
      <c r="G3893" s="5">
        <v>99.5</v>
      </c>
      <c r="H3893" s="5">
        <v>99.5</v>
      </c>
      <c r="I3893" s="5">
        <v>0</v>
      </c>
      <c r="J3893" s="5">
        <v>0</v>
      </c>
      <c r="K3893" s="5">
        <v>0</v>
      </c>
    </row>
    <row r="3894" spans="1:11" x14ac:dyDescent="0.25">
      <c r="A3894" s="5">
        <f>3887</f>
      </c>
      <c r="B3894" s="5" t="s">
        <v>3902</v>
      </c>
      <c r="C3894" s="5">
        <v>99.2</v>
      </c>
      <c r="D3894" s="5">
        <v>0.1</v>
      </c>
      <c r="E3894" s="5">
        <v>99.4</v>
      </c>
      <c r="F3894" s="5">
        <v>199.3</v>
      </c>
      <c r="G3894" s="5">
        <v>99.5</v>
      </c>
      <c r="H3894" s="5">
        <v>99.5</v>
      </c>
      <c r="I3894" s="5">
        <v>0</v>
      </c>
      <c r="J3894" s="5">
        <v>0</v>
      </c>
      <c r="K3894" s="5">
        <v>0</v>
      </c>
    </row>
    <row r="3895" spans="1:11" x14ac:dyDescent="0.25">
      <c r="A3895" s="5">
        <f>3888</f>
      </c>
      <c r="B3895" s="5" t="s">
        <v>3903</v>
      </c>
      <c r="C3895" s="5">
        <v>99.2</v>
      </c>
      <c r="D3895" s="5">
        <v>0.1</v>
      </c>
      <c r="E3895" s="5">
        <v>99.4</v>
      </c>
      <c r="F3895" s="5">
        <v>199.3</v>
      </c>
      <c r="G3895" s="5">
        <v>99.5</v>
      </c>
      <c r="H3895" s="5">
        <v>99.5</v>
      </c>
      <c r="I3895" s="5">
        <v>0</v>
      </c>
      <c r="J3895" s="5">
        <v>0</v>
      </c>
      <c r="K3895" s="5">
        <v>0</v>
      </c>
    </row>
    <row r="3896" spans="1:11" x14ac:dyDescent="0.25">
      <c r="A3896" s="5">
        <f>3889</f>
      </c>
      <c r="B3896" s="5" t="s">
        <v>3904</v>
      </c>
      <c r="C3896" s="5">
        <v>91.6</v>
      </c>
      <c r="D3896" s="5">
        <v>0.1</v>
      </c>
      <c r="E3896" s="5">
        <v>91.7</v>
      </c>
      <c r="F3896" s="5">
        <v>182.1</v>
      </c>
      <c r="G3896" s="5">
        <v>90.9</v>
      </c>
      <c r="H3896" s="5">
        <v>90.8</v>
      </c>
      <c r="I3896" s="5">
        <v>0</v>
      </c>
      <c r="J3896" s="5">
        <v>0</v>
      </c>
      <c r="K3896" s="5">
        <v>0</v>
      </c>
    </row>
    <row r="3897" spans="1:11" x14ac:dyDescent="0.25">
      <c r="A3897" s="5">
        <f>3890</f>
      </c>
      <c r="B3897" s="5" t="s">
        <v>3905</v>
      </c>
      <c r="C3897" s="5">
        <v>91.6</v>
      </c>
      <c r="D3897" s="5">
        <v>0.1</v>
      </c>
      <c r="E3897" s="5">
        <v>91.7</v>
      </c>
      <c r="F3897" s="5">
        <v>182.1</v>
      </c>
      <c r="G3897" s="5">
        <v>90.9</v>
      </c>
      <c r="H3897" s="5">
        <v>90.8</v>
      </c>
      <c r="I3897" s="5">
        <v>0</v>
      </c>
      <c r="J3897" s="5">
        <v>0</v>
      </c>
      <c r="K3897" s="5">
        <v>0</v>
      </c>
    </row>
    <row r="3898" spans="1:11" x14ac:dyDescent="0.25">
      <c r="A3898" s="5">
        <f>3891</f>
      </c>
      <c r="B3898" s="5" t="s">
        <v>3906</v>
      </c>
      <c r="C3898" s="5">
        <v>91.6</v>
      </c>
      <c r="D3898" s="5">
        <v>0.1</v>
      </c>
      <c r="E3898" s="5">
        <v>91.7</v>
      </c>
      <c r="F3898" s="5">
        <v>182.1</v>
      </c>
      <c r="G3898" s="5">
        <v>90.9</v>
      </c>
      <c r="H3898" s="5">
        <v>90.8</v>
      </c>
      <c r="I3898" s="5">
        <v>0</v>
      </c>
      <c r="J3898" s="5">
        <v>0</v>
      </c>
      <c r="K3898" s="5">
        <v>0</v>
      </c>
    </row>
    <row r="3899" spans="1:11" x14ac:dyDescent="0.25">
      <c r="A3899" s="5">
        <f>3892</f>
      </c>
      <c r="B3899" s="5" t="s">
        <v>3907</v>
      </c>
      <c r="C3899" s="5">
        <v>91.6</v>
      </c>
      <c r="D3899" s="5">
        <v>0.1</v>
      </c>
      <c r="E3899" s="5">
        <v>91.7</v>
      </c>
      <c r="F3899" s="5">
        <v>182.1</v>
      </c>
      <c r="G3899" s="5">
        <v>90.9</v>
      </c>
      <c r="H3899" s="5">
        <v>90.8</v>
      </c>
      <c r="I3899" s="5">
        <v>0</v>
      </c>
      <c r="J3899" s="5">
        <v>0</v>
      </c>
      <c r="K3899" s="5">
        <v>0</v>
      </c>
    </row>
    <row r="3900" spans="1:11" x14ac:dyDescent="0.25">
      <c r="A3900" s="5">
        <f>3893</f>
      </c>
      <c r="B3900" s="5" t="s">
        <v>3908</v>
      </c>
      <c r="C3900" s="5">
        <v>91.6</v>
      </c>
      <c r="D3900" s="5">
        <v>0.1</v>
      </c>
      <c r="E3900" s="5">
        <v>91.7</v>
      </c>
      <c r="F3900" s="5">
        <v>182.1</v>
      </c>
      <c r="G3900" s="5">
        <v>90.9</v>
      </c>
      <c r="H3900" s="5">
        <v>90.8</v>
      </c>
      <c r="I3900" s="5">
        <v>0</v>
      </c>
      <c r="J3900" s="5">
        <v>0</v>
      </c>
      <c r="K3900" s="5">
        <v>0</v>
      </c>
    </row>
    <row r="3901" spans="1:11" x14ac:dyDescent="0.25">
      <c r="A3901" s="5">
        <f>3894</f>
      </c>
      <c r="B3901" s="5" t="s">
        <v>3909</v>
      </c>
      <c r="C3901" s="5">
        <v>91.6</v>
      </c>
      <c r="D3901" s="5">
        <v>0.1</v>
      </c>
      <c r="E3901" s="5">
        <v>91.7</v>
      </c>
      <c r="F3901" s="5">
        <v>182.1</v>
      </c>
      <c r="G3901" s="5">
        <v>90.9</v>
      </c>
      <c r="H3901" s="5">
        <v>90.8</v>
      </c>
      <c r="I3901" s="5">
        <v>0</v>
      </c>
      <c r="J3901" s="5">
        <v>0</v>
      </c>
      <c r="K3901" s="5">
        <v>0</v>
      </c>
    </row>
    <row r="3902" spans="1:11" x14ac:dyDescent="0.25">
      <c r="A3902" s="5">
        <f>3895</f>
      </c>
      <c r="B3902" s="5" t="s">
        <v>3910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</row>
    <row r="3903" spans="1:11" x14ac:dyDescent="0.25">
      <c r="A3903" s="5">
        <f>3896</f>
      </c>
      <c r="B3903" s="5" t="s">
        <v>3911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</row>
    <row r="3904" spans="1:11" x14ac:dyDescent="0.25">
      <c r="A3904" s="5">
        <f>3897</f>
      </c>
      <c r="B3904" s="5" t="s">
        <v>3912</v>
      </c>
      <c r="C3904" s="5">
        <v>94.1</v>
      </c>
      <c r="D3904" s="5">
        <v>0.1</v>
      </c>
      <c r="E3904" s="5">
        <v>94.3</v>
      </c>
      <c r="F3904" s="5">
        <v>188.3</v>
      </c>
      <c r="G3904" s="5">
        <v>93.9</v>
      </c>
      <c r="H3904" s="5">
        <v>93.8</v>
      </c>
      <c r="I3904" s="5">
        <v>0</v>
      </c>
      <c r="J3904" s="5">
        <v>0</v>
      </c>
      <c r="K3904" s="5">
        <v>0</v>
      </c>
    </row>
    <row r="3905" spans="1:11" x14ac:dyDescent="0.25">
      <c r="A3905" s="5">
        <f>3898</f>
      </c>
      <c r="B3905" s="5" t="s">
        <v>3913</v>
      </c>
      <c r="C3905" s="5">
        <v>94.1</v>
      </c>
      <c r="D3905" s="5">
        <v>0.1</v>
      </c>
      <c r="E3905" s="5">
        <v>94.3</v>
      </c>
      <c r="F3905" s="5">
        <v>188.3</v>
      </c>
      <c r="G3905" s="5">
        <v>93.9</v>
      </c>
      <c r="H3905" s="5">
        <v>93.8</v>
      </c>
      <c r="I3905" s="5">
        <v>0</v>
      </c>
      <c r="J3905" s="5">
        <v>0</v>
      </c>
      <c r="K3905" s="5">
        <v>0</v>
      </c>
    </row>
    <row r="3906" spans="1:11" x14ac:dyDescent="0.25">
      <c r="A3906" s="5">
        <f>3899</f>
      </c>
      <c r="B3906" s="5" t="s">
        <v>3914</v>
      </c>
      <c r="C3906" s="5">
        <v>91.7</v>
      </c>
      <c r="D3906" s="5">
        <v>0.1</v>
      </c>
      <c r="E3906" s="5">
        <v>91.9</v>
      </c>
      <c r="F3906" s="5">
        <v>188.7</v>
      </c>
      <c r="G3906" s="5">
        <v>93.9</v>
      </c>
      <c r="H3906" s="5">
        <v>93.5</v>
      </c>
      <c r="I3906" s="5">
        <v>0</v>
      </c>
      <c r="J3906" s="5">
        <v>0</v>
      </c>
      <c r="K3906" s="5">
        <v>0</v>
      </c>
    </row>
    <row r="3907" spans="1:11" x14ac:dyDescent="0.25">
      <c r="A3907" s="5">
        <f>3900</f>
      </c>
      <c r="B3907" s="5" t="s">
        <v>3915</v>
      </c>
      <c r="C3907" s="5">
        <v>91.7</v>
      </c>
      <c r="D3907" s="5">
        <v>0.1</v>
      </c>
      <c r="E3907" s="5">
        <v>91.9</v>
      </c>
      <c r="F3907" s="5">
        <v>188.7</v>
      </c>
      <c r="G3907" s="5">
        <v>93.9</v>
      </c>
      <c r="H3907" s="5">
        <v>93.5</v>
      </c>
      <c r="I3907" s="5">
        <v>0</v>
      </c>
      <c r="J3907" s="5">
        <v>0</v>
      </c>
      <c r="K3907" s="5">
        <v>0</v>
      </c>
    </row>
    <row r="3908" spans="1:11" x14ac:dyDescent="0.25">
      <c r="A3908" s="5">
        <f>3901</f>
      </c>
      <c r="B3908" s="5" t="s">
        <v>3916</v>
      </c>
      <c r="C3908" s="5">
        <v>100.2</v>
      </c>
      <c r="D3908" s="5">
        <v>0.1</v>
      </c>
      <c r="E3908" s="5">
        <v>100.2</v>
      </c>
      <c r="F3908" s="5">
        <v>199.7</v>
      </c>
      <c r="G3908" s="5">
        <v>99.6</v>
      </c>
      <c r="H3908" s="5">
        <v>93.5</v>
      </c>
      <c r="I3908" s="5">
        <v>0</v>
      </c>
      <c r="J3908" s="5">
        <v>0</v>
      </c>
      <c r="K3908" s="5">
        <v>0</v>
      </c>
    </row>
    <row r="3909" spans="1:11" x14ac:dyDescent="0.25">
      <c r="A3909" s="5">
        <f>3902</f>
      </c>
      <c r="B3909" s="5" t="s">
        <v>3917</v>
      </c>
      <c r="C3909" s="5">
        <v>100.2</v>
      </c>
      <c r="D3909" s="5">
        <v>0.1</v>
      </c>
      <c r="E3909" s="5">
        <v>100.2</v>
      </c>
      <c r="F3909" s="5">
        <v>199.7</v>
      </c>
      <c r="G3909" s="5">
        <v>99.6</v>
      </c>
      <c r="H3909" s="5">
        <v>99.6</v>
      </c>
      <c r="I3909" s="5">
        <v>0</v>
      </c>
      <c r="J3909" s="5">
        <v>0</v>
      </c>
      <c r="K3909" s="5">
        <v>0</v>
      </c>
    </row>
    <row r="3910" spans="1:11" x14ac:dyDescent="0.25">
      <c r="A3910" s="5">
        <f>3903</f>
      </c>
      <c r="B3910" s="5" t="s">
        <v>3918</v>
      </c>
      <c r="C3910" s="5">
        <v>94.6</v>
      </c>
      <c r="D3910" s="5">
        <v>0.1</v>
      </c>
      <c r="E3910" s="5">
        <v>94.8</v>
      </c>
      <c r="F3910" s="5">
        <v>199.7</v>
      </c>
      <c r="G3910" s="5">
        <v>99.6</v>
      </c>
      <c r="H3910" s="5">
        <v>99.6</v>
      </c>
      <c r="I3910" s="5">
        <v>0</v>
      </c>
      <c r="J3910" s="5">
        <v>0</v>
      </c>
      <c r="K3910" s="5">
        <v>0</v>
      </c>
    </row>
    <row r="3911" spans="1:11" x14ac:dyDescent="0.25">
      <c r="A3911" s="5">
        <f>3904</f>
      </c>
      <c r="B3911" s="5" t="s">
        <v>3919</v>
      </c>
      <c r="C3911" s="5">
        <v>94.6</v>
      </c>
      <c r="D3911" s="5">
        <v>0.1</v>
      </c>
      <c r="E3911" s="5">
        <v>94.8</v>
      </c>
      <c r="F3911" s="5">
        <v>188.4</v>
      </c>
      <c r="G3911" s="5">
        <v>94</v>
      </c>
      <c r="H3911" s="5">
        <v>93.9</v>
      </c>
      <c r="I3911" s="5">
        <v>0</v>
      </c>
      <c r="J3911" s="5">
        <v>0</v>
      </c>
      <c r="K3911" s="5">
        <v>0</v>
      </c>
    </row>
    <row r="3912" spans="1:11" x14ac:dyDescent="0.25">
      <c r="A3912" s="5">
        <f>3905</f>
      </c>
      <c r="B3912" s="5" t="s">
        <v>3920</v>
      </c>
      <c r="C3912" s="5">
        <v>94.6</v>
      </c>
      <c r="D3912" s="5">
        <v>0.1</v>
      </c>
      <c r="E3912" s="5">
        <v>94.8</v>
      </c>
      <c r="F3912" s="5">
        <v>188.4</v>
      </c>
      <c r="G3912" s="5">
        <v>94</v>
      </c>
      <c r="H3912" s="5">
        <v>93.9</v>
      </c>
      <c r="I3912" s="5">
        <v>0</v>
      </c>
      <c r="J3912" s="5">
        <v>0</v>
      </c>
      <c r="K3912" s="5">
        <v>0</v>
      </c>
    </row>
    <row r="3913" spans="1:11" x14ac:dyDescent="0.25">
      <c r="A3913" s="5">
        <f>3906</f>
      </c>
      <c r="B3913" s="5" t="s">
        <v>3921</v>
      </c>
      <c r="C3913" s="5">
        <v>94.6</v>
      </c>
      <c r="D3913" s="5">
        <v>0.1</v>
      </c>
      <c r="E3913" s="5">
        <v>94.8</v>
      </c>
      <c r="F3913" s="5">
        <v>188.4</v>
      </c>
      <c r="G3913" s="5">
        <v>94</v>
      </c>
      <c r="H3913" s="5">
        <v>93.9</v>
      </c>
      <c r="I3913" s="5">
        <v>0</v>
      </c>
      <c r="J3913" s="5">
        <v>0</v>
      </c>
      <c r="K3913" s="5">
        <v>0</v>
      </c>
    </row>
    <row r="3914" spans="1:11" x14ac:dyDescent="0.25">
      <c r="A3914" s="5">
        <f>3907</f>
      </c>
      <c r="B3914" s="5" t="s">
        <v>3922</v>
      </c>
      <c r="C3914" s="5">
        <v>98.2</v>
      </c>
      <c r="D3914" s="5">
        <v>0.1</v>
      </c>
      <c r="E3914" s="5">
        <v>98.3</v>
      </c>
      <c r="F3914" s="5">
        <v>188.8</v>
      </c>
      <c r="G3914" s="5">
        <v>94.3</v>
      </c>
      <c r="H3914" s="5">
        <v>94.3</v>
      </c>
      <c r="I3914" s="5">
        <v>0</v>
      </c>
      <c r="J3914" s="5">
        <v>0</v>
      </c>
      <c r="K3914" s="5">
        <v>0</v>
      </c>
    </row>
    <row r="3915" spans="1:11" x14ac:dyDescent="0.25">
      <c r="A3915" s="5">
        <f>3908</f>
      </c>
      <c r="B3915" s="5" t="s">
        <v>3923</v>
      </c>
      <c r="C3915" s="5">
        <v>98.2</v>
      </c>
      <c r="D3915" s="5">
        <v>0.1</v>
      </c>
      <c r="E3915" s="5">
        <v>98.3</v>
      </c>
      <c r="F3915" s="5">
        <v>188.8</v>
      </c>
      <c r="G3915" s="5">
        <v>94.3</v>
      </c>
      <c r="H3915" s="5">
        <v>94.3</v>
      </c>
      <c r="I3915" s="5">
        <v>0</v>
      </c>
      <c r="J3915" s="5">
        <v>0</v>
      </c>
      <c r="K3915" s="5">
        <v>0</v>
      </c>
    </row>
    <row r="3916" spans="1:11" x14ac:dyDescent="0.25">
      <c r="A3916" s="5">
        <f>3909</f>
      </c>
      <c r="B3916" s="5" t="s">
        <v>3924</v>
      </c>
      <c r="C3916" s="5">
        <v>98.2</v>
      </c>
      <c r="D3916" s="5">
        <v>0.1</v>
      </c>
      <c r="E3916" s="5">
        <v>98.8</v>
      </c>
      <c r="F3916" s="5">
        <v>196</v>
      </c>
      <c r="G3916" s="5">
        <v>97.7</v>
      </c>
      <c r="H3916" s="5">
        <v>97.6</v>
      </c>
      <c r="I3916" s="5">
        <v>0</v>
      </c>
      <c r="J3916" s="5">
        <v>0</v>
      </c>
      <c r="K3916" s="5">
        <v>0</v>
      </c>
    </row>
    <row r="3917" spans="1:11" x14ac:dyDescent="0.25">
      <c r="A3917" s="5">
        <f>3910</f>
      </c>
      <c r="B3917" s="5" t="s">
        <v>3925</v>
      </c>
      <c r="C3917" s="5">
        <v>98.6</v>
      </c>
      <c r="D3917" s="5">
        <v>0.1</v>
      </c>
      <c r="E3917" s="5">
        <v>98.8</v>
      </c>
      <c r="F3917" s="5">
        <v>196</v>
      </c>
      <c r="G3917" s="5">
        <v>97.7</v>
      </c>
      <c r="H3917" s="5">
        <v>97.6</v>
      </c>
      <c r="I3917" s="5">
        <v>0</v>
      </c>
      <c r="J3917" s="5">
        <v>0</v>
      </c>
      <c r="K3917" s="5">
        <v>0</v>
      </c>
    </row>
    <row r="3918" spans="1:11" x14ac:dyDescent="0.25">
      <c r="A3918" s="5">
        <f>3911</f>
      </c>
      <c r="B3918" s="5" t="s">
        <v>3926</v>
      </c>
      <c r="C3918" s="5">
        <v>98.6</v>
      </c>
      <c r="D3918" s="5">
        <v>0.1</v>
      </c>
      <c r="E3918" s="5">
        <v>98.8</v>
      </c>
      <c r="F3918" s="5">
        <v>195.7</v>
      </c>
      <c r="G3918" s="5">
        <v>97.7</v>
      </c>
      <c r="H3918" s="5">
        <v>97.6</v>
      </c>
      <c r="I3918" s="5">
        <v>0</v>
      </c>
      <c r="J3918" s="5">
        <v>0</v>
      </c>
      <c r="K3918" s="5">
        <v>0</v>
      </c>
    </row>
    <row r="3919" spans="1:11" x14ac:dyDescent="0.25">
      <c r="A3919" s="5">
        <f>3912</f>
      </c>
      <c r="B3919" s="5" t="s">
        <v>3927</v>
      </c>
      <c r="C3919" s="5">
        <v>97.4</v>
      </c>
      <c r="D3919" s="5">
        <v>0.1</v>
      </c>
      <c r="E3919" s="5">
        <v>97.5</v>
      </c>
      <c r="F3919" s="5">
        <v>195.7</v>
      </c>
      <c r="G3919" s="5">
        <v>97.7</v>
      </c>
      <c r="H3919" s="5">
        <v>97.6</v>
      </c>
      <c r="I3919" s="5">
        <v>0</v>
      </c>
      <c r="J3919" s="5">
        <v>0</v>
      </c>
      <c r="K3919" s="5">
        <v>0</v>
      </c>
    </row>
    <row r="3920" spans="1:11" x14ac:dyDescent="0.25">
      <c r="A3920" s="5">
        <f>3913</f>
      </c>
      <c r="B3920" s="5" t="s">
        <v>3928</v>
      </c>
      <c r="C3920" s="5">
        <v>97.4</v>
      </c>
      <c r="D3920" s="5">
        <v>0.1</v>
      </c>
      <c r="E3920" s="5">
        <v>97.5</v>
      </c>
      <c r="F3920" s="5">
        <v>195.7</v>
      </c>
      <c r="G3920" s="5">
        <v>97.7</v>
      </c>
      <c r="H3920" s="5">
        <v>97.6</v>
      </c>
      <c r="I3920" s="5">
        <v>0</v>
      </c>
      <c r="J3920" s="5">
        <v>0</v>
      </c>
      <c r="K3920" s="5">
        <v>0</v>
      </c>
    </row>
    <row r="3921" spans="1:11" x14ac:dyDescent="0.25">
      <c r="A3921" s="5">
        <f>3914</f>
      </c>
      <c r="B3921" s="5" t="s">
        <v>3929</v>
      </c>
      <c r="C3921" s="5">
        <v>97.9</v>
      </c>
      <c r="D3921" s="5">
        <v>0</v>
      </c>
      <c r="E3921" s="5">
        <v>98</v>
      </c>
      <c r="F3921" s="5">
        <v>195.9</v>
      </c>
      <c r="G3921" s="5">
        <v>97.7</v>
      </c>
      <c r="H3921" s="5">
        <v>97.6</v>
      </c>
      <c r="I3921" s="5">
        <v>0</v>
      </c>
      <c r="J3921" s="5">
        <v>0</v>
      </c>
      <c r="K3921" s="5">
        <v>0</v>
      </c>
    </row>
    <row r="3922" spans="1:11" x14ac:dyDescent="0.25">
      <c r="A3922" s="5">
        <f>3915</f>
      </c>
      <c r="B3922" s="5" t="s">
        <v>3930</v>
      </c>
      <c r="C3922" s="5">
        <v>97.9</v>
      </c>
      <c r="D3922" s="5">
        <v>0</v>
      </c>
      <c r="E3922" s="5">
        <v>98</v>
      </c>
      <c r="F3922" s="5">
        <v>195.9</v>
      </c>
      <c r="G3922" s="5">
        <v>97.7</v>
      </c>
      <c r="H3922" s="5">
        <v>97.6</v>
      </c>
      <c r="I3922" s="5">
        <v>0</v>
      </c>
      <c r="J3922" s="5">
        <v>0</v>
      </c>
      <c r="K3922" s="5">
        <v>0</v>
      </c>
    </row>
    <row r="3923" spans="1:11" x14ac:dyDescent="0.25">
      <c r="A3923" s="5">
        <f>3916</f>
      </c>
      <c r="B3923" s="5" t="s">
        <v>3931</v>
      </c>
      <c r="C3923" s="5">
        <v>97.9</v>
      </c>
      <c r="D3923" s="5">
        <v>0</v>
      </c>
      <c r="E3923" s="5">
        <v>98</v>
      </c>
      <c r="F3923" s="5">
        <v>195.9</v>
      </c>
      <c r="G3923" s="5">
        <v>97.7</v>
      </c>
      <c r="H3923" s="5">
        <v>97.6</v>
      </c>
      <c r="I3923" s="5">
        <v>0</v>
      </c>
      <c r="J3923" s="5">
        <v>0</v>
      </c>
      <c r="K3923" s="5">
        <v>0</v>
      </c>
    </row>
    <row r="3924" spans="1:11" x14ac:dyDescent="0.25">
      <c r="A3924" s="5">
        <f>3917</f>
      </c>
      <c r="B3924" s="5" t="s">
        <v>3932</v>
      </c>
      <c r="C3924" s="5">
        <v>97.6</v>
      </c>
      <c r="D3924" s="5">
        <v>0.1</v>
      </c>
      <c r="E3924" s="5">
        <v>97.8</v>
      </c>
      <c r="F3924" s="5">
        <v>195.6</v>
      </c>
      <c r="G3924" s="5">
        <v>97.6</v>
      </c>
      <c r="H3924" s="5">
        <v>97.5</v>
      </c>
      <c r="I3924" s="5">
        <v>0</v>
      </c>
      <c r="J3924" s="5">
        <v>0</v>
      </c>
      <c r="K3924" s="5">
        <v>0</v>
      </c>
    </row>
    <row r="3925" spans="1:11" x14ac:dyDescent="0.25">
      <c r="A3925" s="5">
        <f>3918</f>
      </c>
      <c r="B3925" s="5" t="s">
        <v>3933</v>
      </c>
      <c r="C3925" s="5">
        <v>97.6</v>
      </c>
      <c r="D3925" s="5">
        <v>0.1</v>
      </c>
      <c r="E3925" s="5">
        <v>97.8</v>
      </c>
      <c r="F3925" s="5">
        <v>195.6</v>
      </c>
      <c r="G3925" s="5">
        <v>97.6</v>
      </c>
      <c r="H3925" s="5">
        <v>97.5</v>
      </c>
      <c r="I3925" s="5">
        <v>0</v>
      </c>
      <c r="J3925" s="5">
        <v>0</v>
      </c>
      <c r="K3925" s="5">
        <v>0</v>
      </c>
    </row>
    <row r="3926" spans="1:11" x14ac:dyDescent="0.25">
      <c r="A3926" s="5">
        <f>3919</f>
      </c>
      <c r="B3926" s="5" t="s">
        <v>3934</v>
      </c>
      <c r="C3926" s="5">
        <v>97.6</v>
      </c>
      <c r="D3926" s="5">
        <v>0.1</v>
      </c>
      <c r="E3926" s="5">
        <v>97.8</v>
      </c>
      <c r="F3926" s="5">
        <v>195.6</v>
      </c>
      <c r="G3926" s="5">
        <v>97.6</v>
      </c>
      <c r="H3926" s="5">
        <v>97.5</v>
      </c>
      <c r="I3926" s="5">
        <v>0</v>
      </c>
      <c r="J3926" s="5">
        <v>0</v>
      </c>
      <c r="K3926" s="5">
        <v>0</v>
      </c>
    </row>
    <row r="3927" spans="1:11" x14ac:dyDescent="0.25">
      <c r="A3927" s="5">
        <f>3920</f>
      </c>
      <c r="B3927" s="5" t="s">
        <v>3935</v>
      </c>
      <c r="C3927" s="5">
        <v>97.6</v>
      </c>
      <c r="D3927" s="5">
        <v>0.1</v>
      </c>
      <c r="E3927" s="5">
        <v>97.8</v>
      </c>
      <c r="F3927" s="5">
        <v>195.6</v>
      </c>
      <c r="G3927" s="5">
        <v>97.6</v>
      </c>
      <c r="H3927" s="5">
        <v>97.5</v>
      </c>
      <c r="I3927" s="5">
        <v>0</v>
      </c>
      <c r="J3927" s="5">
        <v>0</v>
      </c>
      <c r="K3927" s="5">
        <v>0</v>
      </c>
    </row>
    <row r="3928" spans="1:11" x14ac:dyDescent="0.25">
      <c r="A3928" s="5">
        <f>3921</f>
      </c>
      <c r="B3928" s="5" t="s">
        <v>3936</v>
      </c>
      <c r="C3928" s="5">
        <v>97.6</v>
      </c>
      <c r="D3928" s="5">
        <v>0.1</v>
      </c>
      <c r="E3928" s="5">
        <v>97.8</v>
      </c>
      <c r="F3928" s="5">
        <v>195.6</v>
      </c>
      <c r="G3928" s="5">
        <v>97.6</v>
      </c>
      <c r="H3928" s="5">
        <v>97.5</v>
      </c>
      <c r="I3928" s="5">
        <v>0</v>
      </c>
      <c r="J3928" s="5">
        <v>0</v>
      </c>
      <c r="K3928" s="5">
        <v>0</v>
      </c>
    </row>
    <row r="3929" spans="1:11" x14ac:dyDescent="0.25">
      <c r="A3929" s="5">
        <f>3922</f>
      </c>
      <c r="B3929" s="5" t="s">
        <v>3937</v>
      </c>
      <c r="C3929" s="5">
        <v>97.6</v>
      </c>
      <c r="D3929" s="5">
        <v>0.1</v>
      </c>
      <c r="E3929" s="5">
        <v>97.8</v>
      </c>
      <c r="F3929" s="5">
        <v>195.6</v>
      </c>
      <c r="G3929" s="5">
        <v>97.6</v>
      </c>
      <c r="H3929" s="5">
        <v>97.5</v>
      </c>
      <c r="I3929" s="5">
        <v>0</v>
      </c>
      <c r="J3929" s="5">
        <v>0</v>
      </c>
      <c r="K3929" s="5">
        <v>0</v>
      </c>
    </row>
    <row r="3930" spans="1:11" x14ac:dyDescent="0.25">
      <c r="A3930" s="5">
        <f>3923</f>
      </c>
      <c r="B3930" s="5" t="s">
        <v>3938</v>
      </c>
      <c r="C3930" s="5">
        <v>97.6</v>
      </c>
      <c r="D3930" s="5">
        <v>0.1</v>
      </c>
      <c r="E3930" s="5">
        <v>97.8</v>
      </c>
      <c r="F3930" s="5">
        <v>195.6</v>
      </c>
      <c r="G3930" s="5">
        <v>97.6</v>
      </c>
      <c r="H3930" s="5">
        <v>97.5</v>
      </c>
      <c r="I3930" s="5">
        <v>0</v>
      </c>
      <c r="J3930" s="5">
        <v>0</v>
      </c>
      <c r="K3930" s="5">
        <v>0</v>
      </c>
    </row>
    <row r="3931" spans="1:11" x14ac:dyDescent="0.25">
      <c r="A3931" s="5">
        <f>3924</f>
      </c>
      <c r="B3931" s="5" t="s">
        <v>3939</v>
      </c>
      <c r="C3931" s="5">
        <v>97.6</v>
      </c>
      <c r="D3931" s="5">
        <v>0.1</v>
      </c>
      <c r="E3931" s="5">
        <v>97.8</v>
      </c>
      <c r="F3931" s="5">
        <v>195.6</v>
      </c>
      <c r="G3931" s="5">
        <v>97.6</v>
      </c>
      <c r="H3931" s="5">
        <v>97.5</v>
      </c>
      <c r="I3931" s="5">
        <v>0</v>
      </c>
      <c r="J3931" s="5">
        <v>0</v>
      </c>
      <c r="K3931" s="5">
        <v>0</v>
      </c>
    </row>
    <row r="3932" spans="1:11" x14ac:dyDescent="0.25">
      <c r="A3932" s="5">
        <f>3925</f>
      </c>
      <c r="B3932" s="5" t="s">
        <v>3940</v>
      </c>
      <c r="C3932" s="5">
        <v>97.6</v>
      </c>
      <c r="D3932" s="5">
        <v>0.1</v>
      </c>
      <c r="E3932" s="5">
        <v>97.8</v>
      </c>
      <c r="F3932" s="5">
        <v>195.6</v>
      </c>
      <c r="G3932" s="5">
        <v>97.6</v>
      </c>
      <c r="H3932" s="5">
        <v>97.5</v>
      </c>
      <c r="I3932" s="5">
        <v>0</v>
      </c>
      <c r="J3932" s="5">
        <v>0</v>
      </c>
      <c r="K3932" s="5">
        <v>0</v>
      </c>
    </row>
    <row r="3933" spans="1:11" x14ac:dyDescent="0.25">
      <c r="A3933" s="5">
        <f>3926</f>
      </c>
      <c r="B3933" s="5" t="s">
        <v>3941</v>
      </c>
      <c r="C3933" s="5">
        <v>97.6</v>
      </c>
      <c r="D3933" s="5">
        <v>0.1</v>
      </c>
      <c r="E3933" s="5">
        <v>97.8</v>
      </c>
      <c r="F3933" s="5">
        <v>195.6</v>
      </c>
      <c r="G3933" s="5">
        <v>97.6</v>
      </c>
      <c r="H3933" s="5">
        <v>97.5</v>
      </c>
      <c r="I3933" s="5">
        <v>0</v>
      </c>
      <c r="J3933" s="5">
        <v>0</v>
      </c>
      <c r="K3933" s="5">
        <v>0</v>
      </c>
    </row>
    <row r="3934" spans="1:11" x14ac:dyDescent="0.25">
      <c r="A3934" s="5">
        <f>3927</f>
      </c>
      <c r="B3934" s="5" t="s">
        <v>3942</v>
      </c>
      <c r="C3934" s="5">
        <v>97.6</v>
      </c>
      <c r="D3934" s="5">
        <v>0.1</v>
      </c>
      <c r="E3934" s="5">
        <v>97.8</v>
      </c>
      <c r="F3934" s="5">
        <v>195.6</v>
      </c>
      <c r="G3934" s="5">
        <v>97.6</v>
      </c>
      <c r="H3934" s="5">
        <v>97.5</v>
      </c>
      <c r="I3934" s="5">
        <v>0</v>
      </c>
      <c r="J3934" s="5">
        <v>0</v>
      </c>
      <c r="K3934" s="5">
        <v>0</v>
      </c>
    </row>
    <row r="3935" spans="1:11" x14ac:dyDescent="0.25">
      <c r="A3935" s="5">
        <f>3928</f>
      </c>
      <c r="B3935" s="5" t="s">
        <v>3943</v>
      </c>
      <c r="C3935" s="5">
        <v>97.6</v>
      </c>
      <c r="D3935" s="5">
        <v>0.1</v>
      </c>
      <c r="E3935" s="5">
        <v>97.8</v>
      </c>
      <c r="F3935" s="5">
        <v>195.6</v>
      </c>
      <c r="G3935" s="5">
        <v>97.6</v>
      </c>
      <c r="H3935" s="5">
        <v>97.5</v>
      </c>
      <c r="I3935" s="5">
        <v>0</v>
      </c>
      <c r="J3935" s="5">
        <v>0</v>
      </c>
      <c r="K3935" s="5">
        <v>0</v>
      </c>
    </row>
    <row r="3936" spans="1:11" x14ac:dyDescent="0.25">
      <c r="A3936" s="5">
        <f>3929</f>
      </c>
      <c r="B3936" s="5" t="s">
        <v>3944</v>
      </c>
      <c r="C3936" s="5">
        <v>97.6</v>
      </c>
      <c r="D3936" s="5">
        <v>0.1</v>
      </c>
      <c r="E3936" s="5">
        <v>97.8</v>
      </c>
      <c r="F3936" s="5">
        <v>195.6</v>
      </c>
      <c r="G3936" s="5">
        <v>97.6</v>
      </c>
      <c r="H3936" s="5">
        <v>97.5</v>
      </c>
      <c r="I3936" s="5">
        <v>0</v>
      </c>
      <c r="J3936" s="5">
        <v>0</v>
      </c>
      <c r="K3936" s="5">
        <v>0</v>
      </c>
    </row>
    <row r="3937" spans="1:11" x14ac:dyDescent="0.25">
      <c r="A3937" s="5">
        <f>3930</f>
      </c>
      <c r="B3937" s="5" t="s">
        <v>3945</v>
      </c>
      <c r="C3937" s="5">
        <v>97.6</v>
      </c>
      <c r="D3937" s="5">
        <v>0.1</v>
      </c>
      <c r="E3937" s="5">
        <v>97.8</v>
      </c>
      <c r="F3937" s="5">
        <v>195.6</v>
      </c>
      <c r="G3937" s="5">
        <v>97.6</v>
      </c>
      <c r="H3937" s="5">
        <v>97.5</v>
      </c>
      <c r="I3937" s="5">
        <v>0</v>
      </c>
      <c r="J3937" s="5">
        <v>0</v>
      </c>
      <c r="K3937" s="5">
        <v>0</v>
      </c>
    </row>
    <row r="3938" spans="1:11" x14ac:dyDescent="0.25">
      <c r="A3938" s="5">
        <f>3931</f>
      </c>
      <c r="B3938" s="5" t="s">
        <v>3946</v>
      </c>
      <c r="C3938" s="5">
        <v>97.6</v>
      </c>
      <c r="D3938" s="5">
        <v>0.1</v>
      </c>
      <c r="E3938" s="5">
        <v>97.8</v>
      </c>
      <c r="F3938" s="5">
        <v>195.6</v>
      </c>
      <c r="G3938" s="5">
        <v>97.6</v>
      </c>
      <c r="H3938" s="5">
        <v>97.5</v>
      </c>
      <c r="I3938" s="5">
        <v>0</v>
      </c>
      <c r="J3938" s="5">
        <v>0</v>
      </c>
      <c r="K3938" s="5">
        <v>0</v>
      </c>
    </row>
    <row r="3939" spans="1:11" x14ac:dyDescent="0.25">
      <c r="A3939" s="5">
        <f>3932</f>
      </c>
      <c r="B3939" s="5" t="s">
        <v>3947</v>
      </c>
      <c r="C3939" s="5">
        <v>97.6</v>
      </c>
      <c r="D3939" s="5">
        <v>0.1</v>
      </c>
      <c r="E3939" s="5">
        <v>97.8</v>
      </c>
      <c r="F3939" s="5">
        <v>195.6</v>
      </c>
      <c r="G3939" s="5">
        <v>97.6</v>
      </c>
      <c r="H3939" s="5">
        <v>97.5</v>
      </c>
      <c r="I3939" s="5">
        <v>0</v>
      </c>
      <c r="J3939" s="5">
        <v>0</v>
      </c>
      <c r="K3939" s="5">
        <v>0</v>
      </c>
    </row>
    <row r="3940" spans="1:11" x14ac:dyDescent="0.25">
      <c r="A3940" s="5">
        <f>3933</f>
      </c>
      <c r="B3940" s="5" t="s">
        <v>3948</v>
      </c>
      <c r="C3940" s="5">
        <v>97.6</v>
      </c>
      <c r="D3940" s="5">
        <v>0.1</v>
      </c>
      <c r="E3940" s="5">
        <v>97.8</v>
      </c>
      <c r="F3940" s="5">
        <v>195.6</v>
      </c>
      <c r="G3940" s="5">
        <v>97.6</v>
      </c>
      <c r="H3940" s="5">
        <v>97.5</v>
      </c>
      <c r="I3940" s="5">
        <v>0</v>
      </c>
      <c r="J3940" s="5">
        <v>0</v>
      </c>
      <c r="K3940" s="5">
        <v>0</v>
      </c>
    </row>
    <row r="3941" spans="1:11" x14ac:dyDescent="0.25">
      <c r="A3941" s="5">
        <f>3934</f>
      </c>
      <c r="B3941" s="5" t="s">
        <v>3949</v>
      </c>
      <c r="C3941" s="5">
        <v>97.6</v>
      </c>
      <c r="D3941" s="5">
        <v>0.1</v>
      </c>
      <c r="E3941" s="5">
        <v>97.8</v>
      </c>
      <c r="F3941" s="5">
        <v>195.6</v>
      </c>
      <c r="G3941" s="5">
        <v>97.6</v>
      </c>
      <c r="H3941" s="5">
        <v>97.5</v>
      </c>
      <c r="I3941" s="5">
        <v>0</v>
      </c>
      <c r="J3941" s="5">
        <v>0</v>
      </c>
      <c r="K3941" s="5">
        <v>0</v>
      </c>
    </row>
    <row r="3942" spans="1:11" x14ac:dyDescent="0.25">
      <c r="A3942" s="5">
        <f>3935</f>
      </c>
      <c r="B3942" s="5" t="s">
        <v>3950</v>
      </c>
      <c r="C3942" s="5">
        <v>97.6</v>
      </c>
      <c r="D3942" s="5">
        <v>0.1</v>
      </c>
      <c r="E3942" s="5">
        <v>97.8</v>
      </c>
      <c r="F3942" s="5">
        <v>195.6</v>
      </c>
      <c r="G3942" s="5">
        <v>97.6</v>
      </c>
      <c r="H3942" s="5">
        <v>97.5</v>
      </c>
      <c r="I3942" s="5">
        <v>0</v>
      </c>
      <c r="J3942" s="5">
        <v>0</v>
      </c>
      <c r="K3942" s="5">
        <v>0</v>
      </c>
    </row>
    <row r="3943" spans="1:11" x14ac:dyDescent="0.25">
      <c r="A3943" s="5">
        <f>3936</f>
      </c>
      <c r="B3943" s="5" t="s">
        <v>3951</v>
      </c>
      <c r="C3943" s="5">
        <v>97.6</v>
      </c>
      <c r="D3943" s="5">
        <v>0.1</v>
      </c>
      <c r="E3943" s="5">
        <v>97.8</v>
      </c>
      <c r="F3943" s="5">
        <v>195.6</v>
      </c>
      <c r="G3943" s="5">
        <v>97.6</v>
      </c>
      <c r="H3943" s="5">
        <v>97.5</v>
      </c>
      <c r="I3943" s="5">
        <v>0</v>
      </c>
      <c r="J3943" s="5">
        <v>0</v>
      </c>
      <c r="K3943" s="5">
        <v>0</v>
      </c>
    </row>
    <row r="3944" spans="1:11" x14ac:dyDescent="0.25">
      <c r="A3944" s="5">
        <f>3937</f>
      </c>
      <c r="B3944" s="5" t="s">
        <v>3952</v>
      </c>
      <c r="C3944" s="5">
        <v>97.6</v>
      </c>
      <c r="D3944" s="5">
        <v>0.1</v>
      </c>
      <c r="E3944" s="5">
        <v>97.8</v>
      </c>
      <c r="F3944" s="5">
        <v>195.6</v>
      </c>
      <c r="G3944" s="5">
        <v>97.6</v>
      </c>
      <c r="H3944" s="5">
        <v>97.5</v>
      </c>
      <c r="I3944" s="5">
        <v>0</v>
      </c>
      <c r="J3944" s="5">
        <v>0</v>
      </c>
      <c r="K3944" s="5">
        <v>0</v>
      </c>
    </row>
    <row r="3945" spans="1:11" x14ac:dyDescent="0.25">
      <c r="A3945" s="5">
        <f>3938</f>
      </c>
      <c r="B3945" s="5" t="s">
        <v>3953</v>
      </c>
      <c r="C3945" s="5">
        <v>97.6</v>
      </c>
      <c r="D3945" s="5">
        <v>0.1</v>
      </c>
      <c r="E3945" s="5">
        <v>97.8</v>
      </c>
      <c r="F3945" s="5">
        <v>195.6</v>
      </c>
      <c r="G3945" s="5">
        <v>97.6</v>
      </c>
      <c r="H3945" s="5">
        <v>97.5</v>
      </c>
      <c r="I3945" s="5">
        <v>0</v>
      </c>
      <c r="J3945" s="5">
        <v>0</v>
      </c>
      <c r="K3945" s="5">
        <v>0</v>
      </c>
    </row>
    <row r="3946" spans="1:11" x14ac:dyDescent="0.25">
      <c r="A3946" s="5">
        <f>3939</f>
      </c>
      <c r="B3946" s="5" t="s">
        <v>3954</v>
      </c>
      <c r="C3946" s="5">
        <v>97.6</v>
      </c>
      <c r="D3946" s="5">
        <v>0.1</v>
      </c>
      <c r="E3946" s="5">
        <v>97.8</v>
      </c>
      <c r="F3946" s="5">
        <v>195.6</v>
      </c>
      <c r="G3946" s="5">
        <v>97.6</v>
      </c>
      <c r="H3946" s="5">
        <v>97.5</v>
      </c>
      <c r="I3946" s="5">
        <v>0</v>
      </c>
      <c r="J3946" s="5">
        <v>0</v>
      </c>
      <c r="K3946" s="5">
        <v>0</v>
      </c>
    </row>
    <row r="3947" spans="1:11" x14ac:dyDescent="0.25">
      <c r="A3947" s="5">
        <f>3940</f>
      </c>
      <c r="B3947" s="5" t="s">
        <v>3955</v>
      </c>
      <c r="C3947" s="5">
        <v>97.6</v>
      </c>
      <c r="D3947" s="5">
        <v>0.1</v>
      </c>
      <c r="E3947" s="5">
        <v>97.8</v>
      </c>
      <c r="F3947" s="5">
        <v>195.6</v>
      </c>
      <c r="G3947" s="5">
        <v>97.6</v>
      </c>
      <c r="H3947" s="5">
        <v>97.5</v>
      </c>
      <c r="I3947" s="5">
        <v>0</v>
      </c>
      <c r="J3947" s="5">
        <v>0</v>
      </c>
      <c r="K3947" s="5">
        <v>0</v>
      </c>
    </row>
    <row r="3948" spans="1:11" x14ac:dyDescent="0.25">
      <c r="A3948" s="5">
        <f>3941</f>
      </c>
      <c r="B3948" s="5" t="s">
        <v>3956</v>
      </c>
      <c r="C3948" s="5">
        <v>97.6</v>
      </c>
      <c r="D3948" s="5">
        <v>0.1</v>
      </c>
      <c r="E3948" s="5">
        <v>97.8</v>
      </c>
      <c r="F3948" s="5">
        <v>195.6</v>
      </c>
      <c r="G3948" s="5">
        <v>97.6</v>
      </c>
      <c r="H3948" s="5">
        <v>97.5</v>
      </c>
      <c r="I3948" s="5">
        <v>0</v>
      </c>
      <c r="J3948" s="5">
        <v>0</v>
      </c>
      <c r="K3948" s="5">
        <v>0</v>
      </c>
    </row>
    <row r="3949" spans="1:11" x14ac:dyDescent="0.25">
      <c r="A3949" s="5">
        <f>3942</f>
      </c>
      <c r="B3949" s="5" t="s">
        <v>3957</v>
      </c>
      <c r="C3949" s="5">
        <v>97.6</v>
      </c>
      <c r="D3949" s="5">
        <v>0.1</v>
      </c>
      <c r="E3949" s="5">
        <v>97.8</v>
      </c>
      <c r="F3949" s="5">
        <v>195.6</v>
      </c>
      <c r="G3949" s="5">
        <v>97.6</v>
      </c>
      <c r="H3949" s="5">
        <v>97.5</v>
      </c>
      <c r="I3949" s="5">
        <v>0</v>
      </c>
      <c r="J3949" s="5">
        <v>0</v>
      </c>
      <c r="K3949" s="5">
        <v>0</v>
      </c>
    </row>
    <row r="3950" spans="1:11" x14ac:dyDescent="0.25">
      <c r="A3950" s="5">
        <f>3943</f>
      </c>
      <c r="B3950" s="5" t="s">
        <v>3958</v>
      </c>
      <c r="C3950" s="5">
        <v>97.6</v>
      </c>
      <c r="D3950" s="5">
        <v>0.1</v>
      </c>
      <c r="E3950" s="5">
        <v>97.8</v>
      </c>
      <c r="F3950" s="5">
        <v>195.6</v>
      </c>
      <c r="G3950" s="5">
        <v>97.6</v>
      </c>
      <c r="H3950" s="5">
        <v>97.5</v>
      </c>
      <c r="I3950" s="5">
        <v>0</v>
      </c>
      <c r="J3950" s="5">
        <v>0</v>
      </c>
      <c r="K3950" s="5">
        <v>0</v>
      </c>
    </row>
    <row r="3951" spans="1:11" x14ac:dyDescent="0.25">
      <c r="A3951" s="5">
        <f>3944</f>
      </c>
      <c r="B3951" s="5" t="s">
        <v>3959</v>
      </c>
      <c r="C3951" s="5">
        <v>97.6</v>
      </c>
      <c r="D3951" s="5">
        <v>0.1</v>
      </c>
      <c r="E3951" s="5">
        <v>97.8</v>
      </c>
      <c r="F3951" s="5">
        <v>195.6</v>
      </c>
      <c r="G3951" s="5">
        <v>97.6</v>
      </c>
      <c r="H3951" s="5">
        <v>97.5</v>
      </c>
      <c r="I3951" s="5">
        <v>0</v>
      </c>
      <c r="J3951" s="5">
        <v>0</v>
      </c>
      <c r="K3951" s="5">
        <v>0</v>
      </c>
    </row>
    <row r="3952" spans="1:11" x14ac:dyDescent="0.25">
      <c r="A3952" s="5">
        <f>3945</f>
      </c>
      <c r="B3952" s="5" t="s">
        <v>3960</v>
      </c>
      <c r="C3952" s="5">
        <v>97.6</v>
      </c>
      <c r="D3952" s="5">
        <v>0.1</v>
      </c>
      <c r="E3952" s="5">
        <v>97.8</v>
      </c>
      <c r="F3952" s="5">
        <v>195.6</v>
      </c>
      <c r="G3952" s="5">
        <v>97.6</v>
      </c>
      <c r="H3952" s="5">
        <v>97.5</v>
      </c>
      <c r="I3952" s="5">
        <v>0</v>
      </c>
      <c r="J3952" s="5">
        <v>0</v>
      </c>
      <c r="K3952" s="5">
        <v>0</v>
      </c>
    </row>
    <row r="3953" spans="1:11" x14ac:dyDescent="0.25">
      <c r="A3953" s="5">
        <f>3946</f>
      </c>
      <c r="B3953" s="5" t="s">
        <v>3961</v>
      </c>
      <c r="C3953" s="5">
        <v>97.6</v>
      </c>
      <c r="D3953" s="5">
        <v>0.1</v>
      </c>
      <c r="E3953" s="5">
        <v>97.8</v>
      </c>
      <c r="F3953" s="5">
        <v>195.6</v>
      </c>
      <c r="G3953" s="5">
        <v>97.6</v>
      </c>
      <c r="H3953" s="5">
        <v>97.5</v>
      </c>
      <c r="I3953" s="5">
        <v>0</v>
      </c>
      <c r="J3953" s="5">
        <v>0</v>
      </c>
      <c r="K3953" s="5">
        <v>0</v>
      </c>
    </row>
    <row r="3954" spans="1:11" x14ac:dyDescent="0.25">
      <c r="A3954" s="5">
        <f>3947</f>
      </c>
      <c r="B3954" s="5" t="s">
        <v>3962</v>
      </c>
      <c r="C3954" s="5">
        <v>97.6</v>
      </c>
      <c r="D3954" s="5">
        <v>0.1</v>
      </c>
      <c r="E3954" s="5">
        <v>97.8</v>
      </c>
      <c r="F3954" s="5">
        <v>195.6</v>
      </c>
      <c r="G3954" s="5">
        <v>97.6</v>
      </c>
      <c r="H3954" s="5">
        <v>97.5</v>
      </c>
      <c r="I3954" s="5">
        <v>0</v>
      </c>
      <c r="J3954" s="5">
        <v>0</v>
      </c>
      <c r="K3954" s="5">
        <v>0</v>
      </c>
    </row>
    <row r="3955" spans="1:11" x14ac:dyDescent="0.25">
      <c r="A3955" s="5">
        <f>3948</f>
      </c>
      <c r="B3955" s="5" t="s">
        <v>3963</v>
      </c>
      <c r="C3955" s="5">
        <v>97.6</v>
      </c>
      <c r="D3955" s="5">
        <v>0.1</v>
      </c>
      <c r="E3955" s="5">
        <v>97.8</v>
      </c>
      <c r="F3955" s="5">
        <v>195.6</v>
      </c>
      <c r="G3955" s="5">
        <v>97.6</v>
      </c>
      <c r="H3955" s="5">
        <v>97.5</v>
      </c>
      <c r="I3955" s="5">
        <v>0</v>
      </c>
      <c r="J3955" s="5">
        <v>0</v>
      </c>
      <c r="K3955" s="5">
        <v>0</v>
      </c>
    </row>
    <row r="3956" spans="1:11" x14ac:dyDescent="0.25">
      <c r="A3956" s="5">
        <f>3949</f>
      </c>
      <c r="B3956" s="5" t="s">
        <v>3964</v>
      </c>
      <c r="C3956" s="5">
        <v>97.6</v>
      </c>
      <c r="D3956" s="5">
        <v>0.1</v>
      </c>
      <c r="E3956" s="5">
        <v>97.8</v>
      </c>
      <c r="F3956" s="5">
        <v>195.6</v>
      </c>
      <c r="G3956" s="5">
        <v>97.6</v>
      </c>
      <c r="H3956" s="5">
        <v>97.5</v>
      </c>
      <c r="I3956" s="5">
        <v>0</v>
      </c>
      <c r="J3956" s="5">
        <v>0</v>
      </c>
      <c r="K3956" s="5">
        <v>0</v>
      </c>
    </row>
    <row r="3957" spans="1:11" x14ac:dyDescent="0.25">
      <c r="A3957" s="5">
        <f>3950</f>
      </c>
      <c r="B3957" s="5" t="s">
        <v>3965</v>
      </c>
      <c r="C3957" s="5">
        <v>97.6</v>
      </c>
      <c r="D3957" s="5">
        <v>0.1</v>
      </c>
      <c r="E3957" s="5">
        <v>97.8</v>
      </c>
      <c r="F3957" s="5">
        <v>195.6</v>
      </c>
      <c r="G3957" s="5">
        <v>97.6</v>
      </c>
      <c r="H3957" s="5">
        <v>97.5</v>
      </c>
      <c r="I3957" s="5">
        <v>0</v>
      </c>
      <c r="J3957" s="5">
        <v>0</v>
      </c>
      <c r="K3957" s="5">
        <v>0</v>
      </c>
    </row>
    <row r="3958" spans="1:11" x14ac:dyDescent="0.25">
      <c r="A3958" s="5">
        <f>3951</f>
      </c>
      <c r="B3958" s="5" t="s">
        <v>3966</v>
      </c>
      <c r="C3958" s="5">
        <v>97.6</v>
      </c>
      <c r="D3958" s="5">
        <v>0.1</v>
      </c>
      <c r="E3958" s="5">
        <v>97.8</v>
      </c>
      <c r="F3958" s="5">
        <v>195.6</v>
      </c>
      <c r="G3958" s="5">
        <v>97.6</v>
      </c>
      <c r="H3958" s="5">
        <v>97.5</v>
      </c>
      <c r="I3958" s="5">
        <v>0</v>
      </c>
      <c r="J3958" s="5">
        <v>0</v>
      </c>
      <c r="K3958" s="5">
        <v>0</v>
      </c>
    </row>
    <row r="3959" spans="1:11" x14ac:dyDescent="0.25">
      <c r="A3959" s="5">
        <f>3952</f>
      </c>
      <c r="B3959" s="5" t="s">
        <v>3967</v>
      </c>
      <c r="C3959" s="5">
        <v>97.6</v>
      </c>
      <c r="D3959" s="5">
        <v>0.1</v>
      </c>
      <c r="E3959" s="5">
        <v>97.8</v>
      </c>
      <c r="F3959" s="5">
        <v>195.6</v>
      </c>
      <c r="G3959" s="5">
        <v>97.6</v>
      </c>
      <c r="H3959" s="5">
        <v>97.5</v>
      </c>
      <c r="I3959" s="5">
        <v>0</v>
      </c>
      <c r="J3959" s="5">
        <v>0</v>
      </c>
      <c r="K3959" s="5">
        <v>0</v>
      </c>
    </row>
    <row r="3960" spans="1:11" x14ac:dyDescent="0.25">
      <c r="A3960" s="5">
        <f>3953</f>
      </c>
      <c r="B3960" s="5" t="s">
        <v>3968</v>
      </c>
      <c r="C3960" s="5">
        <v>97.6</v>
      </c>
      <c r="D3960" s="5">
        <v>0.1</v>
      </c>
      <c r="E3960" s="5">
        <v>97.8</v>
      </c>
      <c r="F3960" s="5">
        <v>195.6</v>
      </c>
      <c r="G3960" s="5">
        <v>97.6</v>
      </c>
      <c r="H3960" s="5">
        <v>97.5</v>
      </c>
      <c r="I3960" s="5">
        <v>0</v>
      </c>
      <c r="J3960" s="5">
        <v>0</v>
      </c>
      <c r="K3960" s="5">
        <v>0</v>
      </c>
    </row>
    <row r="3961" spans="1:11" x14ac:dyDescent="0.25">
      <c r="A3961" s="5">
        <f>3954</f>
      </c>
      <c r="B3961" s="5" t="s">
        <v>3969</v>
      </c>
      <c r="C3961" s="5">
        <v>97.6</v>
      </c>
      <c r="D3961" s="5">
        <v>0.1</v>
      </c>
      <c r="E3961" s="5">
        <v>97.8</v>
      </c>
      <c r="F3961" s="5">
        <v>195.6</v>
      </c>
      <c r="G3961" s="5">
        <v>97.6</v>
      </c>
      <c r="H3961" s="5">
        <v>97.5</v>
      </c>
      <c r="I3961" s="5">
        <v>0</v>
      </c>
      <c r="J3961" s="5">
        <v>0</v>
      </c>
      <c r="K3961" s="5">
        <v>0</v>
      </c>
    </row>
    <row r="3962" spans="1:11" x14ac:dyDescent="0.25">
      <c r="A3962" s="5">
        <f>3955</f>
      </c>
      <c r="B3962" s="5" t="s">
        <v>3970</v>
      </c>
      <c r="C3962" s="5">
        <v>97.6</v>
      </c>
      <c r="D3962" s="5">
        <v>0.1</v>
      </c>
      <c r="E3962" s="5">
        <v>97.8</v>
      </c>
      <c r="F3962" s="5">
        <v>195.6</v>
      </c>
      <c r="G3962" s="5">
        <v>97.6</v>
      </c>
      <c r="H3962" s="5">
        <v>97.5</v>
      </c>
      <c r="I3962" s="5">
        <v>0</v>
      </c>
      <c r="J3962" s="5">
        <v>0</v>
      </c>
      <c r="K3962" s="5">
        <v>0</v>
      </c>
    </row>
    <row r="3963" spans="1:11" x14ac:dyDescent="0.25">
      <c r="A3963" s="5">
        <f>3956</f>
      </c>
      <c r="B3963" s="5" t="s">
        <v>3971</v>
      </c>
      <c r="C3963" s="5">
        <v>97.6</v>
      </c>
      <c r="D3963" s="5">
        <v>0.1</v>
      </c>
      <c r="E3963" s="5">
        <v>97.8</v>
      </c>
      <c r="F3963" s="5">
        <v>195.6</v>
      </c>
      <c r="G3963" s="5">
        <v>97.6</v>
      </c>
      <c r="H3963" s="5">
        <v>97.5</v>
      </c>
      <c r="I3963" s="5">
        <v>0</v>
      </c>
      <c r="J3963" s="5">
        <v>0</v>
      </c>
      <c r="K3963" s="5">
        <v>0</v>
      </c>
    </row>
    <row r="3964" spans="1:11" x14ac:dyDescent="0.25">
      <c r="A3964" s="5">
        <f>3957</f>
      </c>
      <c r="B3964" s="5" t="s">
        <v>3972</v>
      </c>
      <c r="C3964" s="5">
        <v>97.6</v>
      </c>
      <c r="D3964" s="5">
        <v>0.1</v>
      </c>
      <c r="E3964" s="5">
        <v>97.8</v>
      </c>
      <c r="F3964" s="5">
        <v>195.6</v>
      </c>
      <c r="G3964" s="5">
        <v>97.6</v>
      </c>
      <c r="H3964" s="5">
        <v>97.5</v>
      </c>
      <c r="I3964" s="5">
        <v>0</v>
      </c>
      <c r="J3964" s="5">
        <v>0</v>
      </c>
      <c r="K3964" s="5">
        <v>0</v>
      </c>
    </row>
    <row r="3965" spans="1:11" x14ac:dyDescent="0.25">
      <c r="A3965" s="5">
        <f>3958</f>
      </c>
      <c r="B3965" s="5" t="s">
        <v>3973</v>
      </c>
      <c r="C3965" s="5">
        <v>97.6</v>
      </c>
      <c r="D3965" s="5">
        <v>0.1</v>
      </c>
      <c r="E3965" s="5">
        <v>97.8</v>
      </c>
      <c r="F3965" s="5">
        <v>195.6</v>
      </c>
      <c r="G3965" s="5">
        <v>97.6</v>
      </c>
      <c r="H3965" s="5">
        <v>97.5</v>
      </c>
      <c r="I3965" s="5">
        <v>0</v>
      </c>
      <c r="J3965" s="5">
        <v>0</v>
      </c>
      <c r="K3965" s="5">
        <v>0</v>
      </c>
    </row>
    <row r="3966" spans="1:11" x14ac:dyDescent="0.25">
      <c r="A3966" s="5">
        <f>3959</f>
      </c>
      <c r="B3966" s="5" t="s">
        <v>3974</v>
      </c>
      <c r="C3966" s="5">
        <v>97.6</v>
      </c>
      <c r="D3966" s="5">
        <v>0.1</v>
      </c>
      <c r="E3966" s="5">
        <v>97.8</v>
      </c>
      <c r="F3966" s="5">
        <v>195.6</v>
      </c>
      <c r="G3966" s="5">
        <v>97.6</v>
      </c>
      <c r="H3966" s="5">
        <v>97.5</v>
      </c>
      <c r="I3966" s="5">
        <v>0</v>
      </c>
      <c r="J3966" s="5">
        <v>0</v>
      </c>
      <c r="K3966" s="5">
        <v>0</v>
      </c>
    </row>
    <row r="3967" spans="1:11" x14ac:dyDescent="0.25">
      <c r="A3967" s="5">
        <f>3960</f>
      </c>
      <c r="B3967" s="5" t="s">
        <v>3975</v>
      </c>
      <c r="C3967" s="5">
        <v>97.6</v>
      </c>
      <c r="D3967" s="5">
        <v>0.1</v>
      </c>
      <c r="E3967" s="5">
        <v>97.8</v>
      </c>
      <c r="F3967" s="5">
        <v>195.6</v>
      </c>
      <c r="G3967" s="5">
        <v>97.6</v>
      </c>
      <c r="H3967" s="5">
        <v>97.5</v>
      </c>
      <c r="I3967" s="5">
        <v>0</v>
      </c>
      <c r="J3967" s="5">
        <v>0</v>
      </c>
      <c r="K3967" s="5">
        <v>0</v>
      </c>
    </row>
    <row r="3968" spans="1:11" x14ac:dyDescent="0.25">
      <c r="A3968" s="5">
        <f>3961</f>
      </c>
      <c r="B3968" s="5" t="s">
        <v>3976</v>
      </c>
      <c r="C3968" s="5">
        <v>97.6</v>
      </c>
      <c r="D3968" s="5">
        <v>0.1</v>
      </c>
      <c r="E3968" s="5">
        <v>97.8</v>
      </c>
      <c r="F3968" s="5">
        <v>195.6</v>
      </c>
      <c r="G3968" s="5">
        <v>97.6</v>
      </c>
      <c r="H3968" s="5">
        <v>97.5</v>
      </c>
      <c r="I3968" s="5">
        <v>0</v>
      </c>
      <c r="J3968" s="5">
        <v>0</v>
      </c>
      <c r="K3968" s="5">
        <v>0</v>
      </c>
    </row>
    <row r="3969" spans="1:11" x14ac:dyDescent="0.25">
      <c r="A3969" s="5">
        <f>3962</f>
      </c>
      <c r="B3969" s="5" t="s">
        <v>3977</v>
      </c>
      <c r="C3969" s="5">
        <v>97.6</v>
      </c>
      <c r="D3969" s="5">
        <v>0.1</v>
      </c>
      <c r="E3969" s="5">
        <v>97.8</v>
      </c>
      <c r="F3969" s="5">
        <v>195.6</v>
      </c>
      <c r="G3969" s="5">
        <v>97.6</v>
      </c>
      <c r="H3969" s="5">
        <v>97.5</v>
      </c>
      <c r="I3969" s="5">
        <v>0</v>
      </c>
      <c r="J3969" s="5">
        <v>0</v>
      </c>
      <c r="K3969" s="5">
        <v>0</v>
      </c>
    </row>
    <row r="3970" spans="1:11" x14ac:dyDescent="0.25">
      <c r="A3970" s="5">
        <f>3963</f>
      </c>
      <c r="B3970" s="5" t="s">
        <v>3978</v>
      </c>
      <c r="C3970" s="5">
        <v>97.6</v>
      </c>
      <c r="D3970" s="5">
        <v>0.1</v>
      </c>
      <c r="E3970" s="5">
        <v>97.8</v>
      </c>
      <c r="F3970" s="5">
        <v>195.6</v>
      </c>
      <c r="G3970" s="5">
        <v>97.6</v>
      </c>
      <c r="H3970" s="5">
        <v>97.5</v>
      </c>
      <c r="I3970" s="5">
        <v>0</v>
      </c>
      <c r="J3970" s="5">
        <v>0</v>
      </c>
      <c r="K3970" s="5">
        <v>0</v>
      </c>
    </row>
    <row r="3971" spans="1:11" x14ac:dyDescent="0.25">
      <c r="A3971" s="5">
        <f>3964</f>
      </c>
      <c r="B3971" s="5" t="s">
        <v>3979</v>
      </c>
      <c r="C3971" s="5">
        <v>97.6</v>
      </c>
      <c r="D3971" s="5">
        <v>0.1</v>
      </c>
      <c r="E3971" s="5">
        <v>97.8</v>
      </c>
      <c r="F3971" s="5">
        <v>195.6</v>
      </c>
      <c r="G3971" s="5">
        <v>97.6</v>
      </c>
      <c r="H3971" s="5">
        <v>97.5</v>
      </c>
      <c r="I3971" s="5">
        <v>0</v>
      </c>
      <c r="J3971" s="5">
        <v>0</v>
      </c>
      <c r="K3971" s="5">
        <v>0</v>
      </c>
    </row>
    <row r="3972" spans="1:11" x14ac:dyDescent="0.25">
      <c r="A3972" s="5">
        <f>3965</f>
      </c>
      <c r="B3972" s="5" t="s">
        <v>3980</v>
      </c>
      <c r="C3972" s="5">
        <v>97.6</v>
      </c>
      <c r="D3972" s="5">
        <v>0.1</v>
      </c>
      <c r="E3972" s="5">
        <v>97.8</v>
      </c>
      <c r="F3972" s="5">
        <v>195.6</v>
      </c>
      <c r="G3972" s="5">
        <v>97.6</v>
      </c>
      <c r="H3972" s="5">
        <v>97.5</v>
      </c>
      <c r="I3972" s="5">
        <v>0</v>
      </c>
      <c r="J3972" s="5">
        <v>0</v>
      </c>
      <c r="K3972" s="5">
        <v>0</v>
      </c>
    </row>
    <row r="3973" spans="1:11" x14ac:dyDescent="0.25">
      <c r="A3973" s="5">
        <f>3966</f>
      </c>
      <c r="B3973" s="5" t="s">
        <v>3981</v>
      </c>
      <c r="C3973" s="5">
        <v>97.6</v>
      </c>
      <c r="D3973" s="5">
        <v>0.1</v>
      </c>
      <c r="E3973" s="5">
        <v>97.8</v>
      </c>
      <c r="F3973" s="5">
        <v>195.6</v>
      </c>
      <c r="G3973" s="5">
        <v>97.6</v>
      </c>
      <c r="H3973" s="5">
        <v>97.5</v>
      </c>
      <c r="I3973" s="5">
        <v>0</v>
      </c>
      <c r="J3973" s="5">
        <v>0</v>
      </c>
      <c r="K3973" s="5">
        <v>0</v>
      </c>
    </row>
    <row r="3974" spans="1:11" x14ac:dyDescent="0.25">
      <c r="A3974" s="5">
        <f>3967</f>
      </c>
      <c r="B3974" s="5" t="s">
        <v>3982</v>
      </c>
      <c r="C3974" s="5">
        <v>97.6</v>
      </c>
      <c r="D3974" s="5">
        <v>0.1</v>
      </c>
      <c r="E3974" s="5">
        <v>97.8</v>
      </c>
      <c r="F3974" s="5">
        <v>195.6</v>
      </c>
      <c r="G3974" s="5">
        <v>97.6</v>
      </c>
      <c r="H3974" s="5">
        <v>97.5</v>
      </c>
      <c r="I3974" s="5">
        <v>0</v>
      </c>
      <c r="J3974" s="5">
        <v>0</v>
      </c>
      <c r="K3974" s="5">
        <v>0</v>
      </c>
    </row>
    <row r="3975" spans="1:11" x14ac:dyDescent="0.25">
      <c r="A3975" s="5">
        <f>3968</f>
      </c>
      <c r="B3975" s="5" t="s">
        <v>3983</v>
      </c>
      <c r="C3975" s="5">
        <v>97.6</v>
      </c>
      <c r="D3975" s="5">
        <v>0.1</v>
      </c>
      <c r="E3975" s="5">
        <v>97.8</v>
      </c>
      <c r="F3975" s="5">
        <v>195.6</v>
      </c>
      <c r="G3975" s="5">
        <v>97.6</v>
      </c>
      <c r="H3975" s="5">
        <v>97.5</v>
      </c>
      <c r="I3975" s="5">
        <v>0</v>
      </c>
      <c r="J3975" s="5">
        <v>0</v>
      </c>
      <c r="K3975" s="5">
        <v>0</v>
      </c>
    </row>
    <row r="3976" spans="1:11" x14ac:dyDescent="0.25">
      <c r="A3976" s="5">
        <f>3969</f>
      </c>
      <c r="B3976" s="5" t="s">
        <v>3984</v>
      </c>
      <c r="C3976" s="5">
        <v>97.6</v>
      </c>
      <c r="D3976" s="5">
        <v>0.1</v>
      </c>
      <c r="E3976" s="5">
        <v>97.8</v>
      </c>
      <c r="F3976" s="5">
        <v>195.6</v>
      </c>
      <c r="G3976" s="5">
        <v>97.6</v>
      </c>
      <c r="H3976" s="5">
        <v>97.5</v>
      </c>
      <c r="I3976" s="5">
        <v>0</v>
      </c>
      <c r="J3976" s="5">
        <v>0</v>
      </c>
      <c r="K3976" s="5">
        <v>0</v>
      </c>
    </row>
    <row r="3977" spans="1:11" x14ac:dyDescent="0.25">
      <c r="A3977" s="5">
        <f>3970</f>
      </c>
      <c r="B3977" s="5" t="s">
        <v>3985</v>
      </c>
      <c r="C3977" s="5">
        <v>97.6</v>
      </c>
      <c r="D3977" s="5">
        <v>0.1</v>
      </c>
      <c r="E3977" s="5">
        <v>97.8</v>
      </c>
      <c r="F3977" s="5">
        <v>195.6</v>
      </c>
      <c r="G3977" s="5">
        <v>97.6</v>
      </c>
      <c r="H3977" s="5">
        <v>97.5</v>
      </c>
      <c r="I3977" s="5">
        <v>0</v>
      </c>
      <c r="J3977" s="5">
        <v>0</v>
      </c>
      <c r="K3977" s="5">
        <v>0</v>
      </c>
    </row>
    <row r="3978" spans="1:11" x14ac:dyDescent="0.25">
      <c r="A3978" s="5">
        <f>3971</f>
      </c>
      <c r="B3978" s="5" t="s">
        <v>3986</v>
      </c>
      <c r="C3978" s="5">
        <v>97.6</v>
      </c>
      <c r="D3978" s="5">
        <v>0.1</v>
      </c>
      <c r="E3978" s="5">
        <v>97.8</v>
      </c>
      <c r="F3978" s="5">
        <v>195.6</v>
      </c>
      <c r="G3978" s="5">
        <v>97.6</v>
      </c>
      <c r="H3978" s="5">
        <v>97.5</v>
      </c>
      <c r="I3978" s="5">
        <v>0</v>
      </c>
      <c r="J3978" s="5">
        <v>0</v>
      </c>
      <c r="K3978" s="5">
        <v>0</v>
      </c>
    </row>
    <row r="3979" spans="1:11" x14ac:dyDescent="0.25">
      <c r="A3979" s="5">
        <f>3972</f>
      </c>
      <c r="B3979" s="5" t="s">
        <v>3987</v>
      </c>
      <c r="C3979" s="5">
        <v>97.6</v>
      </c>
      <c r="D3979" s="5">
        <v>0.1</v>
      </c>
      <c r="E3979" s="5">
        <v>97.8</v>
      </c>
      <c r="F3979" s="5">
        <v>195.6</v>
      </c>
      <c r="G3979" s="5">
        <v>97.6</v>
      </c>
      <c r="H3979" s="5">
        <v>97.5</v>
      </c>
      <c r="I3979" s="5">
        <v>0</v>
      </c>
      <c r="J3979" s="5">
        <v>0</v>
      </c>
      <c r="K3979" s="5">
        <v>0</v>
      </c>
    </row>
    <row r="3980" spans="1:11" x14ac:dyDescent="0.25">
      <c r="A3980" s="5">
        <f>3973</f>
      </c>
      <c r="B3980" s="5" t="s">
        <v>3988</v>
      </c>
      <c r="C3980" s="5">
        <v>97.6</v>
      </c>
      <c r="D3980" s="5">
        <v>0.1</v>
      </c>
      <c r="E3980" s="5">
        <v>97.8</v>
      </c>
      <c r="F3980" s="5">
        <v>195.6</v>
      </c>
      <c r="G3980" s="5">
        <v>97.6</v>
      </c>
      <c r="H3980" s="5">
        <v>97.5</v>
      </c>
      <c r="I3980" s="5">
        <v>0</v>
      </c>
      <c r="J3980" s="5">
        <v>0</v>
      </c>
      <c r="K3980" s="5">
        <v>0</v>
      </c>
    </row>
    <row r="3981" spans="1:11" x14ac:dyDescent="0.25">
      <c r="A3981" s="5">
        <f>3974</f>
      </c>
      <c r="B3981" s="5" t="s">
        <v>3989</v>
      </c>
      <c r="C3981" s="5">
        <v>97.6</v>
      </c>
      <c r="D3981" s="5">
        <v>0.1</v>
      </c>
      <c r="E3981" s="5">
        <v>97.8</v>
      </c>
      <c r="F3981" s="5">
        <v>195.6</v>
      </c>
      <c r="G3981" s="5">
        <v>97.6</v>
      </c>
      <c r="H3981" s="5">
        <v>97.5</v>
      </c>
      <c r="I3981" s="5">
        <v>0</v>
      </c>
      <c r="J3981" s="5">
        <v>0</v>
      </c>
      <c r="K3981" s="5">
        <v>0</v>
      </c>
    </row>
    <row r="3982" spans="1:11" x14ac:dyDescent="0.25">
      <c r="A3982" s="5">
        <f>3975</f>
      </c>
      <c r="B3982" s="5" t="s">
        <v>3990</v>
      </c>
      <c r="C3982" s="5">
        <v>97.6</v>
      </c>
      <c r="D3982" s="5">
        <v>0.1</v>
      </c>
      <c r="E3982" s="5">
        <v>97.8</v>
      </c>
      <c r="F3982" s="5">
        <v>195.6</v>
      </c>
      <c r="G3982" s="5">
        <v>97.6</v>
      </c>
      <c r="H3982" s="5">
        <v>97.5</v>
      </c>
      <c r="I3982" s="5">
        <v>0</v>
      </c>
      <c r="J3982" s="5">
        <v>0</v>
      </c>
      <c r="K3982" s="5">
        <v>0</v>
      </c>
    </row>
    <row r="3983" spans="1:11" x14ac:dyDescent="0.25">
      <c r="A3983" s="5">
        <f>3976</f>
      </c>
      <c r="B3983" s="5" t="s">
        <v>3991</v>
      </c>
      <c r="C3983" s="5">
        <v>97.6</v>
      </c>
      <c r="D3983" s="5">
        <v>0.1</v>
      </c>
      <c r="E3983" s="5">
        <v>97.8</v>
      </c>
      <c r="F3983" s="5">
        <v>195.6</v>
      </c>
      <c r="G3983" s="5">
        <v>97.6</v>
      </c>
      <c r="H3983" s="5">
        <v>97.5</v>
      </c>
      <c r="I3983" s="5">
        <v>0</v>
      </c>
      <c r="J3983" s="5">
        <v>0</v>
      </c>
      <c r="K3983" s="5">
        <v>0</v>
      </c>
    </row>
    <row r="3984" spans="1:11" x14ac:dyDescent="0.25">
      <c r="A3984" s="5">
        <f>3977</f>
      </c>
      <c r="B3984" s="5" t="s">
        <v>3992</v>
      </c>
      <c r="C3984" s="5">
        <v>97.6</v>
      </c>
      <c r="D3984" s="5">
        <v>0.1</v>
      </c>
      <c r="E3984" s="5">
        <v>97.8</v>
      </c>
      <c r="F3984" s="5">
        <v>195.6</v>
      </c>
      <c r="G3984" s="5">
        <v>97.6</v>
      </c>
      <c r="H3984" s="5">
        <v>97.5</v>
      </c>
      <c r="I3984" s="5">
        <v>0</v>
      </c>
      <c r="J3984" s="5">
        <v>0</v>
      </c>
      <c r="K3984" s="5">
        <v>0</v>
      </c>
    </row>
    <row r="3985" spans="1:11" x14ac:dyDescent="0.25">
      <c r="A3985" s="5">
        <f>3978</f>
      </c>
      <c r="B3985" s="5" t="s">
        <v>3993</v>
      </c>
      <c r="C3985" s="5">
        <v>97.6</v>
      </c>
      <c r="D3985" s="5">
        <v>0.1</v>
      </c>
      <c r="E3985" s="5">
        <v>97.8</v>
      </c>
      <c r="F3985" s="5">
        <v>195.6</v>
      </c>
      <c r="G3985" s="5">
        <v>97.6</v>
      </c>
      <c r="H3985" s="5">
        <v>97.5</v>
      </c>
      <c r="I3985" s="5">
        <v>0</v>
      </c>
      <c r="J3985" s="5">
        <v>0</v>
      </c>
      <c r="K3985" s="5">
        <v>0</v>
      </c>
    </row>
    <row r="3986" spans="1:11" x14ac:dyDescent="0.25">
      <c r="A3986" s="5">
        <f>3979</f>
      </c>
      <c r="B3986" s="5" t="s">
        <v>3994</v>
      </c>
      <c r="C3986" s="5">
        <v>97.6</v>
      </c>
      <c r="D3986" s="5">
        <v>0.1</v>
      </c>
      <c r="E3986" s="5">
        <v>97.8</v>
      </c>
      <c r="F3986" s="5">
        <v>195.6</v>
      </c>
      <c r="G3986" s="5">
        <v>97.6</v>
      </c>
      <c r="H3986" s="5">
        <v>97.5</v>
      </c>
      <c r="I3986" s="5">
        <v>0</v>
      </c>
      <c r="J3986" s="5">
        <v>0</v>
      </c>
      <c r="K3986" s="5">
        <v>0</v>
      </c>
    </row>
    <row r="3987" spans="1:11" x14ac:dyDescent="0.25">
      <c r="A3987" s="5">
        <f>3980</f>
      </c>
      <c r="B3987" s="5" t="s">
        <v>3995</v>
      </c>
      <c r="C3987" s="5">
        <v>97.6</v>
      </c>
      <c r="D3987" s="5">
        <v>0.1</v>
      </c>
      <c r="E3987" s="5">
        <v>97.8</v>
      </c>
      <c r="F3987" s="5">
        <v>195.6</v>
      </c>
      <c r="G3987" s="5">
        <v>97.6</v>
      </c>
      <c r="H3987" s="5">
        <v>97.5</v>
      </c>
      <c r="I3987" s="5">
        <v>0</v>
      </c>
      <c r="J3987" s="5">
        <v>0</v>
      </c>
      <c r="K3987" s="5">
        <v>0</v>
      </c>
    </row>
    <row r="3988" spans="1:11" x14ac:dyDescent="0.25">
      <c r="A3988" s="5">
        <f>3981</f>
      </c>
      <c r="B3988" s="5" t="s">
        <v>3996</v>
      </c>
      <c r="C3988" s="5">
        <v>97.6</v>
      </c>
      <c r="D3988" s="5">
        <v>0.1</v>
      </c>
      <c r="E3988" s="5">
        <v>97.8</v>
      </c>
      <c r="F3988" s="5">
        <v>195.6</v>
      </c>
      <c r="G3988" s="5">
        <v>97.6</v>
      </c>
      <c r="H3988" s="5">
        <v>97.5</v>
      </c>
      <c r="I3988" s="5">
        <v>0</v>
      </c>
      <c r="J3988" s="5">
        <v>0</v>
      </c>
      <c r="K3988" s="5">
        <v>0</v>
      </c>
    </row>
    <row r="3989" spans="1:11" x14ac:dyDescent="0.25">
      <c r="A3989" s="5">
        <f>3982</f>
      </c>
      <c r="B3989" s="5" t="s">
        <v>3997</v>
      </c>
      <c r="C3989" s="5">
        <v>97.6</v>
      </c>
      <c r="D3989" s="5">
        <v>0.1</v>
      </c>
      <c r="E3989" s="5">
        <v>97.8</v>
      </c>
      <c r="F3989" s="5">
        <v>195.6</v>
      </c>
      <c r="G3989" s="5">
        <v>97.6</v>
      </c>
      <c r="H3989" s="5">
        <v>97.5</v>
      </c>
      <c r="I3989" s="5">
        <v>0</v>
      </c>
      <c r="J3989" s="5">
        <v>0</v>
      </c>
      <c r="K3989" s="5">
        <v>0</v>
      </c>
    </row>
    <row r="3990" spans="1:11" x14ac:dyDescent="0.25">
      <c r="A3990" s="5">
        <f>3983</f>
      </c>
      <c r="B3990" s="5" t="s">
        <v>3998</v>
      </c>
      <c r="C3990" s="5">
        <v>97.6</v>
      </c>
      <c r="D3990" s="5">
        <v>0.1</v>
      </c>
      <c r="E3990" s="5">
        <v>97.8</v>
      </c>
      <c r="F3990" s="5">
        <v>195.6</v>
      </c>
      <c r="G3990" s="5">
        <v>97.6</v>
      </c>
      <c r="H3990" s="5">
        <v>97.5</v>
      </c>
      <c r="I3990" s="5">
        <v>0</v>
      </c>
      <c r="J3990" s="5">
        <v>0</v>
      </c>
      <c r="K3990" s="5">
        <v>0</v>
      </c>
    </row>
    <row r="3991" spans="1:11" x14ac:dyDescent="0.25">
      <c r="A3991" s="5">
        <f>3984</f>
      </c>
      <c r="B3991" s="5" t="s">
        <v>3999</v>
      </c>
      <c r="C3991" s="5">
        <v>97.6</v>
      </c>
      <c r="D3991" s="5">
        <v>0.1</v>
      </c>
      <c r="E3991" s="5">
        <v>97.8</v>
      </c>
      <c r="F3991" s="5">
        <v>195.6</v>
      </c>
      <c r="G3991" s="5">
        <v>97.6</v>
      </c>
      <c r="H3991" s="5">
        <v>97.5</v>
      </c>
      <c r="I3991" s="5">
        <v>0</v>
      </c>
      <c r="J3991" s="5">
        <v>0</v>
      </c>
      <c r="K3991" s="5">
        <v>0</v>
      </c>
    </row>
    <row r="3992" spans="1:11" x14ac:dyDescent="0.25">
      <c r="A3992" s="5">
        <f>3985</f>
      </c>
      <c r="B3992" s="5" t="s">
        <v>4000</v>
      </c>
      <c r="C3992" s="5">
        <v>97.6</v>
      </c>
      <c r="D3992" s="5">
        <v>0.1</v>
      </c>
      <c r="E3992" s="5">
        <v>97.8</v>
      </c>
      <c r="F3992" s="5">
        <v>195.6</v>
      </c>
      <c r="G3992" s="5">
        <v>97.6</v>
      </c>
      <c r="H3992" s="5">
        <v>97.5</v>
      </c>
      <c r="I3992" s="5">
        <v>0</v>
      </c>
      <c r="J3992" s="5">
        <v>0</v>
      </c>
      <c r="K3992" s="5">
        <v>0</v>
      </c>
    </row>
    <row r="3993" spans="1:11" x14ac:dyDescent="0.25">
      <c r="A3993" s="5">
        <f>3986</f>
      </c>
      <c r="B3993" s="5" t="s">
        <v>4001</v>
      </c>
      <c r="C3993" s="5">
        <v>97.6</v>
      </c>
      <c r="D3993" s="5">
        <v>0.1</v>
      </c>
      <c r="E3993" s="5">
        <v>97.8</v>
      </c>
      <c r="F3993" s="5">
        <v>195.6</v>
      </c>
      <c r="G3993" s="5">
        <v>97.6</v>
      </c>
      <c r="H3993" s="5">
        <v>97.5</v>
      </c>
      <c r="I3993" s="5">
        <v>0</v>
      </c>
      <c r="J3993" s="5">
        <v>0</v>
      </c>
      <c r="K3993" s="5">
        <v>0</v>
      </c>
    </row>
    <row r="3994" spans="1:11" x14ac:dyDescent="0.25">
      <c r="A3994" s="5">
        <f>3987</f>
      </c>
      <c r="B3994" s="5" t="s">
        <v>4002</v>
      </c>
      <c r="C3994" s="5">
        <v>97.6</v>
      </c>
      <c r="D3994" s="5">
        <v>0.1</v>
      </c>
      <c r="E3994" s="5">
        <v>97.8</v>
      </c>
      <c r="F3994" s="5">
        <v>195.6</v>
      </c>
      <c r="G3994" s="5">
        <v>97.6</v>
      </c>
      <c r="H3994" s="5">
        <v>97.5</v>
      </c>
      <c r="I3994" s="5">
        <v>0</v>
      </c>
      <c r="J3994" s="5">
        <v>0</v>
      </c>
      <c r="K3994" s="5">
        <v>0</v>
      </c>
    </row>
    <row r="3995" spans="1:11" x14ac:dyDescent="0.25">
      <c r="A3995" s="5">
        <f>3988</f>
      </c>
      <c r="B3995" s="5" t="s">
        <v>4003</v>
      </c>
      <c r="C3995" s="5">
        <v>97.6</v>
      </c>
      <c r="D3995" s="5">
        <v>0.1</v>
      </c>
      <c r="E3995" s="5">
        <v>97.8</v>
      </c>
      <c r="F3995" s="5">
        <v>195.6</v>
      </c>
      <c r="G3995" s="5">
        <v>97.6</v>
      </c>
      <c r="H3995" s="5">
        <v>97.5</v>
      </c>
      <c r="I3995" s="5">
        <v>0</v>
      </c>
      <c r="J3995" s="5">
        <v>0</v>
      </c>
      <c r="K3995" s="5">
        <v>0</v>
      </c>
    </row>
    <row r="3996" spans="1:11" x14ac:dyDescent="0.25">
      <c r="A3996" s="5">
        <f>3989</f>
      </c>
      <c r="B3996" s="5" t="s">
        <v>4004</v>
      </c>
      <c r="C3996" s="5">
        <v>97.6</v>
      </c>
      <c r="D3996" s="5">
        <v>0.1</v>
      </c>
      <c r="E3996" s="5">
        <v>97.8</v>
      </c>
      <c r="F3996" s="5">
        <v>195.6</v>
      </c>
      <c r="G3996" s="5">
        <v>97.6</v>
      </c>
      <c r="H3996" s="5">
        <v>97.5</v>
      </c>
      <c r="I3996" s="5">
        <v>0</v>
      </c>
      <c r="J3996" s="5">
        <v>0</v>
      </c>
      <c r="K3996" s="5">
        <v>0</v>
      </c>
    </row>
    <row r="3997" spans="1:11" x14ac:dyDescent="0.25">
      <c r="A3997" s="5">
        <f>3990</f>
      </c>
      <c r="B3997" s="5" t="s">
        <v>4005</v>
      </c>
      <c r="C3997" s="5">
        <v>0</v>
      </c>
      <c r="D3997" s="5">
        <v>0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</row>
    <row r="3998" spans="1:11" x14ac:dyDescent="0.25">
      <c r="A3998" s="5">
        <f>3991</f>
      </c>
      <c r="B3998" s="5" t="s">
        <v>4006</v>
      </c>
      <c r="C3998" s="5">
        <v>0</v>
      </c>
      <c r="D3998" s="5">
        <v>0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</row>
    <row r="3999" spans="1:11" x14ac:dyDescent="0.25">
      <c r="A3999" s="5">
        <f>3992</f>
      </c>
      <c r="B3999" s="5" t="s">
        <v>4007</v>
      </c>
      <c r="C3999" s="5">
        <v>100.3</v>
      </c>
      <c r="D3999" s="5">
        <v>0.1</v>
      </c>
      <c r="E3999" s="5">
        <v>100.5</v>
      </c>
      <c r="F3999" s="5">
        <v>200</v>
      </c>
      <c r="G3999" s="5">
        <v>99.8</v>
      </c>
      <c r="H3999" s="5">
        <v>99.7</v>
      </c>
      <c r="I3999" s="5">
        <v>0</v>
      </c>
      <c r="J3999" s="5">
        <v>0</v>
      </c>
      <c r="K3999" s="5">
        <v>0</v>
      </c>
    </row>
    <row r="4000" spans="1:11" x14ac:dyDescent="0.25">
      <c r="A4000" s="5">
        <f>3993</f>
      </c>
      <c r="B4000" s="5" t="s">
        <v>4008</v>
      </c>
      <c r="C4000" s="5">
        <v>100.3</v>
      </c>
      <c r="D4000" s="5">
        <v>0.1</v>
      </c>
      <c r="E4000" s="5">
        <v>100.5</v>
      </c>
      <c r="F4000" s="5">
        <v>200</v>
      </c>
      <c r="G4000" s="5">
        <v>99.8</v>
      </c>
      <c r="H4000" s="5">
        <v>99.7</v>
      </c>
      <c r="I4000" s="5">
        <v>0</v>
      </c>
      <c r="J4000" s="5">
        <v>0</v>
      </c>
      <c r="K4000" s="5">
        <v>0</v>
      </c>
    </row>
    <row r="4001" spans="1:11" x14ac:dyDescent="0.25">
      <c r="A4001" s="5">
        <f>3994</f>
      </c>
      <c r="B4001" s="5" t="s">
        <v>4009</v>
      </c>
      <c r="C4001" s="5">
        <v>100</v>
      </c>
      <c r="D4001" s="5">
        <v>0.1</v>
      </c>
      <c r="E4001" s="5">
        <v>100.2</v>
      </c>
      <c r="F4001" s="5">
        <v>199.6</v>
      </c>
      <c r="G4001" s="5">
        <v>99.6</v>
      </c>
      <c r="H4001" s="5">
        <v>99.5</v>
      </c>
      <c r="I4001" s="5">
        <v>0</v>
      </c>
      <c r="J4001" s="5">
        <v>0</v>
      </c>
      <c r="K4001" s="5">
        <v>0</v>
      </c>
    </row>
    <row r="4002" spans="1:11" x14ac:dyDescent="0.25">
      <c r="A4002" s="5">
        <f>3995</f>
      </c>
      <c r="B4002" s="5" t="s">
        <v>4010</v>
      </c>
      <c r="C4002" s="5">
        <v>100</v>
      </c>
      <c r="D4002" s="5">
        <v>0.1</v>
      </c>
      <c r="E4002" s="5">
        <v>100.2</v>
      </c>
      <c r="F4002" s="5">
        <v>199.6</v>
      </c>
      <c r="G4002" s="5">
        <v>99.6</v>
      </c>
      <c r="H4002" s="5">
        <v>99.5</v>
      </c>
      <c r="I4002" s="5">
        <v>0</v>
      </c>
      <c r="J4002" s="5">
        <v>0</v>
      </c>
      <c r="K4002" s="5">
        <v>0</v>
      </c>
    </row>
    <row r="4003" spans="1:11" x14ac:dyDescent="0.25">
      <c r="A4003" s="5">
        <f>3996</f>
      </c>
      <c r="B4003" s="5" t="s">
        <v>4011</v>
      </c>
      <c r="C4003" s="5">
        <v>100.5</v>
      </c>
      <c r="D4003" s="5">
        <v>0.1</v>
      </c>
      <c r="E4003" s="5">
        <v>100.7</v>
      </c>
      <c r="F4003" s="5">
        <v>201</v>
      </c>
      <c r="G4003" s="5">
        <v>100.3</v>
      </c>
      <c r="H4003" s="5">
        <v>100.1</v>
      </c>
      <c r="I4003" s="5">
        <v>0</v>
      </c>
      <c r="J4003" s="5">
        <v>0</v>
      </c>
      <c r="K4003" s="5">
        <v>0</v>
      </c>
    </row>
    <row r="4004" spans="1:11" x14ac:dyDescent="0.25">
      <c r="A4004" s="5">
        <f>3997</f>
      </c>
      <c r="B4004" s="5" t="s">
        <v>4012</v>
      </c>
      <c r="C4004" s="5">
        <v>100.5</v>
      </c>
      <c r="D4004" s="5">
        <v>0.1</v>
      </c>
      <c r="E4004" s="5">
        <v>100.7</v>
      </c>
      <c r="F4004" s="5">
        <v>201</v>
      </c>
      <c r="G4004" s="5">
        <v>100.3</v>
      </c>
      <c r="H4004" s="5">
        <v>100.1</v>
      </c>
      <c r="I4004" s="5">
        <v>0</v>
      </c>
      <c r="J4004" s="5">
        <v>0</v>
      </c>
      <c r="K4004" s="5">
        <v>0</v>
      </c>
    </row>
    <row r="4005" spans="1:11" x14ac:dyDescent="0.25">
      <c r="A4005" s="5">
        <f>3998</f>
      </c>
      <c r="B4005" s="5" t="s">
        <v>4013</v>
      </c>
      <c r="C4005" s="5">
        <v>100.7</v>
      </c>
      <c r="D4005" s="5">
        <v>0.1</v>
      </c>
      <c r="E4005" s="5">
        <v>100.8</v>
      </c>
      <c r="F4005" s="5">
        <v>200.5</v>
      </c>
      <c r="G4005" s="5">
        <v>100</v>
      </c>
      <c r="H4005" s="5">
        <v>99.9</v>
      </c>
      <c r="I4005" s="5">
        <v>0</v>
      </c>
      <c r="J4005" s="5">
        <v>0</v>
      </c>
      <c r="K4005" s="5">
        <v>0</v>
      </c>
    </row>
    <row r="4006" spans="1:11" x14ac:dyDescent="0.25">
      <c r="A4006" s="5">
        <f>3999</f>
      </c>
      <c r="B4006" s="5" t="s">
        <v>4014</v>
      </c>
      <c r="C4006" s="5">
        <v>100.7</v>
      </c>
      <c r="D4006" s="5">
        <v>0.1</v>
      </c>
      <c r="E4006" s="5">
        <v>100.8</v>
      </c>
      <c r="F4006" s="5">
        <v>200.5</v>
      </c>
      <c r="G4006" s="5">
        <v>100</v>
      </c>
      <c r="H4006" s="5">
        <v>99.9</v>
      </c>
      <c r="I4006" s="5">
        <v>0</v>
      </c>
      <c r="J4006" s="5">
        <v>0</v>
      </c>
      <c r="K4006" s="5">
        <v>0</v>
      </c>
    </row>
    <row r="4007" spans="1:11" x14ac:dyDescent="0.25">
      <c r="A4007" s="5">
        <f>4000</f>
      </c>
      <c r="B4007" s="5" t="s">
        <v>4015</v>
      </c>
      <c r="C4007" s="5">
        <v>100.7</v>
      </c>
      <c r="D4007" s="5">
        <v>0.1</v>
      </c>
      <c r="E4007" s="5">
        <v>100.8</v>
      </c>
      <c r="F4007" s="5">
        <v>200.5</v>
      </c>
      <c r="G4007" s="5">
        <v>100</v>
      </c>
      <c r="H4007" s="5">
        <v>99.9</v>
      </c>
      <c r="I4007" s="5">
        <v>0</v>
      </c>
      <c r="J4007" s="5">
        <v>0</v>
      </c>
      <c r="K4007" s="5">
        <v>0</v>
      </c>
    </row>
    <row r="4008" spans="1:11" x14ac:dyDescent="0.25">
      <c r="A4008" s="5">
        <f>4001</f>
      </c>
      <c r="B4008" s="5" t="s">
        <v>4016</v>
      </c>
      <c r="C4008" s="5">
        <v>100.7</v>
      </c>
      <c r="D4008" s="5">
        <v>0.1</v>
      </c>
      <c r="E4008" s="5">
        <v>100.8</v>
      </c>
      <c r="F4008" s="5">
        <v>200.5</v>
      </c>
      <c r="G4008" s="5">
        <v>100</v>
      </c>
      <c r="H4008" s="5">
        <v>99.9</v>
      </c>
      <c r="I4008" s="5">
        <v>0</v>
      </c>
      <c r="J4008" s="5">
        <v>0</v>
      </c>
      <c r="K4008" s="5">
        <v>0</v>
      </c>
    </row>
    <row r="4009" spans="1:11" x14ac:dyDescent="0.25">
      <c r="A4009" s="5">
        <f>4002</f>
      </c>
      <c r="B4009" s="5" t="s">
        <v>4017</v>
      </c>
      <c r="C4009" s="5">
        <v>100.2</v>
      </c>
      <c r="D4009" s="5">
        <v>0.1</v>
      </c>
      <c r="E4009" s="5">
        <v>100.3</v>
      </c>
      <c r="F4009" s="5">
        <v>200.5</v>
      </c>
      <c r="G4009" s="5">
        <v>100.1</v>
      </c>
      <c r="H4009" s="5">
        <v>99.9</v>
      </c>
      <c r="I4009" s="5">
        <v>0</v>
      </c>
      <c r="J4009" s="5">
        <v>0</v>
      </c>
      <c r="K4009" s="5">
        <v>0</v>
      </c>
    </row>
    <row r="4010" spans="1:11" x14ac:dyDescent="0.25">
      <c r="A4010" s="5">
        <f>4003</f>
      </c>
      <c r="B4010" s="5" t="s">
        <v>4018</v>
      </c>
      <c r="C4010" s="5">
        <v>100.2</v>
      </c>
      <c r="D4010" s="5">
        <v>0.1</v>
      </c>
      <c r="E4010" s="5">
        <v>100.3</v>
      </c>
      <c r="F4010" s="5">
        <v>200.5</v>
      </c>
      <c r="G4010" s="5">
        <v>100.1</v>
      </c>
      <c r="H4010" s="5">
        <v>99.9</v>
      </c>
      <c r="I4010" s="5">
        <v>0</v>
      </c>
      <c r="J4010" s="5">
        <v>0</v>
      </c>
      <c r="K4010" s="5">
        <v>0</v>
      </c>
    </row>
    <row r="4011" spans="1:11" x14ac:dyDescent="0.25">
      <c r="A4011" s="5">
        <f>4004</f>
      </c>
      <c r="B4011" s="5" t="s">
        <v>4019</v>
      </c>
      <c r="C4011" s="5">
        <v>100.9</v>
      </c>
      <c r="D4011" s="5">
        <v>0.1</v>
      </c>
      <c r="E4011" s="5">
        <v>101.1</v>
      </c>
      <c r="F4011" s="5">
        <v>201.7</v>
      </c>
      <c r="G4011" s="5">
        <v>100.6</v>
      </c>
      <c r="H4011" s="5">
        <v>100.5</v>
      </c>
      <c r="I4011" s="5">
        <v>0</v>
      </c>
      <c r="J4011" s="5">
        <v>0</v>
      </c>
      <c r="K4011" s="5">
        <v>0</v>
      </c>
    </row>
    <row r="4012" spans="1:11" x14ac:dyDescent="0.25">
      <c r="A4012" s="5">
        <f>4005</f>
      </c>
      <c r="B4012" s="5" t="s">
        <v>4020</v>
      </c>
      <c r="C4012" s="5">
        <v>100.9</v>
      </c>
      <c r="D4012" s="5">
        <v>0.1</v>
      </c>
      <c r="E4012" s="5">
        <v>101.1</v>
      </c>
      <c r="F4012" s="5">
        <v>201.7</v>
      </c>
      <c r="G4012" s="5">
        <v>100.6</v>
      </c>
      <c r="H4012" s="5">
        <v>100.5</v>
      </c>
      <c r="I4012" s="5">
        <v>0</v>
      </c>
      <c r="J4012" s="5">
        <v>0</v>
      </c>
      <c r="K4012" s="5">
        <v>0</v>
      </c>
    </row>
    <row r="4013" spans="1:11" x14ac:dyDescent="0.25">
      <c r="A4013" s="5">
        <f>4006</f>
      </c>
      <c r="B4013" s="5" t="s">
        <v>4021</v>
      </c>
      <c r="C4013" s="5">
        <v>101.1</v>
      </c>
      <c r="D4013" s="5">
        <v>0.1</v>
      </c>
      <c r="E4013" s="5">
        <v>101.3</v>
      </c>
      <c r="F4013" s="5">
        <v>202</v>
      </c>
      <c r="G4013" s="5">
        <v>100.8</v>
      </c>
      <c r="H4013" s="5">
        <v>100.7</v>
      </c>
      <c r="I4013" s="5">
        <v>0</v>
      </c>
      <c r="J4013" s="5">
        <v>0</v>
      </c>
      <c r="K4013" s="5">
        <v>0</v>
      </c>
    </row>
    <row r="4014" spans="1:11" x14ac:dyDescent="0.25">
      <c r="A4014" s="5">
        <f>4007</f>
      </c>
      <c r="B4014" s="5" t="s">
        <v>4022</v>
      </c>
      <c r="C4014" s="5">
        <v>101.1</v>
      </c>
      <c r="D4014" s="5">
        <v>0.1</v>
      </c>
      <c r="E4014" s="5">
        <v>101.3</v>
      </c>
      <c r="F4014" s="5">
        <v>202</v>
      </c>
      <c r="G4014" s="5">
        <v>100.8</v>
      </c>
      <c r="H4014" s="5">
        <v>100.7</v>
      </c>
      <c r="I4014" s="5">
        <v>0</v>
      </c>
      <c r="J4014" s="5">
        <v>0</v>
      </c>
      <c r="K4014" s="5">
        <v>0</v>
      </c>
    </row>
    <row r="4015" spans="1:11" x14ac:dyDescent="0.25">
      <c r="A4015" s="5">
        <f>4008</f>
      </c>
      <c r="B4015" s="5" t="s">
        <v>4023</v>
      </c>
      <c r="C4015" s="5">
        <v>101.1</v>
      </c>
      <c r="D4015" s="5">
        <v>0.1</v>
      </c>
      <c r="E4015" s="5">
        <v>101.2</v>
      </c>
      <c r="F4015" s="5">
        <v>201.4</v>
      </c>
      <c r="G4015" s="5">
        <v>100.5</v>
      </c>
      <c r="H4015" s="5">
        <v>100.3</v>
      </c>
      <c r="I4015" s="5">
        <v>0</v>
      </c>
      <c r="J4015" s="5">
        <v>0</v>
      </c>
      <c r="K4015" s="5">
        <v>0</v>
      </c>
    </row>
    <row r="4016" spans="1:11" x14ac:dyDescent="0.25">
      <c r="A4016" s="5">
        <f>4009</f>
      </c>
      <c r="B4016" s="5" t="s">
        <v>4024</v>
      </c>
      <c r="C4016" s="5">
        <v>101.1</v>
      </c>
      <c r="D4016" s="5">
        <v>0.1</v>
      </c>
      <c r="E4016" s="5">
        <v>101.2</v>
      </c>
      <c r="F4016" s="5">
        <v>201.4</v>
      </c>
      <c r="G4016" s="5">
        <v>100.5</v>
      </c>
      <c r="H4016" s="5">
        <v>100.3</v>
      </c>
      <c r="I4016" s="5">
        <v>0</v>
      </c>
      <c r="J4016" s="5">
        <v>0</v>
      </c>
      <c r="K4016" s="5">
        <v>0</v>
      </c>
    </row>
    <row r="4017" spans="1:11" x14ac:dyDescent="0.25">
      <c r="A4017" s="5">
        <f>4010</f>
      </c>
      <c r="B4017" s="5" t="s">
        <v>4025</v>
      </c>
      <c r="C4017" s="5">
        <v>101.1</v>
      </c>
      <c r="D4017" s="5">
        <v>0.1</v>
      </c>
      <c r="E4017" s="5">
        <v>101.2</v>
      </c>
      <c r="F4017" s="5">
        <v>201.4</v>
      </c>
      <c r="G4017" s="5">
        <v>100.5</v>
      </c>
      <c r="H4017" s="5">
        <v>100.3</v>
      </c>
      <c r="I4017" s="5">
        <v>0</v>
      </c>
      <c r="J4017" s="5">
        <v>0</v>
      </c>
      <c r="K4017" s="5">
        <v>0</v>
      </c>
    </row>
    <row r="4018" spans="1:11" x14ac:dyDescent="0.25">
      <c r="A4018" s="5">
        <f>4011</f>
      </c>
      <c r="B4018" s="5" t="s">
        <v>4026</v>
      </c>
      <c r="C4018" s="5">
        <v>97.3</v>
      </c>
      <c r="D4018" s="5">
        <v>0.1</v>
      </c>
      <c r="E4018" s="5">
        <v>97.5</v>
      </c>
      <c r="F4018" s="5">
        <v>188.9</v>
      </c>
      <c r="G4018" s="5">
        <v>94.6</v>
      </c>
      <c r="H4018" s="5">
        <v>95.1</v>
      </c>
      <c r="I4018" s="5">
        <v>0</v>
      </c>
      <c r="J4018" s="5">
        <v>0</v>
      </c>
      <c r="K4018" s="5">
        <v>0</v>
      </c>
    </row>
    <row r="4019" spans="1:11" x14ac:dyDescent="0.25">
      <c r="A4019" s="5">
        <f>4012</f>
      </c>
      <c r="B4019" s="5" t="s">
        <v>4027</v>
      </c>
      <c r="C4019" s="5">
        <v>97.3</v>
      </c>
      <c r="D4019" s="5">
        <v>0.1</v>
      </c>
      <c r="E4019" s="5">
        <v>97.5</v>
      </c>
      <c r="F4019" s="5">
        <v>188.9</v>
      </c>
      <c r="G4019" s="5">
        <v>94.6</v>
      </c>
      <c r="H4019" s="5">
        <v>95.1</v>
      </c>
      <c r="I4019" s="5">
        <v>0</v>
      </c>
      <c r="J4019" s="5">
        <v>0</v>
      </c>
      <c r="K4019" s="5">
        <v>0</v>
      </c>
    </row>
    <row r="4020" spans="1:11" x14ac:dyDescent="0.25">
      <c r="A4020" s="5">
        <f>4013</f>
      </c>
      <c r="B4020" s="5" t="s">
        <v>4028</v>
      </c>
      <c r="C4020" s="5">
        <v>101.1</v>
      </c>
      <c r="D4020" s="5">
        <v>0.1</v>
      </c>
      <c r="E4020" s="5">
        <v>101.2</v>
      </c>
      <c r="F4020" s="5">
        <v>201.7</v>
      </c>
      <c r="G4020" s="5">
        <v>100.6</v>
      </c>
      <c r="H4020" s="5">
        <v>100.5</v>
      </c>
      <c r="I4020" s="5">
        <v>0</v>
      </c>
      <c r="J4020" s="5">
        <v>0</v>
      </c>
      <c r="K4020" s="5">
        <v>0</v>
      </c>
    </row>
    <row r="4021" spans="1:11" x14ac:dyDescent="0.25">
      <c r="A4021" s="5">
        <f>4014</f>
      </c>
      <c r="B4021" s="5" t="s">
        <v>4029</v>
      </c>
      <c r="C4021" s="5">
        <v>101.1</v>
      </c>
      <c r="D4021" s="5">
        <v>0.1</v>
      </c>
      <c r="E4021" s="5">
        <v>101.2</v>
      </c>
      <c r="F4021" s="5">
        <v>201.7</v>
      </c>
      <c r="G4021" s="5">
        <v>100.6</v>
      </c>
      <c r="H4021" s="5">
        <v>100.5</v>
      </c>
      <c r="I4021" s="5">
        <v>0</v>
      </c>
      <c r="J4021" s="5">
        <v>0</v>
      </c>
      <c r="K4021" s="5">
        <v>0</v>
      </c>
    </row>
    <row r="4022" spans="1:11" x14ac:dyDescent="0.25">
      <c r="A4022" s="5">
        <f>4015</f>
      </c>
      <c r="B4022" s="5" t="s">
        <v>4030</v>
      </c>
      <c r="C4022" s="5">
        <v>100.8</v>
      </c>
      <c r="D4022" s="5">
        <v>0.1</v>
      </c>
      <c r="E4022" s="5">
        <v>100.8</v>
      </c>
      <c r="F4022" s="5">
        <v>201.7</v>
      </c>
      <c r="G4022" s="5">
        <v>100.6</v>
      </c>
      <c r="H4022" s="5">
        <v>100.4</v>
      </c>
      <c r="I4022" s="5">
        <v>0</v>
      </c>
      <c r="J4022" s="5">
        <v>0</v>
      </c>
      <c r="K4022" s="5">
        <v>0</v>
      </c>
    </row>
    <row r="4023" spans="1:11" x14ac:dyDescent="0.25">
      <c r="A4023" s="5">
        <f>4016</f>
      </c>
      <c r="B4023" s="5" t="s">
        <v>4031</v>
      </c>
      <c r="C4023" s="5">
        <v>100.8</v>
      </c>
      <c r="D4023" s="5">
        <v>0.1</v>
      </c>
      <c r="E4023" s="5">
        <v>100.8</v>
      </c>
      <c r="F4023" s="5">
        <v>201.7</v>
      </c>
      <c r="G4023" s="5">
        <v>100.6</v>
      </c>
      <c r="H4023" s="5">
        <v>100.4</v>
      </c>
      <c r="I4023" s="5">
        <v>0</v>
      </c>
      <c r="J4023" s="5">
        <v>0</v>
      </c>
      <c r="K4023" s="5">
        <v>0</v>
      </c>
    </row>
    <row r="4024" spans="1:11" x14ac:dyDescent="0.25">
      <c r="A4024" s="5">
        <f>4017</f>
      </c>
      <c r="B4024" s="5" t="s">
        <v>4032</v>
      </c>
      <c r="C4024" s="5">
        <v>95.6</v>
      </c>
      <c r="D4024" s="5">
        <v>0.1</v>
      </c>
      <c r="E4024" s="5">
        <v>95.7</v>
      </c>
      <c r="F4024" s="5">
        <v>190.9</v>
      </c>
      <c r="G4024" s="5">
        <v>95.2</v>
      </c>
      <c r="H4024" s="5">
        <v>95.1</v>
      </c>
      <c r="I4024" s="5">
        <v>0</v>
      </c>
      <c r="J4024" s="5">
        <v>0</v>
      </c>
      <c r="K4024" s="5">
        <v>0</v>
      </c>
    </row>
    <row r="4025" spans="1:11" x14ac:dyDescent="0.25">
      <c r="A4025" s="5">
        <f>4018</f>
      </c>
      <c r="B4025" s="5" t="s">
        <v>4033</v>
      </c>
      <c r="C4025" s="5">
        <v>95.6</v>
      </c>
      <c r="D4025" s="5">
        <v>0.1</v>
      </c>
      <c r="E4025" s="5">
        <v>95.7</v>
      </c>
      <c r="F4025" s="5">
        <v>190.9</v>
      </c>
      <c r="G4025" s="5">
        <v>95.2</v>
      </c>
      <c r="H4025" s="5">
        <v>95.1</v>
      </c>
      <c r="I4025" s="5">
        <v>0</v>
      </c>
      <c r="J4025" s="5">
        <v>0</v>
      </c>
      <c r="K4025" s="5">
        <v>0</v>
      </c>
    </row>
    <row r="4026" spans="1:11" x14ac:dyDescent="0.25">
      <c r="A4026" s="5">
        <f>4019</f>
      </c>
      <c r="B4026" s="5" t="s">
        <v>4034</v>
      </c>
      <c r="C4026" s="5">
        <v>95.6</v>
      </c>
      <c r="D4026" s="5">
        <v>0.1</v>
      </c>
      <c r="E4026" s="5">
        <v>95.7</v>
      </c>
      <c r="F4026" s="5">
        <v>190.9</v>
      </c>
      <c r="G4026" s="5">
        <v>95.2</v>
      </c>
      <c r="H4026" s="5">
        <v>95.1</v>
      </c>
      <c r="I4026" s="5">
        <v>0</v>
      </c>
      <c r="J4026" s="5">
        <v>0</v>
      </c>
      <c r="K4026" s="5">
        <v>0</v>
      </c>
    </row>
    <row r="4027" spans="1:11" x14ac:dyDescent="0.25">
      <c r="A4027" s="5">
        <f>4020</f>
      </c>
      <c r="B4027" s="5" t="s">
        <v>4035</v>
      </c>
      <c r="C4027" s="5">
        <v>94.1</v>
      </c>
      <c r="D4027" s="5">
        <v>0.1</v>
      </c>
      <c r="E4027" s="5">
        <v>94.1</v>
      </c>
      <c r="F4027" s="5">
        <v>198.8</v>
      </c>
      <c r="G4027" s="5">
        <v>98.7</v>
      </c>
      <c r="H4027" s="5">
        <v>98.2</v>
      </c>
      <c r="I4027" s="5">
        <v>0</v>
      </c>
      <c r="J4027" s="5">
        <v>0</v>
      </c>
      <c r="K4027" s="5">
        <v>0</v>
      </c>
    </row>
    <row r="4028" spans="1:11" x14ac:dyDescent="0.25">
      <c r="A4028" s="5">
        <f>4021</f>
      </c>
      <c r="B4028" s="5" t="s">
        <v>4036</v>
      </c>
      <c r="C4028" s="5">
        <v>92.9</v>
      </c>
      <c r="D4028" s="5">
        <v>0.1</v>
      </c>
      <c r="E4028" s="5">
        <v>99.9</v>
      </c>
      <c r="F4028" s="5">
        <v>198.3</v>
      </c>
      <c r="G4028" s="5">
        <v>91.6</v>
      </c>
      <c r="H4028" s="5">
        <v>91.6</v>
      </c>
      <c r="I4028" s="5">
        <v>0</v>
      </c>
      <c r="J4028" s="5">
        <v>0</v>
      </c>
      <c r="K4028" s="5">
        <v>0</v>
      </c>
    </row>
    <row r="4029" spans="1:11" x14ac:dyDescent="0.25">
      <c r="A4029" s="5">
        <f>4022</f>
      </c>
      <c r="B4029" s="5" t="s">
        <v>4037</v>
      </c>
      <c r="C4029" s="5">
        <v>92.9</v>
      </c>
      <c r="D4029" s="5">
        <v>0.1</v>
      </c>
      <c r="E4029" s="5">
        <v>93</v>
      </c>
      <c r="F4029" s="5">
        <v>183.6</v>
      </c>
      <c r="G4029" s="5">
        <v>91.6</v>
      </c>
      <c r="H4029" s="5">
        <v>91.6</v>
      </c>
      <c r="I4029" s="5">
        <v>0</v>
      </c>
      <c r="J4029" s="5">
        <v>0</v>
      </c>
      <c r="K4029" s="5">
        <v>0</v>
      </c>
    </row>
    <row r="4030" spans="1:11" x14ac:dyDescent="0.25">
      <c r="A4030" s="5">
        <f>4023</f>
      </c>
      <c r="B4030" s="5" t="s">
        <v>4038</v>
      </c>
      <c r="C4030" s="5">
        <v>92.9</v>
      </c>
      <c r="D4030" s="5">
        <v>0.1</v>
      </c>
      <c r="E4030" s="5">
        <v>93</v>
      </c>
      <c r="F4030" s="5">
        <v>183.6</v>
      </c>
      <c r="G4030" s="5">
        <v>91.6</v>
      </c>
      <c r="H4030" s="5">
        <v>94</v>
      </c>
      <c r="I4030" s="5">
        <v>0</v>
      </c>
      <c r="J4030" s="5">
        <v>0</v>
      </c>
      <c r="K4030" s="5">
        <v>0</v>
      </c>
    </row>
    <row r="4031" spans="1:11" x14ac:dyDescent="0.25">
      <c r="A4031" s="5">
        <f>4024</f>
      </c>
      <c r="B4031" s="5" t="s">
        <v>4039</v>
      </c>
      <c r="C4031" s="5">
        <v>94.6</v>
      </c>
      <c r="D4031" s="5">
        <v>0.1</v>
      </c>
      <c r="E4031" s="5">
        <v>94.8</v>
      </c>
      <c r="F4031" s="5">
        <v>188.6</v>
      </c>
      <c r="G4031" s="5">
        <v>94.1</v>
      </c>
      <c r="H4031" s="5">
        <v>94</v>
      </c>
      <c r="I4031" s="5">
        <v>0</v>
      </c>
      <c r="J4031" s="5">
        <v>0</v>
      </c>
      <c r="K4031" s="5">
        <v>0</v>
      </c>
    </row>
    <row r="4032" spans="1:11" x14ac:dyDescent="0.25">
      <c r="A4032" s="5">
        <f>4025</f>
      </c>
      <c r="B4032" s="5" t="s">
        <v>4040</v>
      </c>
      <c r="C4032" s="5">
        <v>94.6</v>
      </c>
      <c r="D4032" s="5">
        <v>0.1</v>
      </c>
      <c r="E4032" s="5">
        <v>94.8</v>
      </c>
      <c r="F4032" s="5">
        <v>188.6</v>
      </c>
      <c r="G4032" s="5">
        <v>94.1</v>
      </c>
      <c r="H4032" s="5">
        <v>94</v>
      </c>
      <c r="I4032" s="5">
        <v>0</v>
      </c>
      <c r="J4032" s="5">
        <v>0</v>
      </c>
      <c r="K4032" s="5">
        <v>0</v>
      </c>
    </row>
    <row r="4033" spans="1:11" x14ac:dyDescent="0.25">
      <c r="A4033" s="5">
        <f>4026</f>
      </c>
      <c r="B4033" s="5" t="s">
        <v>4041</v>
      </c>
      <c r="C4033" s="5">
        <v>98.9</v>
      </c>
      <c r="D4033" s="5">
        <v>0.1</v>
      </c>
      <c r="E4033" s="5">
        <v>99</v>
      </c>
      <c r="F4033" s="5">
        <v>197.5</v>
      </c>
      <c r="G4033" s="5">
        <v>98.5</v>
      </c>
      <c r="H4033" s="5">
        <v>98.4</v>
      </c>
      <c r="I4033" s="5">
        <v>0</v>
      </c>
      <c r="J4033" s="5">
        <v>0</v>
      </c>
      <c r="K4033" s="5">
        <v>0</v>
      </c>
    </row>
    <row r="4034" spans="1:11" x14ac:dyDescent="0.25">
      <c r="A4034" s="5">
        <f>4027</f>
      </c>
      <c r="B4034" s="5" t="s">
        <v>4042</v>
      </c>
      <c r="C4034" s="5">
        <v>98.9</v>
      </c>
      <c r="D4034" s="5">
        <v>0.1</v>
      </c>
      <c r="E4034" s="5">
        <v>99</v>
      </c>
      <c r="F4034" s="5">
        <v>197.5</v>
      </c>
      <c r="G4034" s="5">
        <v>98.5</v>
      </c>
      <c r="H4034" s="5">
        <v>98.4</v>
      </c>
      <c r="I4034" s="5">
        <v>0</v>
      </c>
      <c r="J4034" s="5">
        <v>0</v>
      </c>
      <c r="K4034" s="5">
        <v>0</v>
      </c>
    </row>
    <row r="4035" spans="1:11" x14ac:dyDescent="0.25">
      <c r="A4035" s="5">
        <f>4028</f>
      </c>
      <c r="B4035" s="5" t="s">
        <v>4043</v>
      </c>
      <c r="C4035" s="5">
        <v>93.2</v>
      </c>
      <c r="D4035" s="5">
        <v>0.1</v>
      </c>
      <c r="E4035" s="5">
        <v>93.3</v>
      </c>
      <c r="F4035" s="5">
        <v>190.4</v>
      </c>
      <c r="G4035" s="5">
        <v>94.8</v>
      </c>
      <c r="H4035" s="5">
        <v>94.6</v>
      </c>
      <c r="I4035" s="5">
        <v>0</v>
      </c>
      <c r="J4035" s="5">
        <v>0</v>
      </c>
      <c r="K4035" s="5">
        <v>0</v>
      </c>
    </row>
    <row r="4036" spans="1:11" x14ac:dyDescent="0.25">
      <c r="A4036" s="5">
        <f>4029</f>
      </c>
      <c r="B4036" s="5" t="s">
        <v>4044</v>
      </c>
      <c r="C4036" s="5">
        <v>93.2</v>
      </c>
      <c r="D4036" s="5">
        <v>0.1</v>
      </c>
      <c r="E4036" s="5">
        <v>93.3</v>
      </c>
      <c r="F4036" s="5">
        <v>190.4</v>
      </c>
      <c r="G4036" s="5">
        <v>94.8</v>
      </c>
      <c r="H4036" s="5">
        <v>94.6</v>
      </c>
      <c r="I4036" s="5">
        <v>0</v>
      </c>
      <c r="J4036" s="5">
        <v>0</v>
      </c>
      <c r="K4036" s="5">
        <v>0</v>
      </c>
    </row>
    <row r="4037" spans="1:11" x14ac:dyDescent="0.25">
      <c r="A4037" s="5">
        <f>4030</f>
      </c>
      <c r="B4037" s="5" t="s">
        <v>4045</v>
      </c>
      <c r="C4037" s="5">
        <v>93.2</v>
      </c>
      <c r="D4037" s="5">
        <v>0.1</v>
      </c>
      <c r="E4037" s="5">
        <v>93.3</v>
      </c>
      <c r="F4037" s="5">
        <v>190.4</v>
      </c>
      <c r="G4037" s="5">
        <v>94.8</v>
      </c>
      <c r="H4037" s="5">
        <v>94.6</v>
      </c>
      <c r="I4037" s="5">
        <v>0</v>
      </c>
      <c r="J4037" s="5">
        <v>0</v>
      </c>
      <c r="K4037" s="5">
        <v>0</v>
      </c>
    </row>
    <row r="4038" spans="1:11" x14ac:dyDescent="0.25">
      <c r="A4038" s="5">
        <f>4031</f>
      </c>
      <c r="B4038" s="5" t="s">
        <v>4046</v>
      </c>
      <c r="C4038" s="5">
        <v>94.3</v>
      </c>
      <c r="D4038" s="5">
        <v>0.1</v>
      </c>
      <c r="E4038" s="5">
        <v>94.5</v>
      </c>
      <c r="F4038" s="5">
        <v>186</v>
      </c>
      <c r="G4038" s="5">
        <v>92.7</v>
      </c>
      <c r="H4038" s="5">
        <v>92.5</v>
      </c>
      <c r="I4038" s="5">
        <v>0</v>
      </c>
      <c r="J4038" s="5">
        <v>0</v>
      </c>
      <c r="K4038" s="5">
        <v>0</v>
      </c>
    </row>
    <row r="4039" spans="1:11" x14ac:dyDescent="0.25">
      <c r="A4039" s="5">
        <f>4032</f>
      </c>
      <c r="B4039" s="5" t="s">
        <v>4047</v>
      </c>
      <c r="C4039" s="5">
        <v>94.3</v>
      </c>
      <c r="D4039" s="5">
        <v>0.1</v>
      </c>
      <c r="E4039" s="5">
        <v>94.5</v>
      </c>
      <c r="F4039" s="5">
        <v>186</v>
      </c>
      <c r="G4039" s="5">
        <v>92.7</v>
      </c>
      <c r="H4039" s="5">
        <v>92.5</v>
      </c>
      <c r="I4039" s="5">
        <v>0</v>
      </c>
      <c r="J4039" s="5">
        <v>0</v>
      </c>
      <c r="K4039" s="5">
        <v>0</v>
      </c>
    </row>
    <row r="4040" spans="1:11" x14ac:dyDescent="0.25">
      <c r="A4040" s="5">
        <f>4033</f>
      </c>
      <c r="B4040" s="5" t="s">
        <v>4048</v>
      </c>
      <c r="C4040" s="5">
        <v>0</v>
      </c>
      <c r="D4040" s="5">
        <v>0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</row>
    <row r="4041" spans="1:11" x14ac:dyDescent="0.25">
      <c r="A4041" s="5">
        <f>4034</f>
      </c>
      <c r="B4041" s="5" t="s">
        <v>4049</v>
      </c>
      <c r="C4041" s="5">
        <v>0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</row>
    <row r="4042" spans="1:11" x14ac:dyDescent="0.25">
      <c r="A4042" s="5">
        <f>4035</f>
      </c>
      <c r="B4042" s="5" t="s">
        <v>4050</v>
      </c>
      <c r="C4042" s="5">
        <v>0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</row>
    <row r="4043" spans="1:11" x14ac:dyDescent="0.25">
      <c r="A4043" s="5">
        <f>4036</f>
      </c>
      <c r="B4043" s="5" t="s">
        <v>4051</v>
      </c>
      <c r="C4043" s="5">
        <v>0</v>
      </c>
      <c r="D4043" s="5">
        <v>0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</row>
    <row r="4044" spans="1:11" x14ac:dyDescent="0.25">
      <c r="A4044" s="5">
        <f>4037</f>
      </c>
      <c r="B4044" s="5" t="s">
        <v>4052</v>
      </c>
      <c r="C4044" s="5">
        <v>0</v>
      </c>
      <c r="D4044" s="5">
        <v>0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</row>
    <row r="4045" spans="1:11" x14ac:dyDescent="0.25">
      <c r="A4045" s="5">
        <f>4038</f>
      </c>
      <c r="B4045" s="5" t="s">
        <v>4053</v>
      </c>
      <c r="C4045" s="5">
        <v>0</v>
      </c>
      <c r="D4045" s="5">
        <v>0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</row>
    <row r="4046" spans="1:11" x14ac:dyDescent="0.25">
      <c r="A4046" s="5">
        <f>4039</f>
      </c>
      <c r="B4046" s="5" t="s">
        <v>4054</v>
      </c>
      <c r="C4046" s="5">
        <v>0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</row>
    <row r="4047" spans="1:11" x14ac:dyDescent="0.25">
      <c r="A4047" s="5">
        <f>4040</f>
      </c>
      <c r="B4047" s="5" t="s">
        <v>4055</v>
      </c>
      <c r="C4047" s="5">
        <v>0</v>
      </c>
      <c r="D4047" s="5">
        <v>0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</row>
    <row r="4048" spans="1:11" x14ac:dyDescent="0.25">
      <c r="A4048" s="5">
        <f>4041</f>
      </c>
      <c r="B4048" s="5" t="s">
        <v>4056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</row>
    <row r="4049" spans="1:11" x14ac:dyDescent="0.25">
      <c r="A4049" s="5">
        <f>4042</f>
      </c>
      <c r="B4049" s="5" t="s">
        <v>4057</v>
      </c>
      <c r="C4049" s="5">
        <v>0</v>
      </c>
      <c r="D4049" s="5">
        <v>0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</row>
    <row r="4050" spans="1:11" x14ac:dyDescent="0.25">
      <c r="A4050" s="5">
        <f>4043</f>
      </c>
      <c r="B4050" s="5" t="s">
        <v>4058</v>
      </c>
      <c r="C4050" s="5">
        <v>0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</row>
    <row r="4051" spans="1:11" x14ac:dyDescent="0.25">
      <c r="A4051" s="5">
        <f>4044</f>
      </c>
      <c r="B4051" s="5" t="s">
        <v>4059</v>
      </c>
      <c r="C4051" s="5">
        <v>0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</row>
    <row r="4052" spans="1:11" x14ac:dyDescent="0.25">
      <c r="A4052" s="5">
        <f>4045</f>
      </c>
      <c r="B4052" s="5" t="s">
        <v>4060</v>
      </c>
      <c r="C4052" s="5">
        <v>0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</row>
    <row r="4053" spans="1:11" x14ac:dyDescent="0.25">
      <c r="A4053" s="5">
        <f>4046</f>
      </c>
      <c r="B4053" s="5" t="s">
        <v>4061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</row>
    <row r="4054" spans="1:11" x14ac:dyDescent="0.25">
      <c r="A4054" s="5">
        <f>4047</f>
      </c>
      <c r="B4054" s="5" t="s">
        <v>4062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</row>
    <row r="4055" spans="1:11" x14ac:dyDescent="0.25">
      <c r="A4055" s="5">
        <f>4048</f>
      </c>
      <c r="B4055" s="5" t="s">
        <v>4063</v>
      </c>
      <c r="C4055" s="5">
        <v>0</v>
      </c>
      <c r="D4055" s="5">
        <v>0</v>
      </c>
      <c r="E4055" s="5">
        <v>0</v>
      </c>
      <c r="F4055" s="5">
        <v>191.3</v>
      </c>
      <c r="G4055" s="5">
        <v>95.5</v>
      </c>
      <c r="H4055" s="5">
        <v>95.4</v>
      </c>
      <c r="I4055" s="5">
        <v>0</v>
      </c>
      <c r="J4055" s="5">
        <v>0</v>
      </c>
      <c r="K4055" s="5">
        <v>0</v>
      </c>
    </row>
    <row r="4056" spans="1:11" x14ac:dyDescent="0.25">
      <c r="A4056" s="5">
        <f>4049</f>
      </c>
      <c r="B4056" s="5" t="s">
        <v>4064</v>
      </c>
      <c r="C4056" s="5">
        <v>98.7</v>
      </c>
      <c r="D4056" s="5">
        <v>0.1</v>
      </c>
      <c r="E4056" s="5">
        <v>98.9</v>
      </c>
      <c r="F4056" s="5">
        <v>191.3</v>
      </c>
      <c r="G4056" s="5">
        <v>95.5</v>
      </c>
      <c r="H4056" s="5">
        <v>95.4</v>
      </c>
      <c r="I4056" s="5">
        <v>0</v>
      </c>
      <c r="J4056" s="5">
        <v>0</v>
      </c>
      <c r="K4056" s="5">
        <v>0</v>
      </c>
    </row>
    <row r="4057" spans="1:11" x14ac:dyDescent="0.25">
      <c r="A4057" s="5">
        <f>4050</f>
      </c>
      <c r="B4057" s="5" t="s">
        <v>4065</v>
      </c>
      <c r="C4057" s="5">
        <v>98.7</v>
      </c>
      <c r="D4057" s="5">
        <v>0.1</v>
      </c>
      <c r="E4057" s="5">
        <v>98.9</v>
      </c>
      <c r="F4057" s="5">
        <v>191.3</v>
      </c>
      <c r="G4057" s="5">
        <v>95.5</v>
      </c>
      <c r="H4057" s="5">
        <v>101.3</v>
      </c>
      <c r="I4057" s="5">
        <v>0</v>
      </c>
      <c r="J4057" s="5">
        <v>0</v>
      </c>
      <c r="K4057" s="5">
        <v>0</v>
      </c>
    </row>
    <row r="4058" spans="1:11" x14ac:dyDescent="0.25">
      <c r="A4058" s="5">
        <f>4051</f>
      </c>
      <c r="B4058" s="5" t="s">
        <v>4066</v>
      </c>
      <c r="C4058" s="5">
        <v>101.8</v>
      </c>
      <c r="D4058" s="5">
        <v>0.1</v>
      </c>
      <c r="E4058" s="5">
        <v>101.9</v>
      </c>
      <c r="F4058" s="5">
        <v>203.2</v>
      </c>
      <c r="G4058" s="5">
        <v>101.4</v>
      </c>
      <c r="H4058" s="5">
        <v>101.3</v>
      </c>
      <c r="I4058" s="5">
        <v>0</v>
      </c>
      <c r="J4058" s="5">
        <v>0</v>
      </c>
      <c r="K4058" s="5">
        <v>0</v>
      </c>
    </row>
    <row r="4059" spans="1:11" x14ac:dyDescent="0.25">
      <c r="A4059" s="5">
        <f>4052</f>
      </c>
      <c r="B4059" s="5" t="s">
        <v>4067</v>
      </c>
      <c r="C4059" s="5">
        <v>101.8</v>
      </c>
      <c r="D4059" s="5">
        <v>0.1</v>
      </c>
      <c r="E4059" s="5">
        <v>101.9</v>
      </c>
      <c r="F4059" s="5">
        <v>203.2</v>
      </c>
      <c r="G4059" s="5">
        <v>101.4</v>
      </c>
      <c r="H4059" s="5">
        <v>101.3</v>
      </c>
      <c r="I4059" s="5">
        <v>0</v>
      </c>
      <c r="J4059" s="5">
        <v>0</v>
      </c>
      <c r="K4059" s="5">
        <v>0</v>
      </c>
    </row>
    <row r="4060" spans="1:11" x14ac:dyDescent="0.25">
      <c r="A4060" s="5">
        <f>4053</f>
      </c>
      <c r="B4060" s="5" t="s">
        <v>4068</v>
      </c>
      <c r="C4060" s="5">
        <v>101.5</v>
      </c>
      <c r="D4060" s="5">
        <v>0.1</v>
      </c>
      <c r="E4060" s="5">
        <v>101.6</v>
      </c>
      <c r="F4060" s="5">
        <v>202.6</v>
      </c>
      <c r="G4060" s="5">
        <v>101.1</v>
      </c>
      <c r="H4060" s="5">
        <v>101</v>
      </c>
      <c r="I4060" s="5">
        <v>0</v>
      </c>
      <c r="J4060" s="5">
        <v>0</v>
      </c>
      <c r="K4060" s="5">
        <v>0</v>
      </c>
    </row>
    <row r="4061" spans="1:11" x14ac:dyDescent="0.25">
      <c r="A4061" s="5">
        <f>4054</f>
      </c>
      <c r="B4061" s="5" t="s">
        <v>4069</v>
      </c>
      <c r="C4061" s="5">
        <v>101.5</v>
      </c>
      <c r="D4061" s="5">
        <v>0.1</v>
      </c>
      <c r="E4061" s="5">
        <v>101.6</v>
      </c>
      <c r="F4061" s="5">
        <v>202.6</v>
      </c>
      <c r="G4061" s="5">
        <v>101.1</v>
      </c>
      <c r="H4061" s="5">
        <v>101</v>
      </c>
      <c r="I4061" s="5">
        <v>0</v>
      </c>
      <c r="J4061" s="5">
        <v>0</v>
      </c>
      <c r="K4061" s="5">
        <v>0</v>
      </c>
    </row>
    <row r="4062" spans="1:11" x14ac:dyDescent="0.25">
      <c r="A4062" s="5">
        <f>4055</f>
      </c>
      <c r="B4062" s="5" t="s">
        <v>4070</v>
      </c>
      <c r="C4062" s="5">
        <v>93.6</v>
      </c>
      <c r="D4062" s="5">
        <v>0.1</v>
      </c>
      <c r="E4062" s="5">
        <v>93.7</v>
      </c>
      <c r="F4062" s="5">
        <v>184.4</v>
      </c>
      <c r="G4062" s="5">
        <v>92.1</v>
      </c>
      <c r="H4062" s="5">
        <v>92</v>
      </c>
      <c r="I4062" s="5">
        <v>0</v>
      </c>
      <c r="J4062" s="5">
        <v>0</v>
      </c>
      <c r="K4062" s="5">
        <v>0</v>
      </c>
    </row>
    <row r="4063" spans="1:11" x14ac:dyDescent="0.25">
      <c r="A4063" s="5">
        <f>4056</f>
      </c>
      <c r="B4063" s="5" t="s">
        <v>4071</v>
      </c>
      <c r="C4063" s="5">
        <v>93.6</v>
      </c>
      <c r="D4063" s="5">
        <v>0.1</v>
      </c>
      <c r="E4063" s="5">
        <v>93.7</v>
      </c>
      <c r="F4063" s="5">
        <v>184.4</v>
      </c>
      <c r="G4063" s="5">
        <v>92.1</v>
      </c>
      <c r="H4063" s="5">
        <v>92</v>
      </c>
      <c r="I4063" s="5">
        <v>0</v>
      </c>
      <c r="J4063" s="5">
        <v>0</v>
      </c>
      <c r="K4063" s="5">
        <v>0</v>
      </c>
    </row>
    <row r="4064" spans="1:11" x14ac:dyDescent="0.25">
      <c r="A4064" s="5">
        <f>4057</f>
      </c>
      <c r="B4064" s="5" t="s">
        <v>4072</v>
      </c>
      <c r="C4064" s="5">
        <v>93.6</v>
      </c>
      <c r="D4064" s="5">
        <v>0.1</v>
      </c>
      <c r="E4064" s="5">
        <v>93.7</v>
      </c>
      <c r="F4064" s="5">
        <v>184.4</v>
      </c>
      <c r="G4064" s="5">
        <v>92.1</v>
      </c>
      <c r="H4064" s="5">
        <v>92</v>
      </c>
      <c r="I4064" s="5">
        <v>0</v>
      </c>
      <c r="J4064" s="5">
        <v>0</v>
      </c>
      <c r="K4064" s="5">
        <v>0</v>
      </c>
    </row>
    <row r="4065" spans="1:11" x14ac:dyDescent="0.25">
      <c r="A4065" s="5">
        <f>4058</f>
      </c>
      <c r="B4065" s="5" t="s">
        <v>4073</v>
      </c>
      <c r="C4065" s="5">
        <v>99.4</v>
      </c>
      <c r="D4065" s="5">
        <v>0.1</v>
      </c>
      <c r="E4065" s="5">
        <v>99.5</v>
      </c>
      <c r="F4065" s="5">
        <v>198.3</v>
      </c>
      <c r="G4065" s="5">
        <v>98.9</v>
      </c>
      <c r="H4065" s="5">
        <v>98.8</v>
      </c>
      <c r="I4065" s="5">
        <v>0</v>
      </c>
      <c r="J4065" s="5">
        <v>0</v>
      </c>
      <c r="K4065" s="5">
        <v>0</v>
      </c>
    </row>
    <row r="4066" spans="1:11" x14ac:dyDescent="0.25">
      <c r="A4066" s="5">
        <f>4059</f>
      </c>
      <c r="B4066" s="5" t="s">
        <v>4074</v>
      </c>
      <c r="C4066" s="5">
        <v>99.4</v>
      </c>
      <c r="D4066" s="5">
        <v>0.1</v>
      </c>
      <c r="E4066" s="5">
        <v>99.5</v>
      </c>
      <c r="F4066" s="5">
        <v>198.3</v>
      </c>
      <c r="G4066" s="5">
        <v>98.9</v>
      </c>
      <c r="H4066" s="5">
        <v>98.8</v>
      </c>
      <c r="I4066" s="5">
        <v>0</v>
      </c>
      <c r="J4066" s="5">
        <v>0</v>
      </c>
      <c r="K4066" s="5">
        <v>0</v>
      </c>
    </row>
    <row r="4067" spans="1:11" x14ac:dyDescent="0.25">
      <c r="A4067" s="5">
        <f>4060</f>
      </c>
      <c r="B4067" s="5" t="s">
        <v>4075</v>
      </c>
      <c r="C4067" s="5">
        <v>99.2</v>
      </c>
      <c r="D4067" s="5">
        <v>0.1</v>
      </c>
      <c r="E4067" s="5">
        <v>99.3</v>
      </c>
      <c r="F4067" s="5">
        <v>197.9</v>
      </c>
      <c r="G4067" s="5">
        <v>98.8</v>
      </c>
      <c r="H4067" s="5">
        <v>98.6</v>
      </c>
      <c r="I4067" s="5">
        <v>0</v>
      </c>
      <c r="J4067" s="5">
        <v>0</v>
      </c>
      <c r="K4067" s="5">
        <v>0</v>
      </c>
    </row>
    <row r="4068" spans="1:11" x14ac:dyDescent="0.25">
      <c r="A4068" s="5">
        <f>4061</f>
      </c>
      <c r="B4068" s="5" t="s">
        <v>4076</v>
      </c>
      <c r="C4068" s="5">
        <v>99.2</v>
      </c>
      <c r="D4068" s="5">
        <v>0.1</v>
      </c>
      <c r="E4068" s="5">
        <v>99.3</v>
      </c>
      <c r="F4068" s="5">
        <v>197.9</v>
      </c>
      <c r="G4068" s="5">
        <v>98.8</v>
      </c>
      <c r="H4068" s="5">
        <v>98.6</v>
      </c>
      <c r="I4068" s="5">
        <v>0</v>
      </c>
      <c r="J4068" s="5">
        <v>0</v>
      </c>
      <c r="K4068" s="5">
        <v>0</v>
      </c>
    </row>
    <row r="4069" spans="1:11" x14ac:dyDescent="0.25">
      <c r="A4069" s="5">
        <f>4062</f>
      </c>
      <c r="B4069" s="5" t="s">
        <v>4077</v>
      </c>
      <c r="C4069" s="5">
        <v>98.6</v>
      </c>
      <c r="D4069" s="5">
        <v>0.1</v>
      </c>
      <c r="E4069" s="5">
        <v>98.8</v>
      </c>
      <c r="F4069" s="5">
        <v>196.5</v>
      </c>
      <c r="G4069" s="5">
        <v>98</v>
      </c>
      <c r="H4069" s="5">
        <v>97.9</v>
      </c>
      <c r="I4069" s="5">
        <v>0</v>
      </c>
      <c r="J4069" s="5">
        <v>0</v>
      </c>
      <c r="K4069" s="5">
        <v>0</v>
      </c>
    </row>
    <row r="4070" spans="1:11" x14ac:dyDescent="0.25">
      <c r="A4070" s="5">
        <f>4063</f>
      </c>
      <c r="B4070" s="5" t="s">
        <v>4078</v>
      </c>
      <c r="C4070" s="5">
        <v>98.6</v>
      </c>
      <c r="D4070" s="5">
        <v>0.1</v>
      </c>
      <c r="E4070" s="5">
        <v>98.8</v>
      </c>
      <c r="F4070" s="5">
        <v>196.5</v>
      </c>
      <c r="G4070" s="5">
        <v>98</v>
      </c>
      <c r="H4070" s="5">
        <v>97.9</v>
      </c>
      <c r="I4070" s="5">
        <v>0</v>
      </c>
      <c r="J4070" s="5">
        <v>0</v>
      </c>
      <c r="K4070" s="5">
        <v>0</v>
      </c>
    </row>
    <row r="4071" spans="1:11" x14ac:dyDescent="0.25">
      <c r="A4071" s="5">
        <f>4064</f>
      </c>
      <c r="B4071" s="5" t="s">
        <v>4079</v>
      </c>
      <c r="C4071" s="5">
        <v>94.8</v>
      </c>
      <c r="D4071" s="5">
        <v>0.1</v>
      </c>
      <c r="E4071" s="5">
        <v>95</v>
      </c>
      <c r="F4071" s="5">
        <v>192.9</v>
      </c>
      <c r="G4071" s="5">
        <v>96.1</v>
      </c>
      <c r="H4071" s="5">
        <v>95.8</v>
      </c>
      <c r="I4071" s="5">
        <v>0</v>
      </c>
      <c r="J4071" s="5">
        <v>0</v>
      </c>
      <c r="K4071" s="5">
        <v>0</v>
      </c>
    </row>
    <row r="4072" spans="1:11" x14ac:dyDescent="0.25">
      <c r="A4072" s="5">
        <f>4065</f>
      </c>
      <c r="B4072" s="5" t="s">
        <v>4080</v>
      </c>
      <c r="C4072" s="5">
        <v>94.8</v>
      </c>
      <c r="D4072" s="5">
        <v>0.1</v>
      </c>
      <c r="E4072" s="5">
        <v>95</v>
      </c>
      <c r="F4072" s="5">
        <v>192.9</v>
      </c>
      <c r="G4072" s="5">
        <v>96.1</v>
      </c>
      <c r="H4072" s="5">
        <v>95.8</v>
      </c>
      <c r="I4072" s="5">
        <v>0</v>
      </c>
      <c r="J4072" s="5">
        <v>0</v>
      </c>
      <c r="K4072" s="5">
        <v>0</v>
      </c>
    </row>
    <row r="4073" spans="1:11" x14ac:dyDescent="0.25">
      <c r="A4073" s="5">
        <f>4066</f>
      </c>
      <c r="B4073" s="5" t="s">
        <v>4081</v>
      </c>
      <c r="C4073" s="5">
        <v>94.8</v>
      </c>
      <c r="D4073" s="5">
        <v>0.1</v>
      </c>
      <c r="E4073" s="5">
        <v>95</v>
      </c>
      <c r="F4073" s="5">
        <v>192.9</v>
      </c>
      <c r="G4073" s="5">
        <v>96.1</v>
      </c>
      <c r="H4073" s="5">
        <v>95.8</v>
      </c>
      <c r="I4073" s="5">
        <v>0</v>
      </c>
      <c r="J4073" s="5">
        <v>0</v>
      </c>
      <c r="K4073" s="5">
        <v>0</v>
      </c>
    </row>
    <row r="4074" spans="1:11" x14ac:dyDescent="0.25">
      <c r="A4074" s="5">
        <f>4067</f>
      </c>
      <c r="B4074" s="5" t="s">
        <v>4082</v>
      </c>
      <c r="C4074" s="5">
        <v>94.8</v>
      </c>
      <c r="D4074" s="5">
        <v>0.1</v>
      </c>
      <c r="E4074" s="5">
        <v>95</v>
      </c>
      <c r="F4074" s="5">
        <v>192.9</v>
      </c>
      <c r="G4074" s="5">
        <v>96.1</v>
      </c>
      <c r="H4074" s="5">
        <v>95.8</v>
      </c>
      <c r="I4074" s="5">
        <v>0</v>
      </c>
      <c r="J4074" s="5">
        <v>0</v>
      </c>
      <c r="K4074" s="5">
        <v>0</v>
      </c>
    </row>
    <row r="4075" spans="1:11" x14ac:dyDescent="0.25">
      <c r="A4075" s="5">
        <f>4068</f>
      </c>
      <c r="B4075" s="5" t="s">
        <v>4083</v>
      </c>
      <c r="C4075" s="5">
        <v>90.7</v>
      </c>
      <c r="D4075" s="5">
        <v>0.1</v>
      </c>
      <c r="E4075" s="5">
        <v>90.8</v>
      </c>
      <c r="F4075" s="5">
        <v>181.9</v>
      </c>
      <c r="G4075" s="5">
        <v>90.8</v>
      </c>
      <c r="H4075" s="5">
        <v>90.7</v>
      </c>
      <c r="I4075" s="5">
        <v>0</v>
      </c>
      <c r="J4075" s="5">
        <v>0</v>
      </c>
      <c r="K4075" s="5">
        <v>0</v>
      </c>
    </row>
    <row r="4076" spans="1:11" x14ac:dyDescent="0.25">
      <c r="A4076" s="5">
        <f>4069</f>
      </c>
      <c r="B4076" s="5" t="s">
        <v>4084</v>
      </c>
      <c r="C4076" s="5">
        <v>90.7</v>
      </c>
      <c r="D4076" s="5">
        <v>0.1</v>
      </c>
      <c r="E4076" s="5">
        <v>90.8</v>
      </c>
      <c r="F4076" s="5">
        <v>181.9</v>
      </c>
      <c r="G4076" s="5">
        <v>90.8</v>
      </c>
      <c r="H4076" s="5">
        <v>90.7</v>
      </c>
      <c r="I4076" s="5">
        <v>0</v>
      </c>
      <c r="J4076" s="5">
        <v>0</v>
      </c>
      <c r="K4076" s="5">
        <v>0</v>
      </c>
    </row>
    <row r="4077" spans="1:11" x14ac:dyDescent="0.25">
      <c r="A4077" s="5">
        <f>4070</f>
      </c>
      <c r="B4077" s="5" t="s">
        <v>4085</v>
      </c>
      <c r="C4077" s="5">
        <v>92</v>
      </c>
      <c r="D4077" s="5">
        <v>0</v>
      </c>
      <c r="E4077" s="5">
        <v>92.2</v>
      </c>
      <c r="F4077" s="5">
        <v>183.9</v>
      </c>
      <c r="G4077" s="5">
        <v>91.8</v>
      </c>
      <c r="H4077" s="5">
        <v>91.6</v>
      </c>
      <c r="I4077" s="5">
        <v>0</v>
      </c>
      <c r="J4077" s="5">
        <v>0</v>
      </c>
      <c r="K4077" s="5">
        <v>0</v>
      </c>
    </row>
    <row r="4078" spans="1:11" x14ac:dyDescent="0.25">
      <c r="A4078" s="5">
        <f>4071</f>
      </c>
      <c r="B4078" s="5" t="s">
        <v>4086</v>
      </c>
      <c r="C4078" s="5">
        <v>92</v>
      </c>
      <c r="D4078" s="5">
        <v>0</v>
      </c>
      <c r="E4078" s="5">
        <v>92.2</v>
      </c>
      <c r="F4078" s="5">
        <v>183.9</v>
      </c>
      <c r="G4078" s="5">
        <v>91.8</v>
      </c>
      <c r="H4078" s="5">
        <v>91.6</v>
      </c>
      <c r="I4078" s="5">
        <v>0</v>
      </c>
      <c r="J4078" s="5">
        <v>0</v>
      </c>
      <c r="K4078" s="5">
        <v>0</v>
      </c>
    </row>
    <row r="4079" spans="1:11" x14ac:dyDescent="0.25">
      <c r="A4079" s="5">
        <f>4072</f>
      </c>
      <c r="B4079" s="5" t="s">
        <v>4087</v>
      </c>
      <c r="C4079" s="5">
        <v>90.4</v>
      </c>
      <c r="D4079" s="5">
        <v>0.1</v>
      </c>
      <c r="E4079" s="5">
        <v>90.5</v>
      </c>
      <c r="F4079" s="5">
        <v>182.4</v>
      </c>
      <c r="G4079" s="5">
        <v>90.8</v>
      </c>
      <c r="H4079" s="5">
        <v>90.6</v>
      </c>
      <c r="I4079" s="5">
        <v>0</v>
      </c>
      <c r="J4079" s="5">
        <v>0</v>
      </c>
      <c r="K4079" s="5">
        <v>0</v>
      </c>
    </row>
    <row r="4080" spans="1:11" x14ac:dyDescent="0.25">
      <c r="A4080" s="5">
        <f>4073</f>
      </c>
      <c r="B4080" s="5" t="s">
        <v>4088</v>
      </c>
      <c r="C4080" s="5">
        <v>90.4</v>
      </c>
      <c r="D4080" s="5">
        <v>0.1</v>
      </c>
      <c r="E4080" s="5">
        <v>90.5</v>
      </c>
      <c r="F4080" s="5">
        <v>182.4</v>
      </c>
      <c r="G4080" s="5">
        <v>90.8</v>
      </c>
      <c r="H4080" s="5">
        <v>90.6</v>
      </c>
      <c r="I4080" s="5">
        <v>0</v>
      </c>
      <c r="J4080" s="5">
        <v>0</v>
      </c>
      <c r="K4080" s="5">
        <v>0</v>
      </c>
    </row>
    <row r="4081" spans="1:11" x14ac:dyDescent="0.25">
      <c r="A4081" s="5">
        <f>4074</f>
      </c>
      <c r="B4081" s="5" t="s">
        <v>4089</v>
      </c>
      <c r="C4081" s="5">
        <v>100.4</v>
      </c>
      <c r="D4081" s="5">
        <v>0.1</v>
      </c>
      <c r="E4081" s="5">
        <v>100.5</v>
      </c>
      <c r="F4081" s="5">
        <v>197.1</v>
      </c>
      <c r="G4081" s="5">
        <v>98.5</v>
      </c>
      <c r="H4081" s="5">
        <v>98.5</v>
      </c>
      <c r="I4081" s="5">
        <v>0</v>
      </c>
      <c r="J4081" s="5">
        <v>0</v>
      </c>
      <c r="K4081" s="5">
        <v>0</v>
      </c>
    </row>
    <row r="4082" spans="1:11" x14ac:dyDescent="0.25">
      <c r="A4082" s="5">
        <f>4075</f>
      </c>
      <c r="B4082" s="5" t="s">
        <v>4090</v>
      </c>
      <c r="C4082" s="5">
        <v>100.4</v>
      </c>
      <c r="D4082" s="5">
        <v>0.1</v>
      </c>
      <c r="E4082" s="5">
        <v>100.5</v>
      </c>
      <c r="F4082" s="5">
        <v>197.1</v>
      </c>
      <c r="G4082" s="5">
        <v>98.5</v>
      </c>
      <c r="H4082" s="5">
        <v>98.5</v>
      </c>
      <c r="I4082" s="5">
        <v>0</v>
      </c>
      <c r="J4082" s="5">
        <v>0</v>
      </c>
      <c r="K4082" s="5">
        <v>0</v>
      </c>
    </row>
    <row r="4083" spans="1:11" x14ac:dyDescent="0.25">
      <c r="A4083" s="5">
        <f>4076</f>
      </c>
      <c r="B4083" s="5" t="s">
        <v>4091</v>
      </c>
      <c r="C4083" s="5">
        <v>100.4</v>
      </c>
      <c r="D4083" s="5">
        <v>0.1</v>
      </c>
      <c r="E4083" s="5">
        <v>100.5</v>
      </c>
      <c r="F4083" s="5">
        <v>197.1</v>
      </c>
      <c r="G4083" s="5">
        <v>98.5</v>
      </c>
      <c r="H4083" s="5">
        <v>98.5</v>
      </c>
      <c r="I4083" s="5">
        <v>0</v>
      </c>
      <c r="J4083" s="5">
        <v>0</v>
      </c>
      <c r="K4083" s="5">
        <v>0</v>
      </c>
    </row>
    <row r="4084" spans="1:11" x14ac:dyDescent="0.25">
      <c r="A4084" s="5">
        <f>4077</f>
      </c>
      <c r="B4084" s="5" t="s">
        <v>4092</v>
      </c>
      <c r="C4084" s="5">
        <v>100.4</v>
      </c>
      <c r="D4084" s="5">
        <v>0.1</v>
      </c>
      <c r="E4084" s="5">
        <v>100.5</v>
      </c>
      <c r="F4084" s="5">
        <v>197.1</v>
      </c>
      <c r="G4084" s="5">
        <v>98.5</v>
      </c>
      <c r="H4084" s="5">
        <v>98.5</v>
      </c>
      <c r="I4084" s="5">
        <v>0</v>
      </c>
      <c r="J4084" s="5">
        <v>0</v>
      </c>
      <c r="K4084" s="5">
        <v>0</v>
      </c>
    </row>
    <row r="4085" spans="1:11" x14ac:dyDescent="0.25">
      <c r="A4085" s="5">
        <f>4078</f>
      </c>
      <c r="B4085" s="5" t="s">
        <v>4093</v>
      </c>
      <c r="C4085" s="5">
        <v>95.1</v>
      </c>
      <c r="D4085" s="5">
        <v>0.1</v>
      </c>
      <c r="E4085" s="5">
        <v>95.2</v>
      </c>
      <c r="F4085" s="5">
        <v>190</v>
      </c>
      <c r="G4085" s="5">
        <v>94.9</v>
      </c>
      <c r="H4085" s="5">
        <v>94.8</v>
      </c>
      <c r="I4085" s="5">
        <v>0</v>
      </c>
      <c r="J4085" s="5">
        <v>0</v>
      </c>
      <c r="K4085" s="5">
        <v>0</v>
      </c>
    </row>
    <row r="4086" spans="1:11" x14ac:dyDescent="0.25">
      <c r="A4086" s="5">
        <f>4079</f>
      </c>
      <c r="B4086" s="5" t="s">
        <v>4094</v>
      </c>
      <c r="C4086" s="5">
        <v>95.1</v>
      </c>
      <c r="D4086" s="5">
        <v>0.1</v>
      </c>
      <c r="E4086" s="5">
        <v>95.2</v>
      </c>
      <c r="F4086" s="5">
        <v>190</v>
      </c>
      <c r="G4086" s="5">
        <v>94.9</v>
      </c>
      <c r="H4086" s="5">
        <v>94.8</v>
      </c>
      <c r="I4086" s="5">
        <v>0</v>
      </c>
      <c r="J4086" s="5">
        <v>0</v>
      </c>
      <c r="K4086" s="5">
        <v>0</v>
      </c>
    </row>
    <row r="4087" spans="1:11" x14ac:dyDescent="0.25">
      <c r="A4087" s="5">
        <f>4080</f>
      </c>
      <c r="B4087" s="5" t="s">
        <v>4095</v>
      </c>
      <c r="C4087" s="5">
        <v>98.6</v>
      </c>
      <c r="D4087" s="5">
        <v>0.1</v>
      </c>
      <c r="E4087" s="5">
        <v>98.8</v>
      </c>
      <c r="F4087" s="5">
        <v>198</v>
      </c>
      <c r="G4087" s="5">
        <v>98.7</v>
      </c>
      <c r="H4087" s="5">
        <v>98.5</v>
      </c>
      <c r="I4087" s="5">
        <v>0</v>
      </c>
      <c r="J4087" s="5">
        <v>0</v>
      </c>
      <c r="K4087" s="5">
        <v>0</v>
      </c>
    </row>
    <row r="4088" spans="1:11" x14ac:dyDescent="0.25">
      <c r="A4088" s="5">
        <f>4081</f>
      </c>
      <c r="B4088" s="5" t="s">
        <v>4096</v>
      </c>
      <c r="C4088" s="5">
        <v>98.6</v>
      </c>
      <c r="D4088" s="5">
        <v>0.1</v>
      </c>
      <c r="E4088" s="5">
        <v>98.8</v>
      </c>
      <c r="F4088" s="5">
        <v>198</v>
      </c>
      <c r="G4088" s="5">
        <v>98.7</v>
      </c>
      <c r="H4088" s="5">
        <v>98.5</v>
      </c>
      <c r="I4088" s="5">
        <v>0</v>
      </c>
      <c r="J4088" s="5">
        <v>0</v>
      </c>
      <c r="K4088" s="5">
        <v>0</v>
      </c>
    </row>
    <row r="4089" spans="1:11" x14ac:dyDescent="0.25">
      <c r="A4089" s="5">
        <f>4082</f>
      </c>
      <c r="B4089" s="5" t="s">
        <v>4097</v>
      </c>
      <c r="C4089" s="5">
        <v>99.3</v>
      </c>
      <c r="D4089" s="5">
        <v>0.1</v>
      </c>
      <c r="E4089" s="5">
        <v>99.4</v>
      </c>
      <c r="F4089" s="5">
        <v>198.6</v>
      </c>
      <c r="G4089" s="5">
        <v>99.1</v>
      </c>
      <c r="H4089" s="5">
        <v>98.9</v>
      </c>
      <c r="I4089" s="5">
        <v>0</v>
      </c>
      <c r="J4089" s="5">
        <v>0</v>
      </c>
      <c r="K4089" s="5">
        <v>0</v>
      </c>
    </row>
    <row r="4090" spans="1:11" x14ac:dyDescent="0.25">
      <c r="A4090" s="5">
        <f>4083</f>
      </c>
      <c r="B4090" s="5" t="s">
        <v>4098</v>
      </c>
      <c r="C4090" s="5">
        <v>99.3</v>
      </c>
      <c r="D4090" s="5">
        <v>0.1</v>
      </c>
      <c r="E4090" s="5">
        <v>99.4</v>
      </c>
      <c r="F4090" s="5">
        <v>198.6</v>
      </c>
      <c r="G4090" s="5">
        <v>99.1</v>
      </c>
      <c r="H4090" s="5">
        <v>98.9</v>
      </c>
      <c r="I4090" s="5">
        <v>0</v>
      </c>
      <c r="J4090" s="5">
        <v>0</v>
      </c>
      <c r="K4090" s="5">
        <v>0</v>
      </c>
    </row>
    <row r="4091" spans="1:11" x14ac:dyDescent="0.25">
      <c r="A4091" s="5">
        <f>4084</f>
      </c>
      <c r="B4091" s="5" t="s">
        <v>4099</v>
      </c>
      <c r="C4091" s="5">
        <v>91.8</v>
      </c>
      <c r="D4091" s="5">
        <v>0.1</v>
      </c>
      <c r="E4091" s="5">
        <v>91.9</v>
      </c>
      <c r="F4091" s="5">
        <v>183.1</v>
      </c>
      <c r="G4091" s="5">
        <v>99.1</v>
      </c>
      <c r="H4091" s="5">
        <v>98.9</v>
      </c>
      <c r="I4091" s="5">
        <v>0</v>
      </c>
      <c r="J4091" s="5">
        <v>0</v>
      </c>
      <c r="K4091" s="5">
        <v>0</v>
      </c>
    </row>
    <row r="4092" spans="1:11" x14ac:dyDescent="0.25">
      <c r="A4092" s="5">
        <f>4085</f>
      </c>
      <c r="B4092" s="5" t="s">
        <v>4100</v>
      </c>
      <c r="C4092" s="5">
        <v>91.8</v>
      </c>
      <c r="D4092" s="5">
        <v>0.1</v>
      </c>
      <c r="E4092" s="5">
        <v>91.9</v>
      </c>
      <c r="F4092" s="5">
        <v>183.1</v>
      </c>
      <c r="G4092" s="5">
        <v>91.4</v>
      </c>
      <c r="H4092" s="5">
        <v>91.2</v>
      </c>
      <c r="I4092" s="5">
        <v>0</v>
      </c>
      <c r="J4092" s="5">
        <v>0</v>
      </c>
      <c r="K4092" s="5">
        <v>0</v>
      </c>
    </row>
    <row r="4093" spans="1:11" x14ac:dyDescent="0.25">
      <c r="A4093" s="5">
        <f>4086</f>
      </c>
      <c r="B4093" s="5" t="s">
        <v>4101</v>
      </c>
      <c r="C4093" s="5">
        <v>91.8</v>
      </c>
      <c r="D4093" s="5">
        <v>0.1</v>
      </c>
      <c r="E4093" s="5">
        <v>91.9</v>
      </c>
      <c r="F4093" s="5">
        <v>183.1</v>
      </c>
      <c r="G4093" s="5">
        <v>91.4</v>
      </c>
      <c r="H4093" s="5">
        <v>91.2</v>
      </c>
      <c r="I4093" s="5">
        <v>0</v>
      </c>
      <c r="J4093" s="5">
        <v>0</v>
      </c>
      <c r="K4093" s="5">
        <v>0</v>
      </c>
    </row>
    <row r="4094" spans="1:11" x14ac:dyDescent="0.25">
      <c r="A4094" s="5">
        <f>4087</f>
      </c>
      <c r="B4094" s="5" t="s">
        <v>4102</v>
      </c>
      <c r="C4094" s="5">
        <v>91.8</v>
      </c>
      <c r="D4094" s="5">
        <v>0.1</v>
      </c>
      <c r="E4094" s="5">
        <v>91.9</v>
      </c>
      <c r="F4094" s="5">
        <v>183.1</v>
      </c>
      <c r="G4094" s="5">
        <v>91.4</v>
      </c>
      <c r="H4094" s="5">
        <v>91.2</v>
      </c>
      <c r="I4094" s="5">
        <v>0</v>
      </c>
      <c r="J4094" s="5">
        <v>0</v>
      </c>
      <c r="K4094" s="5">
        <v>0</v>
      </c>
    </row>
    <row r="4095" spans="1:11" x14ac:dyDescent="0.25">
      <c r="A4095" s="5">
        <f>4088</f>
      </c>
      <c r="B4095" s="5" t="s">
        <v>4103</v>
      </c>
      <c r="C4095" s="5">
        <v>94.2</v>
      </c>
      <c r="D4095" s="5">
        <v>0.1</v>
      </c>
      <c r="E4095" s="5">
        <v>94.4</v>
      </c>
      <c r="F4095" s="5">
        <v>191.4</v>
      </c>
      <c r="G4095" s="5">
        <v>95.6</v>
      </c>
      <c r="H4095" s="5">
        <v>95.6</v>
      </c>
      <c r="I4095" s="5">
        <v>0</v>
      </c>
      <c r="J4095" s="5">
        <v>0</v>
      </c>
      <c r="K4095" s="5">
        <v>0</v>
      </c>
    </row>
    <row r="4096" spans="1:11" x14ac:dyDescent="0.25">
      <c r="A4096" s="5">
        <f>4089</f>
      </c>
      <c r="B4096" s="5" t="s">
        <v>4104</v>
      </c>
      <c r="C4096" s="5">
        <v>94.2</v>
      </c>
      <c r="D4096" s="5">
        <v>0.1</v>
      </c>
      <c r="E4096" s="5">
        <v>94.4</v>
      </c>
      <c r="F4096" s="5">
        <v>191.4</v>
      </c>
      <c r="G4096" s="5">
        <v>95.6</v>
      </c>
      <c r="H4096" s="5">
        <v>95.6</v>
      </c>
      <c r="I4096" s="5">
        <v>0</v>
      </c>
      <c r="J4096" s="5">
        <v>0</v>
      </c>
      <c r="K4096" s="5">
        <v>0</v>
      </c>
    </row>
    <row r="4097" spans="1:11" x14ac:dyDescent="0.25">
      <c r="A4097" s="5">
        <f>4090</f>
      </c>
      <c r="B4097" s="5" t="s">
        <v>4105</v>
      </c>
      <c r="C4097" s="5">
        <v>94.2</v>
      </c>
      <c r="D4097" s="5">
        <v>0.1</v>
      </c>
      <c r="E4097" s="5">
        <v>94.4</v>
      </c>
      <c r="F4097" s="5">
        <v>186.7</v>
      </c>
      <c r="G4097" s="5">
        <v>93.2</v>
      </c>
      <c r="H4097" s="5">
        <v>93.1</v>
      </c>
      <c r="I4097" s="5">
        <v>0</v>
      </c>
      <c r="J4097" s="5">
        <v>0</v>
      </c>
      <c r="K4097" s="5">
        <v>0</v>
      </c>
    </row>
    <row r="4098" spans="1:11" x14ac:dyDescent="0.25">
      <c r="A4098" s="5">
        <f>4091</f>
      </c>
      <c r="B4098" s="5" t="s">
        <v>4106</v>
      </c>
      <c r="C4098" s="5">
        <v>95.1</v>
      </c>
      <c r="D4098" s="5">
        <v>0.1</v>
      </c>
      <c r="E4098" s="5">
        <v>95.1</v>
      </c>
      <c r="F4098" s="5">
        <v>186.7</v>
      </c>
      <c r="G4098" s="5">
        <v>93.2</v>
      </c>
      <c r="H4098" s="5">
        <v>93.1</v>
      </c>
      <c r="I4098" s="5">
        <v>0</v>
      </c>
      <c r="J4098" s="5">
        <v>0</v>
      </c>
      <c r="K4098" s="5">
        <v>0</v>
      </c>
    </row>
    <row r="4099" spans="1:11" x14ac:dyDescent="0.25">
      <c r="A4099" s="5">
        <f>4092</f>
      </c>
      <c r="B4099" s="5" t="s">
        <v>4107</v>
      </c>
      <c r="C4099" s="5">
        <v>95.1</v>
      </c>
      <c r="D4099" s="5">
        <v>0.1</v>
      </c>
      <c r="E4099" s="5">
        <v>95.1</v>
      </c>
      <c r="F4099" s="5">
        <v>186.7</v>
      </c>
      <c r="G4099" s="5">
        <v>93.2</v>
      </c>
      <c r="H4099" s="5">
        <v>92.5</v>
      </c>
      <c r="I4099" s="5">
        <v>0</v>
      </c>
      <c r="J4099" s="5">
        <v>0</v>
      </c>
      <c r="K4099" s="5">
        <v>0</v>
      </c>
    </row>
    <row r="4100" spans="1:11" x14ac:dyDescent="0.25">
      <c r="A4100" s="5">
        <f>4093</f>
      </c>
      <c r="B4100" s="5" t="s">
        <v>4108</v>
      </c>
      <c r="C4100" s="5">
        <v>92.2</v>
      </c>
      <c r="D4100" s="5">
        <v>0.1</v>
      </c>
      <c r="E4100" s="5">
        <v>92.3</v>
      </c>
      <c r="F4100" s="5">
        <v>186.1</v>
      </c>
      <c r="G4100" s="5">
        <v>92.7</v>
      </c>
      <c r="H4100" s="5">
        <v>92.5</v>
      </c>
      <c r="I4100" s="5">
        <v>0</v>
      </c>
      <c r="J4100" s="5">
        <v>0</v>
      </c>
      <c r="K4100" s="5">
        <v>0</v>
      </c>
    </row>
    <row r="4101" spans="1:11" x14ac:dyDescent="0.25">
      <c r="A4101" s="5">
        <f>4094</f>
      </c>
      <c r="B4101" s="5" t="s">
        <v>4109</v>
      </c>
      <c r="C4101" s="5">
        <v>92.2</v>
      </c>
      <c r="D4101" s="5">
        <v>0.1</v>
      </c>
      <c r="E4101" s="5">
        <v>92.3</v>
      </c>
      <c r="F4101" s="5">
        <v>186.1</v>
      </c>
      <c r="G4101" s="5">
        <v>92.7</v>
      </c>
      <c r="H4101" s="5">
        <v>92.5</v>
      </c>
      <c r="I4101" s="5">
        <v>0</v>
      </c>
      <c r="J4101" s="5">
        <v>0</v>
      </c>
      <c r="K4101" s="5">
        <v>0</v>
      </c>
    </row>
    <row r="4102" spans="1:11" x14ac:dyDescent="0.25">
      <c r="A4102" s="5">
        <f>4095</f>
      </c>
      <c r="B4102" s="5" t="s">
        <v>4110</v>
      </c>
      <c r="C4102" s="5">
        <v>93.9</v>
      </c>
      <c r="D4102" s="5">
        <v>0.1</v>
      </c>
      <c r="E4102" s="5">
        <v>94.1</v>
      </c>
      <c r="F4102" s="5">
        <v>184</v>
      </c>
      <c r="G4102" s="5">
        <v>91.6</v>
      </c>
      <c r="H4102" s="5">
        <v>91.4</v>
      </c>
      <c r="I4102" s="5">
        <v>0</v>
      </c>
      <c r="J4102" s="5">
        <v>0</v>
      </c>
      <c r="K4102" s="5">
        <v>0</v>
      </c>
    </row>
    <row r="4103" spans="1:11" x14ac:dyDescent="0.25">
      <c r="A4103" s="5">
        <f>4096</f>
      </c>
      <c r="B4103" s="5" t="s">
        <v>4111</v>
      </c>
      <c r="C4103" s="5">
        <v>93.9</v>
      </c>
      <c r="D4103" s="5">
        <v>0.1</v>
      </c>
      <c r="E4103" s="5">
        <v>94.1</v>
      </c>
      <c r="F4103" s="5">
        <v>184</v>
      </c>
      <c r="G4103" s="5">
        <v>91.6</v>
      </c>
      <c r="H4103" s="5">
        <v>91.4</v>
      </c>
      <c r="I4103" s="5">
        <v>0</v>
      </c>
      <c r="J4103" s="5">
        <v>0</v>
      </c>
      <c r="K4103" s="5">
        <v>0</v>
      </c>
    </row>
    <row r="4104" spans="1:11" x14ac:dyDescent="0.25">
      <c r="A4104" s="5">
        <f>4097</f>
      </c>
      <c r="B4104" s="5" t="s">
        <v>4112</v>
      </c>
      <c r="C4104" s="5">
        <v>93.9</v>
      </c>
      <c r="D4104" s="5">
        <v>0.1</v>
      </c>
      <c r="E4104" s="5">
        <v>94.1</v>
      </c>
      <c r="F4104" s="5">
        <v>184</v>
      </c>
      <c r="G4104" s="5">
        <v>91.6</v>
      </c>
      <c r="H4104" s="5">
        <v>91.4</v>
      </c>
      <c r="I4104" s="5">
        <v>0</v>
      </c>
      <c r="J4104" s="5">
        <v>0</v>
      </c>
      <c r="K4104" s="5">
        <v>0</v>
      </c>
    </row>
    <row r="4105" spans="1:11" x14ac:dyDescent="0.25">
      <c r="A4105" s="5">
        <f>4098</f>
      </c>
      <c r="B4105" s="5" t="s">
        <v>4113</v>
      </c>
      <c r="C4105" s="5">
        <v>92</v>
      </c>
      <c r="D4105" s="5">
        <v>0.1</v>
      </c>
      <c r="E4105" s="5">
        <v>92.2</v>
      </c>
      <c r="F4105" s="5">
        <v>186.6</v>
      </c>
      <c r="G4105" s="5">
        <v>92.9</v>
      </c>
      <c r="H4105" s="5">
        <v>92.6</v>
      </c>
      <c r="I4105" s="5">
        <v>0</v>
      </c>
      <c r="J4105" s="5">
        <v>0</v>
      </c>
      <c r="K4105" s="5">
        <v>0</v>
      </c>
    </row>
    <row r="4106" spans="1:11" x14ac:dyDescent="0.25">
      <c r="A4106" s="5">
        <f>4099</f>
      </c>
      <c r="B4106" s="5" t="s">
        <v>4114</v>
      </c>
      <c r="C4106" s="5">
        <v>92</v>
      </c>
      <c r="D4106" s="5">
        <v>0.1</v>
      </c>
      <c r="E4106" s="5">
        <v>92.2</v>
      </c>
      <c r="F4106" s="5">
        <v>186.6</v>
      </c>
      <c r="G4106" s="5">
        <v>92.9</v>
      </c>
      <c r="H4106" s="5">
        <v>92.6</v>
      </c>
      <c r="I4106" s="5">
        <v>0</v>
      </c>
      <c r="J4106" s="5">
        <v>0</v>
      </c>
      <c r="K4106" s="5">
        <v>0</v>
      </c>
    </row>
    <row r="4107" spans="1:11" x14ac:dyDescent="0.25">
      <c r="A4107" s="5">
        <f>4100</f>
      </c>
      <c r="B4107" s="5" t="s">
        <v>4115</v>
      </c>
      <c r="C4107" s="5">
        <v>92.1</v>
      </c>
      <c r="D4107" s="5">
        <v>0.1</v>
      </c>
      <c r="E4107" s="5">
        <v>92.2</v>
      </c>
      <c r="F4107" s="5">
        <v>186.1</v>
      </c>
      <c r="G4107" s="5">
        <v>92.7</v>
      </c>
      <c r="H4107" s="5">
        <v>92.5</v>
      </c>
      <c r="I4107" s="5">
        <v>0</v>
      </c>
      <c r="J4107" s="5">
        <v>0</v>
      </c>
      <c r="K4107" s="5">
        <v>0</v>
      </c>
    </row>
    <row r="4108" spans="1:11" x14ac:dyDescent="0.25">
      <c r="A4108" s="5">
        <f>4101</f>
      </c>
      <c r="B4108" s="5" t="s">
        <v>4116</v>
      </c>
      <c r="C4108" s="5">
        <v>92.1</v>
      </c>
      <c r="D4108" s="5">
        <v>0.1</v>
      </c>
      <c r="E4108" s="5">
        <v>92.2</v>
      </c>
      <c r="F4108" s="5">
        <v>186.1</v>
      </c>
      <c r="G4108" s="5">
        <v>92.7</v>
      </c>
      <c r="H4108" s="5">
        <v>92.5</v>
      </c>
      <c r="I4108" s="5">
        <v>0</v>
      </c>
      <c r="J4108" s="5">
        <v>0</v>
      </c>
      <c r="K4108" s="5">
        <v>0</v>
      </c>
    </row>
    <row r="4109" spans="1:11" x14ac:dyDescent="0.25">
      <c r="A4109" s="5">
        <f>4102</f>
      </c>
      <c r="B4109" s="5" t="s">
        <v>4117</v>
      </c>
      <c r="C4109" s="5">
        <v>92.1</v>
      </c>
      <c r="D4109" s="5">
        <v>0</v>
      </c>
      <c r="E4109" s="5">
        <v>92.2</v>
      </c>
      <c r="F4109" s="5">
        <v>186.1</v>
      </c>
      <c r="G4109" s="5">
        <v>92.8</v>
      </c>
      <c r="H4109" s="5">
        <v>92.6</v>
      </c>
      <c r="I4109" s="5">
        <v>0</v>
      </c>
      <c r="J4109" s="5">
        <v>0</v>
      </c>
      <c r="K4109" s="5">
        <v>0</v>
      </c>
    </row>
    <row r="4110" spans="1:11" x14ac:dyDescent="0.25">
      <c r="A4110" s="5">
        <f>4103</f>
      </c>
      <c r="B4110" s="5" t="s">
        <v>4118</v>
      </c>
      <c r="C4110" s="5">
        <v>92.1</v>
      </c>
      <c r="D4110" s="5">
        <v>0</v>
      </c>
      <c r="E4110" s="5">
        <v>92.2</v>
      </c>
      <c r="F4110" s="5">
        <v>186.1</v>
      </c>
      <c r="G4110" s="5">
        <v>92.8</v>
      </c>
      <c r="H4110" s="5">
        <v>92.6</v>
      </c>
      <c r="I4110" s="5">
        <v>0</v>
      </c>
      <c r="J4110" s="5">
        <v>0</v>
      </c>
      <c r="K4110" s="5">
        <v>0</v>
      </c>
    </row>
    <row r="4111" spans="1:11" x14ac:dyDescent="0.25">
      <c r="A4111" s="5">
        <f>4104</f>
      </c>
      <c r="B4111" s="5" t="s">
        <v>4119</v>
      </c>
      <c r="C4111" s="5">
        <v>90.5</v>
      </c>
      <c r="D4111" s="5">
        <v>0.1</v>
      </c>
      <c r="E4111" s="5">
        <v>90.6</v>
      </c>
      <c r="F4111" s="5">
        <v>183.4</v>
      </c>
      <c r="G4111" s="5">
        <v>91.3</v>
      </c>
      <c r="H4111" s="5">
        <v>91.1</v>
      </c>
      <c r="I4111" s="5">
        <v>0</v>
      </c>
      <c r="J4111" s="5">
        <v>0</v>
      </c>
      <c r="K4111" s="5">
        <v>0</v>
      </c>
    </row>
    <row r="4112" spans="1:11" x14ac:dyDescent="0.25">
      <c r="A4112" s="5">
        <f>4105</f>
      </c>
      <c r="B4112" s="5" t="s">
        <v>4120</v>
      </c>
      <c r="C4112" s="5">
        <v>90.5</v>
      </c>
      <c r="D4112" s="5">
        <v>0.1</v>
      </c>
      <c r="E4112" s="5">
        <v>90.6</v>
      </c>
      <c r="F4112" s="5">
        <v>183.4</v>
      </c>
      <c r="G4112" s="5">
        <v>91.3</v>
      </c>
      <c r="H4112" s="5">
        <v>91.1</v>
      </c>
      <c r="I4112" s="5">
        <v>0</v>
      </c>
      <c r="J4112" s="5">
        <v>0</v>
      </c>
      <c r="K4112" s="5">
        <v>0</v>
      </c>
    </row>
    <row r="4113" spans="1:11" x14ac:dyDescent="0.25">
      <c r="A4113" s="5">
        <f>4106</f>
      </c>
      <c r="B4113" s="5" t="s">
        <v>4121</v>
      </c>
      <c r="C4113" s="5">
        <v>90.5</v>
      </c>
      <c r="D4113" s="5">
        <v>0.1</v>
      </c>
      <c r="E4113" s="5">
        <v>90.6</v>
      </c>
      <c r="F4113" s="5">
        <v>183.4</v>
      </c>
      <c r="G4113" s="5">
        <v>91.3</v>
      </c>
      <c r="H4113" s="5">
        <v>91.1</v>
      </c>
      <c r="I4113" s="5">
        <v>0</v>
      </c>
      <c r="J4113" s="5">
        <v>0</v>
      </c>
      <c r="K4113" s="5">
        <v>0</v>
      </c>
    </row>
    <row r="4114" spans="1:11" x14ac:dyDescent="0.25">
      <c r="A4114" s="5">
        <f>4107</f>
      </c>
      <c r="B4114" s="5" t="s">
        <v>4122</v>
      </c>
      <c r="C4114" s="5">
        <v>90.5</v>
      </c>
      <c r="D4114" s="5">
        <v>0.1</v>
      </c>
      <c r="E4114" s="5">
        <v>90.6</v>
      </c>
      <c r="F4114" s="5">
        <v>183.4</v>
      </c>
      <c r="G4114" s="5">
        <v>91.3</v>
      </c>
      <c r="H4114" s="5">
        <v>91.1</v>
      </c>
      <c r="I4114" s="5">
        <v>0</v>
      </c>
      <c r="J4114" s="5">
        <v>0</v>
      </c>
      <c r="K4114" s="5">
        <v>0</v>
      </c>
    </row>
    <row r="4115" spans="1:11" x14ac:dyDescent="0.25">
      <c r="A4115" s="5">
        <f>4108</f>
      </c>
      <c r="B4115" s="5" t="s">
        <v>4123</v>
      </c>
      <c r="C4115" s="5">
        <v>94.1</v>
      </c>
      <c r="D4115" s="5">
        <v>0.1</v>
      </c>
      <c r="E4115" s="5">
        <v>94.1</v>
      </c>
      <c r="F4115" s="5">
        <v>189.1</v>
      </c>
      <c r="G4115" s="5">
        <v>94.5</v>
      </c>
      <c r="H4115" s="5">
        <v>94.4</v>
      </c>
      <c r="I4115" s="5">
        <v>0</v>
      </c>
      <c r="J4115" s="5">
        <v>0</v>
      </c>
      <c r="K4115" s="5">
        <v>0</v>
      </c>
    </row>
    <row r="4116" spans="1:11" x14ac:dyDescent="0.25">
      <c r="A4116" s="5">
        <f>4109</f>
      </c>
      <c r="B4116" s="5" t="s">
        <v>4124</v>
      </c>
      <c r="C4116" s="5">
        <v>94.1</v>
      </c>
      <c r="D4116" s="5">
        <v>0.1</v>
      </c>
      <c r="E4116" s="5">
        <v>94.1</v>
      </c>
      <c r="F4116" s="5">
        <v>189.1</v>
      </c>
      <c r="G4116" s="5">
        <v>94.5</v>
      </c>
      <c r="H4116" s="5">
        <v>94.4</v>
      </c>
      <c r="I4116" s="5">
        <v>0</v>
      </c>
      <c r="J4116" s="5">
        <v>0</v>
      </c>
      <c r="K4116" s="5">
        <v>0</v>
      </c>
    </row>
    <row r="4117" spans="1:11" x14ac:dyDescent="0.25">
      <c r="A4117" s="5">
        <f>4110</f>
      </c>
      <c r="B4117" s="5" t="s">
        <v>4125</v>
      </c>
      <c r="C4117" s="5">
        <v>90.9</v>
      </c>
      <c r="D4117" s="5">
        <v>0.1</v>
      </c>
      <c r="E4117" s="5">
        <v>91</v>
      </c>
      <c r="F4117" s="5">
        <v>198</v>
      </c>
      <c r="G4117" s="5">
        <v>98.5</v>
      </c>
      <c r="H4117" s="5">
        <v>98.1</v>
      </c>
      <c r="I4117" s="5">
        <v>0</v>
      </c>
      <c r="J4117" s="5">
        <v>0</v>
      </c>
      <c r="K4117" s="5">
        <v>0</v>
      </c>
    </row>
    <row r="4118" spans="1:11" x14ac:dyDescent="0.25">
      <c r="A4118" s="5">
        <f>4111</f>
      </c>
      <c r="B4118" s="5" t="s">
        <v>4126</v>
      </c>
      <c r="C4118" s="5">
        <v>90.9</v>
      </c>
      <c r="D4118" s="5">
        <v>0.1</v>
      </c>
      <c r="E4118" s="5">
        <v>91</v>
      </c>
      <c r="F4118" s="5">
        <v>198</v>
      </c>
      <c r="G4118" s="5">
        <v>98.5</v>
      </c>
      <c r="H4118" s="5">
        <v>98.1</v>
      </c>
      <c r="I4118" s="5">
        <v>0</v>
      </c>
      <c r="J4118" s="5">
        <v>0</v>
      </c>
      <c r="K4118" s="5">
        <v>0</v>
      </c>
    </row>
    <row r="4119" spans="1:11" x14ac:dyDescent="0.25">
      <c r="A4119" s="5">
        <f>4112</f>
      </c>
      <c r="B4119" s="5" t="s">
        <v>4127</v>
      </c>
      <c r="C4119" s="5">
        <v>98.7</v>
      </c>
      <c r="D4119" s="5">
        <v>0.1</v>
      </c>
      <c r="E4119" s="5">
        <v>98.9</v>
      </c>
      <c r="F4119" s="5">
        <v>190.4</v>
      </c>
      <c r="G4119" s="5">
        <v>95.3</v>
      </c>
      <c r="H4119" s="5">
        <v>95.4</v>
      </c>
      <c r="I4119" s="5">
        <v>0</v>
      </c>
      <c r="J4119" s="5">
        <v>0</v>
      </c>
      <c r="K4119" s="5">
        <v>0</v>
      </c>
    </row>
    <row r="4120" spans="1:11" x14ac:dyDescent="0.25">
      <c r="A4120" s="5">
        <f>4113</f>
      </c>
      <c r="B4120" s="5" t="s">
        <v>4128</v>
      </c>
      <c r="C4120" s="5">
        <v>98.7</v>
      </c>
      <c r="D4120" s="5">
        <v>0.1</v>
      </c>
      <c r="E4120" s="5">
        <v>98.9</v>
      </c>
      <c r="F4120" s="5">
        <v>190.4</v>
      </c>
      <c r="G4120" s="5">
        <v>95.3</v>
      </c>
      <c r="H4120" s="5">
        <v>95.4</v>
      </c>
      <c r="I4120" s="5">
        <v>0</v>
      </c>
      <c r="J4120" s="5">
        <v>0</v>
      </c>
      <c r="K4120" s="5">
        <v>0</v>
      </c>
    </row>
    <row r="4121" spans="1:11" x14ac:dyDescent="0.25">
      <c r="A4121" s="5">
        <f>4114</f>
      </c>
      <c r="B4121" s="5" t="s">
        <v>4129</v>
      </c>
      <c r="C4121" s="5">
        <v>92.6</v>
      </c>
      <c r="D4121" s="5">
        <v>0.1</v>
      </c>
      <c r="E4121" s="5">
        <v>92.8</v>
      </c>
      <c r="F4121" s="5">
        <v>183.6</v>
      </c>
      <c r="G4121" s="5">
        <v>91.6</v>
      </c>
      <c r="H4121" s="5">
        <v>91.4</v>
      </c>
      <c r="I4121" s="5">
        <v>0</v>
      </c>
      <c r="J4121" s="5">
        <v>0</v>
      </c>
      <c r="K4121" s="5">
        <v>0</v>
      </c>
    </row>
    <row r="4122" spans="1:11" x14ac:dyDescent="0.25">
      <c r="A4122" s="5">
        <f>4115</f>
      </c>
      <c r="B4122" s="5" t="s">
        <v>4130</v>
      </c>
      <c r="C4122" s="5">
        <v>92.6</v>
      </c>
      <c r="D4122" s="5">
        <v>0.1</v>
      </c>
      <c r="E4122" s="5">
        <v>92.8</v>
      </c>
      <c r="F4122" s="5">
        <v>183.6</v>
      </c>
      <c r="G4122" s="5">
        <v>91.6</v>
      </c>
      <c r="H4122" s="5">
        <v>91.4</v>
      </c>
      <c r="I4122" s="5">
        <v>0</v>
      </c>
      <c r="J4122" s="5">
        <v>0</v>
      </c>
      <c r="K4122" s="5">
        <v>0</v>
      </c>
    </row>
    <row r="4123" spans="1:11" x14ac:dyDescent="0.25">
      <c r="A4123" s="5">
        <f>4116</f>
      </c>
      <c r="B4123" s="5" t="s">
        <v>4131</v>
      </c>
      <c r="C4123" s="5">
        <v>92.6</v>
      </c>
      <c r="D4123" s="5">
        <v>0.1</v>
      </c>
      <c r="E4123" s="5">
        <v>92.8</v>
      </c>
      <c r="F4123" s="5">
        <v>183.6</v>
      </c>
      <c r="G4123" s="5">
        <v>91.6</v>
      </c>
      <c r="H4123" s="5">
        <v>91.4</v>
      </c>
      <c r="I4123" s="5">
        <v>0</v>
      </c>
      <c r="J4123" s="5">
        <v>0</v>
      </c>
      <c r="K4123" s="5">
        <v>0</v>
      </c>
    </row>
    <row r="4124" spans="1:11" x14ac:dyDescent="0.25">
      <c r="A4124" s="5">
        <f>4117</f>
      </c>
      <c r="B4124" s="5" t="s">
        <v>4132</v>
      </c>
      <c r="C4124" s="5">
        <v>92.6</v>
      </c>
      <c r="D4124" s="5">
        <v>0.1</v>
      </c>
      <c r="E4124" s="5">
        <v>92.8</v>
      </c>
      <c r="F4124" s="5">
        <v>183.6</v>
      </c>
      <c r="G4124" s="5">
        <v>91.6</v>
      </c>
      <c r="H4124" s="5">
        <v>91.4</v>
      </c>
      <c r="I4124" s="5">
        <v>0</v>
      </c>
      <c r="J4124" s="5">
        <v>0</v>
      </c>
      <c r="K4124" s="5">
        <v>0</v>
      </c>
    </row>
    <row r="4125" spans="1:11" x14ac:dyDescent="0.25">
      <c r="A4125" s="5">
        <f>4118</f>
      </c>
      <c r="B4125" s="5" t="s">
        <v>4133</v>
      </c>
      <c r="C4125" s="5">
        <v>92.3</v>
      </c>
      <c r="D4125" s="5">
        <v>0.1</v>
      </c>
      <c r="E4125" s="5">
        <v>92.4</v>
      </c>
      <c r="F4125" s="5">
        <v>183.8</v>
      </c>
      <c r="G4125" s="5">
        <v>91.7</v>
      </c>
      <c r="H4125" s="5">
        <v>91.6</v>
      </c>
      <c r="I4125" s="5">
        <v>0</v>
      </c>
      <c r="J4125" s="5">
        <v>0</v>
      </c>
      <c r="K4125" s="5">
        <v>0</v>
      </c>
    </row>
    <row r="4126" spans="1:11" x14ac:dyDescent="0.25">
      <c r="A4126" s="5">
        <f>4119</f>
      </c>
      <c r="B4126" s="5" t="s">
        <v>4134</v>
      </c>
      <c r="C4126" s="5">
        <v>92.3</v>
      </c>
      <c r="D4126" s="5">
        <v>0.1</v>
      </c>
      <c r="E4126" s="5">
        <v>92.4</v>
      </c>
      <c r="F4126" s="5">
        <v>183.8</v>
      </c>
      <c r="G4126" s="5">
        <v>91.7</v>
      </c>
      <c r="H4126" s="5">
        <v>91.6</v>
      </c>
      <c r="I4126" s="5">
        <v>0</v>
      </c>
      <c r="J4126" s="5">
        <v>0</v>
      </c>
      <c r="K4126" s="5">
        <v>0</v>
      </c>
    </row>
    <row r="4127" spans="1:11" x14ac:dyDescent="0.25">
      <c r="A4127" s="5">
        <f>4120</f>
      </c>
      <c r="B4127" s="5" t="s">
        <v>4135</v>
      </c>
      <c r="C4127" s="5">
        <v>101.3</v>
      </c>
      <c r="D4127" s="5">
        <v>0.1</v>
      </c>
      <c r="E4127" s="5">
        <v>101.5</v>
      </c>
      <c r="F4127" s="5">
        <v>199.4</v>
      </c>
      <c r="G4127" s="5">
        <v>99.6</v>
      </c>
      <c r="H4127" s="5">
        <v>99.6</v>
      </c>
      <c r="I4127" s="5">
        <v>0</v>
      </c>
      <c r="J4127" s="5">
        <v>0</v>
      </c>
      <c r="K4127" s="5">
        <v>0</v>
      </c>
    </row>
    <row r="4128" spans="1:11" x14ac:dyDescent="0.25">
      <c r="A4128" s="5">
        <f>4121</f>
      </c>
      <c r="B4128" s="5" t="s">
        <v>4136</v>
      </c>
      <c r="C4128" s="5">
        <v>101.3</v>
      </c>
      <c r="D4128" s="5">
        <v>0.1</v>
      </c>
      <c r="E4128" s="5">
        <v>101.5</v>
      </c>
      <c r="F4128" s="5">
        <v>199.4</v>
      </c>
      <c r="G4128" s="5">
        <v>99.6</v>
      </c>
      <c r="H4128" s="5">
        <v>99.6</v>
      </c>
      <c r="I4128" s="5">
        <v>0</v>
      </c>
      <c r="J4128" s="5">
        <v>0</v>
      </c>
      <c r="K4128" s="5">
        <v>0</v>
      </c>
    </row>
    <row r="4129" spans="1:11" x14ac:dyDescent="0.25">
      <c r="A4129" s="5">
        <f>4122</f>
      </c>
      <c r="B4129" s="5" t="s">
        <v>4137</v>
      </c>
      <c r="C4129" s="5">
        <v>91.9</v>
      </c>
      <c r="D4129" s="5">
        <v>0.1</v>
      </c>
      <c r="E4129" s="5">
        <v>92</v>
      </c>
      <c r="F4129" s="5">
        <v>182.8</v>
      </c>
      <c r="G4129" s="5">
        <v>91.2</v>
      </c>
      <c r="H4129" s="5">
        <v>91.1</v>
      </c>
      <c r="I4129" s="5">
        <v>0</v>
      </c>
      <c r="J4129" s="5">
        <v>0</v>
      </c>
      <c r="K4129" s="5">
        <v>0</v>
      </c>
    </row>
    <row r="4130" spans="1:11" x14ac:dyDescent="0.25">
      <c r="A4130" s="5">
        <f>4123</f>
      </c>
      <c r="B4130" s="5" t="s">
        <v>4138</v>
      </c>
      <c r="C4130" s="5">
        <v>91.9</v>
      </c>
      <c r="D4130" s="5">
        <v>0.1</v>
      </c>
      <c r="E4130" s="5">
        <v>92</v>
      </c>
      <c r="F4130" s="5">
        <v>182.8</v>
      </c>
      <c r="G4130" s="5">
        <v>91.2</v>
      </c>
      <c r="H4130" s="5">
        <v>91.1</v>
      </c>
      <c r="I4130" s="5">
        <v>0</v>
      </c>
      <c r="J4130" s="5">
        <v>0</v>
      </c>
      <c r="K4130" s="5">
        <v>0</v>
      </c>
    </row>
    <row r="4131" spans="1:11" x14ac:dyDescent="0.25">
      <c r="A4131" s="5">
        <f>4124</f>
      </c>
      <c r="B4131" s="5" t="s">
        <v>4139</v>
      </c>
      <c r="C4131" s="5">
        <v>98.8</v>
      </c>
      <c r="D4131" s="5">
        <v>0.1</v>
      </c>
      <c r="E4131" s="5">
        <v>98.9</v>
      </c>
      <c r="F4131" s="5">
        <v>188.7</v>
      </c>
      <c r="G4131" s="5">
        <v>94.5</v>
      </c>
      <c r="H4131" s="5">
        <v>94.7</v>
      </c>
      <c r="I4131" s="5">
        <v>0</v>
      </c>
      <c r="J4131" s="5">
        <v>0</v>
      </c>
      <c r="K4131" s="5">
        <v>0</v>
      </c>
    </row>
    <row r="4132" spans="1:11" x14ac:dyDescent="0.25">
      <c r="A4132" s="5">
        <f>4125</f>
      </c>
      <c r="B4132" s="5" t="s">
        <v>4140</v>
      </c>
      <c r="C4132" s="5">
        <v>98.8</v>
      </c>
      <c r="D4132" s="5">
        <v>0.1</v>
      </c>
      <c r="E4132" s="5">
        <v>98.9</v>
      </c>
      <c r="F4132" s="5">
        <v>188.7</v>
      </c>
      <c r="G4132" s="5">
        <v>94.5</v>
      </c>
      <c r="H4132" s="5">
        <v>94.7</v>
      </c>
      <c r="I4132" s="5">
        <v>0</v>
      </c>
      <c r="J4132" s="5">
        <v>0</v>
      </c>
      <c r="K4132" s="5">
        <v>0</v>
      </c>
    </row>
    <row r="4133" spans="1:11" x14ac:dyDescent="0.25">
      <c r="A4133" s="5">
        <f>4126</f>
      </c>
      <c r="B4133" s="5" t="s">
        <v>4141</v>
      </c>
      <c r="C4133" s="5">
        <v>98.8</v>
      </c>
      <c r="D4133" s="5">
        <v>0.1</v>
      </c>
      <c r="E4133" s="5">
        <v>98.9</v>
      </c>
      <c r="F4133" s="5">
        <v>188.7</v>
      </c>
      <c r="G4133" s="5">
        <v>94.5</v>
      </c>
      <c r="H4133" s="5">
        <v>94.7</v>
      </c>
      <c r="I4133" s="5">
        <v>0</v>
      </c>
      <c r="J4133" s="5">
        <v>0</v>
      </c>
      <c r="K4133" s="5">
        <v>0</v>
      </c>
    </row>
    <row r="4134" spans="1:11" x14ac:dyDescent="0.25">
      <c r="A4134" s="5">
        <f>4127</f>
      </c>
      <c r="B4134" s="5" t="s">
        <v>4142</v>
      </c>
      <c r="C4134" s="5">
        <v>98.8</v>
      </c>
      <c r="D4134" s="5">
        <v>0.1</v>
      </c>
      <c r="E4134" s="5">
        <v>98.9</v>
      </c>
      <c r="F4134" s="5">
        <v>188.7</v>
      </c>
      <c r="G4134" s="5">
        <v>94.5</v>
      </c>
      <c r="H4134" s="5">
        <v>94.7</v>
      </c>
      <c r="I4134" s="5">
        <v>0</v>
      </c>
      <c r="J4134" s="5">
        <v>0</v>
      </c>
      <c r="K4134" s="5">
        <v>0</v>
      </c>
    </row>
    <row r="4135" spans="1:11" x14ac:dyDescent="0.25">
      <c r="A4135" s="5">
        <f>4128</f>
      </c>
      <c r="B4135" s="5" t="s">
        <v>4143</v>
      </c>
      <c r="C4135" s="5">
        <v>92.2</v>
      </c>
      <c r="D4135" s="5">
        <v>0.1</v>
      </c>
      <c r="E4135" s="5">
        <v>92.2</v>
      </c>
      <c r="F4135" s="5">
        <v>187.9</v>
      </c>
      <c r="G4135" s="5">
        <v>93.8</v>
      </c>
      <c r="H4135" s="5">
        <v>93.6</v>
      </c>
      <c r="I4135" s="5">
        <v>0</v>
      </c>
      <c r="J4135" s="5">
        <v>0</v>
      </c>
      <c r="K4135" s="5">
        <v>0</v>
      </c>
    </row>
    <row r="4136" spans="1:11" x14ac:dyDescent="0.25">
      <c r="A4136" s="5">
        <f>4129</f>
      </c>
      <c r="B4136" s="5" t="s">
        <v>4144</v>
      </c>
      <c r="C4136" s="5">
        <v>92.2</v>
      </c>
      <c r="D4136" s="5">
        <v>0.1</v>
      </c>
      <c r="E4136" s="5">
        <v>92.2</v>
      </c>
      <c r="F4136" s="5">
        <v>187.9</v>
      </c>
      <c r="G4136" s="5">
        <v>93.8</v>
      </c>
      <c r="H4136" s="5">
        <v>93.6</v>
      </c>
      <c r="I4136" s="5">
        <v>0</v>
      </c>
      <c r="J4136" s="5">
        <v>0</v>
      </c>
      <c r="K4136" s="5">
        <v>0</v>
      </c>
    </row>
    <row r="4137" spans="1:11" x14ac:dyDescent="0.25">
      <c r="A4137" s="5">
        <f>4130</f>
      </c>
      <c r="B4137" s="5" t="s">
        <v>4145</v>
      </c>
      <c r="C4137" s="5">
        <v>95</v>
      </c>
      <c r="D4137" s="5">
        <v>0.1</v>
      </c>
      <c r="E4137" s="5">
        <v>95.1</v>
      </c>
      <c r="F4137" s="5">
        <v>186.6</v>
      </c>
      <c r="G4137" s="5">
        <v>93.1</v>
      </c>
      <c r="H4137" s="5">
        <v>93</v>
      </c>
      <c r="I4137" s="5">
        <v>0</v>
      </c>
      <c r="J4137" s="5">
        <v>0</v>
      </c>
      <c r="K4137" s="5">
        <v>0</v>
      </c>
    </row>
    <row r="4138" spans="1:11" x14ac:dyDescent="0.25">
      <c r="A4138" s="5">
        <f>4131</f>
      </c>
      <c r="B4138" s="5" t="s">
        <v>4146</v>
      </c>
      <c r="C4138" s="5">
        <v>95</v>
      </c>
      <c r="D4138" s="5">
        <v>0.1</v>
      </c>
      <c r="E4138" s="5">
        <v>95.1</v>
      </c>
      <c r="F4138" s="5">
        <v>186.6</v>
      </c>
      <c r="G4138" s="5">
        <v>93.1</v>
      </c>
      <c r="H4138" s="5">
        <v>93</v>
      </c>
      <c r="I4138" s="5">
        <v>0</v>
      </c>
      <c r="J4138" s="5">
        <v>0</v>
      </c>
      <c r="K4138" s="5">
        <v>0</v>
      </c>
    </row>
    <row r="4139" spans="1:11" x14ac:dyDescent="0.25">
      <c r="A4139" s="5">
        <f>4132</f>
      </c>
      <c r="B4139" s="5" t="s">
        <v>4147</v>
      </c>
      <c r="C4139" s="5">
        <v>93.1</v>
      </c>
      <c r="D4139" s="5">
        <v>0.1</v>
      </c>
      <c r="E4139" s="5">
        <v>93.2</v>
      </c>
      <c r="F4139" s="5">
        <v>184</v>
      </c>
      <c r="G4139" s="5">
        <v>91.7</v>
      </c>
      <c r="H4139" s="5">
        <v>91.5</v>
      </c>
      <c r="I4139" s="5">
        <v>0</v>
      </c>
      <c r="J4139" s="5">
        <v>0</v>
      </c>
      <c r="K4139" s="5">
        <v>0</v>
      </c>
    </row>
    <row r="4140" spans="1:11" x14ac:dyDescent="0.25">
      <c r="A4140" s="5">
        <f>4133</f>
      </c>
      <c r="B4140" s="5" t="s">
        <v>4148</v>
      </c>
      <c r="C4140" s="5">
        <v>93.1</v>
      </c>
      <c r="D4140" s="5">
        <v>0.1</v>
      </c>
      <c r="E4140" s="5">
        <v>93.2</v>
      </c>
      <c r="F4140" s="5">
        <v>184</v>
      </c>
      <c r="G4140" s="5">
        <v>91.7</v>
      </c>
      <c r="H4140" s="5">
        <v>91.5</v>
      </c>
      <c r="I4140" s="5">
        <v>0</v>
      </c>
      <c r="J4140" s="5">
        <v>0</v>
      </c>
      <c r="K4140" s="5">
        <v>0</v>
      </c>
    </row>
    <row r="4141" spans="1:11" x14ac:dyDescent="0.25">
      <c r="A4141" s="5">
        <f>4134</f>
      </c>
      <c r="B4141" s="5" t="s">
        <v>4149</v>
      </c>
      <c r="C4141" s="5">
        <v>99.8</v>
      </c>
      <c r="D4141" s="5">
        <v>0.1</v>
      </c>
      <c r="E4141" s="5">
        <v>99.9</v>
      </c>
      <c r="F4141" s="5">
        <v>199.4</v>
      </c>
      <c r="G4141" s="5">
        <v>99.4</v>
      </c>
      <c r="H4141" s="5">
        <v>99.3</v>
      </c>
      <c r="I4141" s="5">
        <v>0</v>
      </c>
      <c r="J4141" s="5">
        <v>0</v>
      </c>
      <c r="K4141" s="5">
        <v>0</v>
      </c>
    </row>
    <row r="4142" spans="1:11" x14ac:dyDescent="0.25">
      <c r="A4142" s="5">
        <f>4135</f>
      </c>
      <c r="B4142" s="5" t="s">
        <v>4150</v>
      </c>
      <c r="C4142" s="5">
        <v>99.8</v>
      </c>
      <c r="D4142" s="5">
        <v>0.1</v>
      </c>
      <c r="E4142" s="5">
        <v>99.9</v>
      </c>
      <c r="F4142" s="5">
        <v>199.4</v>
      </c>
      <c r="G4142" s="5">
        <v>99.4</v>
      </c>
      <c r="H4142" s="5">
        <v>99.3</v>
      </c>
      <c r="I4142" s="5">
        <v>0</v>
      </c>
      <c r="J4142" s="5">
        <v>0</v>
      </c>
      <c r="K4142" s="5">
        <v>0</v>
      </c>
    </row>
    <row r="4143" spans="1:11" x14ac:dyDescent="0.25">
      <c r="A4143" s="5">
        <f>4136</f>
      </c>
      <c r="B4143" s="5" t="s">
        <v>4151</v>
      </c>
      <c r="C4143" s="5">
        <v>99.8</v>
      </c>
      <c r="D4143" s="5">
        <v>0.1</v>
      </c>
      <c r="E4143" s="5">
        <v>99.9</v>
      </c>
      <c r="F4143" s="5">
        <v>199.4</v>
      </c>
      <c r="G4143" s="5">
        <v>99.4</v>
      </c>
      <c r="H4143" s="5">
        <v>99.3</v>
      </c>
      <c r="I4143" s="5">
        <v>0</v>
      </c>
      <c r="J4143" s="5">
        <v>0</v>
      </c>
      <c r="K4143" s="5">
        <v>0</v>
      </c>
    </row>
    <row r="4144" spans="1:11" x14ac:dyDescent="0.25">
      <c r="A4144" s="5">
        <f>4137</f>
      </c>
      <c r="B4144" s="5" t="s">
        <v>4152</v>
      </c>
      <c r="C4144" s="5">
        <v>99.8</v>
      </c>
      <c r="D4144" s="5">
        <v>0.1</v>
      </c>
      <c r="E4144" s="5">
        <v>99.9</v>
      </c>
      <c r="F4144" s="5">
        <v>199.4</v>
      </c>
      <c r="G4144" s="5">
        <v>99.4</v>
      </c>
      <c r="H4144" s="5">
        <v>99.3</v>
      </c>
      <c r="I4144" s="5">
        <v>0</v>
      </c>
      <c r="J4144" s="5">
        <v>0</v>
      </c>
      <c r="K4144" s="5">
        <v>0</v>
      </c>
    </row>
    <row r="4145" spans="1:11" x14ac:dyDescent="0.25">
      <c r="A4145" s="5">
        <f>4138</f>
      </c>
      <c r="B4145" s="5" t="s">
        <v>4153</v>
      </c>
      <c r="C4145" s="5">
        <v>99.8</v>
      </c>
      <c r="D4145" s="5">
        <v>0.1</v>
      </c>
      <c r="E4145" s="5">
        <v>99.9</v>
      </c>
      <c r="F4145" s="5">
        <v>199.4</v>
      </c>
      <c r="G4145" s="5">
        <v>99.4</v>
      </c>
      <c r="H4145" s="5">
        <v>99.3</v>
      </c>
      <c r="I4145" s="5">
        <v>0</v>
      </c>
      <c r="J4145" s="5">
        <v>0</v>
      </c>
      <c r="K4145" s="5">
        <v>0</v>
      </c>
    </row>
    <row r="4146" spans="1:11" x14ac:dyDescent="0.25">
      <c r="A4146" s="5">
        <f>4139</f>
      </c>
      <c r="B4146" s="5" t="s">
        <v>4154</v>
      </c>
      <c r="C4146" s="5">
        <v>99.8</v>
      </c>
      <c r="D4146" s="5">
        <v>0.1</v>
      </c>
      <c r="E4146" s="5">
        <v>99.9</v>
      </c>
      <c r="F4146" s="5">
        <v>199.4</v>
      </c>
      <c r="G4146" s="5">
        <v>99.4</v>
      </c>
      <c r="H4146" s="5">
        <v>99.3</v>
      </c>
      <c r="I4146" s="5">
        <v>0</v>
      </c>
      <c r="J4146" s="5">
        <v>0</v>
      </c>
      <c r="K4146" s="5">
        <v>0</v>
      </c>
    </row>
    <row r="4147" spans="1:11" x14ac:dyDescent="0.25">
      <c r="A4147" s="5">
        <f>4140</f>
      </c>
      <c r="B4147" s="5" t="s">
        <v>4155</v>
      </c>
      <c r="C4147" s="5">
        <v>99.4</v>
      </c>
      <c r="D4147" s="5">
        <v>0.1</v>
      </c>
      <c r="E4147" s="5">
        <v>99.5</v>
      </c>
      <c r="F4147" s="5">
        <v>198.2</v>
      </c>
      <c r="G4147" s="5">
        <v>98.9</v>
      </c>
      <c r="H4147" s="5">
        <v>98.8</v>
      </c>
      <c r="I4147" s="5">
        <v>0</v>
      </c>
      <c r="J4147" s="5">
        <v>0</v>
      </c>
      <c r="K4147" s="5">
        <v>0</v>
      </c>
    </row>
    <row r="4148" spans="1:11" x14ac:dyDescent="0.25">
      <c r="A4148" s="5">
        <f>4141</f>
      </c>
      <c r="B4148" s="5" t="s">
        <v>4156</v>
      </c>
      <c r="C4148" s="5">
        <v>99.4</v>
      </c>
      <c r="D4148" s="5">
        <v>0.1</v>
      </c>
      <c r="E4148" s="5">
        <v>99.5</v>
      </c>
      <c r="F4148" s="5">
        <v>198.2</v>
      </c>
      <c r="G4148" s="5">
        <v>98.9</v>
      </c>
      <c r="H4148" s="5">
        <v>98.8</v>
      </c>
      <c r="I4148" s="5">
        <v>0</v>
      </c>
      <c r="J4148" s="5">
        <v>0</v>
      </c>
      <c r="K4148" s="5">
        <v>0</v>
      </c>
    </row>
    <row r="4149" spans="1:11" x14ac:dyDescent="0.25">
      <c r="A4149" s="5">
        <f>4142</f>
      </c>
      <c r="B4149" s="5" t="s">
        <v>4157</v>
      </c>
      <c r="C4149" s="5">
        <v>99.5</v>
      </c>
      <c r="D4149" s="5">
        <v>0.1</v>
      </c>
      <c r="E4149" s="5">
        <v>99.6</v>
      </c>
      <c r="F4149" s="5">
        <v>198.4</v>
      </c>
      <c r="G4149" s="5">
        <v>99</v>
      </c>
      <c r="H4149" s="5">
        <v>98.9</v>
      </c>
      <c r="I4149" s="5">
        <v>0</v>
      </c>
      <c r="J4149" s="5">
        <v>0</v>
      </c>
      <c r="K4149" s="5">
        <v>0</v>
      </c>
    </row>
    <row r="4150" spans="1:11" x14ac:dyDescent="0.25">
      <c r="A4150" s="5">
        <f>4143</f>
      </c>
      <c r="B4150" s="5" t="s">
        <v>4158</v>
      </c>
      <c r="C4150" s="5">
        <v>99.5</v>
      </c>
      <c r="D4150" s="5">
        <v>0.1</v>
      </c>
      <c r="E4150" s="5">
        <v>99.6</v>
      </c>
      <c r="F4150" s="5">
        <v>198.4</v>
      </c>
      <c r="G4150" s="5">
        <v>99</v>
      </c>
      <c r="H4150" s="5">
        <v>98.9</v>
      </c>
      <c r="I4150" s="5">
        <v>0</v>
      </c>
      <c r="J4150" s="5">
        <v>0</v>
      </c>
      <c r="K4150" s="5">
        <v>0</v>
      </c>
    </row>
    <row r="4151" spans="1:11" x14ac:dyDescent="0.25">
      <c r="A4151" s="5">
        <f>4144</f>
      </c>
      <c r="B4151" s="5" t="s">
        <v>4159</v>
      </c>
      <c r="C4151" s="5">
        <v>97.6</v>
      </c>
      <c r="D4151" s="5">
        <v>0.1</v>
      </c>
      <c r="E4151" s="5">
        <v>97.8</v>
      </c>
      <c r="F4151" s="5">
        <v>195.7</v>
      </c>
      <c r="G4151" s="5">
        <v>97.6</v>
      </c>
      <c r="H4151" s="5">
        <v>97.5</v>
      </c>
      <c r="I4151" s="5">
        <v>0</v>
      </c>
      <c r="J4151" s="5">
        <v>0</v>
      </c>
      <c r="K4151" s="5">
        <v>0</v>
      </c>
    </row>
    <row r="4152" spans="1:11" x14ac:dyDescent="0.25">
      <c r="A4152" s="5">
        <f>4145</f>
      </c>
      <c r="B4152" s="5" t="s">
        <v>4160</v>
      </c>
      <c r="C4152" s="5">
        <v>97.6</v>
      </c>
      <c r="D4152" s="5">
        <v>0.1</v>
      </c>
      <c r="E4152" s="5">
        <v>97.8</v>
      </c>
      <c r="F4152" s="5">
        <v>195.7</v>
      </c>
      <c r="G4152" s="5">
        <v>97.6</v>
      </c>
      <c r="H4152" s="5">
        <v>97.5</v>
      </c>
      <c r="I4152" s="5">
        <v>0</v>
      </c>
      <c r="J4152" s="5">
        <v>0</v>
      </c>
      <c r="K4152" s="5">
        <v>0</v>
      </c>
    </row>
    <row r="4153" spans="1:11" x14ac:dyDescent="0.25">
      <c r="A4153" s="5">
        <f>4146</f>
      </c>
      <c r="B4153" s="5" t="s">
        <v>4161</v>
      </c>
      <c r="C4153" s="5">
        <v>97.6</v>
      </c>
      <c r="D4153" s="5">
        <v>0.1</v>
      </c>
      <c r="E4153" s="5">
        <v>97.8</v>
      </c>
      <c r="F4153" s="5">
        <v>195.7</v>
      </c>
      <c r="G4153" s="5">
        <v>97.6</v>
      </c>
      <c r="H4153" s="5">
        <v>97.5</v>
      </c>
      <c r="I4153" s="5">
        <v>0</v>
      </c>
      <c r="J4153" s="5">
        <v>0</v>
      </c>
      <c r="K4153" s="5">
        <v>0</v>
      </c>
    </row>
    <row r="4154" spans="1:11" x14ac:dyDescent="0.25">
      <c r="A4154" s="5">
        <f>4147</f>
      </c>
      <c r="B4154" s="5" t="s">
        <v>4162</v>
      </c>
      <c r="C4154" s="5">
        <v>97.6</v>
      </c>
      <c r="D4154" s="5">
        <v>0.1</v>
      </c>
      <c r="E4154" s="5">
        <v>97.8</v>
      </c>
      <c r="F4154" s="5">
        <v>195.7</v>
      </c>
      <c r="G4154" s="5">
        <v>97.6</v>
      </c>
      <c r="H4154" s="5">
        <v>97.5</v>
      </c>
      <c r="I4154" s="5">
        <v>0</v>
      </c>
      <c r="J4154" s="5">
        <v>0</v>
      </c>
      <c r="K4154" s="5">
        <v>0</v>
      </c>
    </row>
    <row r="4155" spans="1:11" x14ac:dyDescent="0.25">
      <c r="A4155" s="5">
        <f>4148</f>
      </c>
      <c r="B4155" s="5" t="s">
        <v>4163</v>
      </c>
      <c r="C4155" s="5">
        <v>98.8</v>
      </c>
      <c r="D4155" s="5">
        <v>0.1</v>
      </c>
      <c r="E4155" s="5">
        <v>98.9</v>
      </c>
      <c r="F4155" s="5">
        <v>196.9</v>
      </c>
      <c r="G4155" s="5">
        <v>98.2</v>
      </c>
      <c r="H4155" s="5">
        <v>98.1</v>
      </c>
      <c r="I4155" s="5">
        <v>0</v>
      </c>
      <c r="J4155" s="5">
        <v>0</v>
      </c>
      <c r="K4155" s="5">
        <v>0</v>
      </c>
    </row>
    <row r="4156" spans="1:11" x14ac:dyDescent="0.25">
      <c r="A4156" s="5">
        <f>4149</f>
      </c>
      <c r="B4156" s="5" t="s">
        <v>4164</v>
      </c>
      <c r="C4156" s="5">
        <v>98.8</v>
      </c>
      <c r="D4156" s="5">
        <v>0.1</v>
      </c>
      <c r="E4156" s="5">
        <v>98.9</v>
      </c>
      <c r="F4156" s="5">
        <v>196.9</v>
      </c>
      <c r="G4156" s="5">
        <v>98.2</v>
      </c>
      <c r="H4156" s="5">
        <v>98.1</v>
      </c>
      <c r="I4156" s="5">
        <v>0</v>
      </c>
      <c r="J4156" s="5">
        <v>0</v>
      </c>
      <c r="K4156" s="5">
        <v>0</v>
      </c>
    </row>
    <row r="4157" spans="1:11" x14ac:dyDescent="0.25">
      <c r="A4157" s="5">
        <f>4150</f>
      </c>
      <c r="B4157" s="5" t="s">
        <v>4165</v>
      </c>
      <c r="C4157" s="5">
        <v>98.3</v>
      </c>
      <c r="D4157" s="5">
        <v>0.1</v>
      </c>
      <c r="E4157" s="5">
        <v>98.4</v>
      </c>
      <c r="F4157" s="5">
        <v>197.2</v>
      </c>
      <c r="G4157" s="5">
        <v>98.4</v>
      </c>
      <c r="H4157" s="5">
        <v>98.2</v>
      </c>
      <c r="I4157" s="5">
        <v>0</v>
      </c>
      <c r="J4157" s="5">
        <v>0</v>
      </c>
      <c r="K4157" s="5">
        <v>0</v>
      </c>
    </row>
    <row r="4158" spans="1:11" x14ac:dyDescent="0.25">
      <c r="A4158" s="5">
        <f>4151</f>
      </c>
      <c r="B4158" s="5" t="s">
        <v>4166</v>
      </c>
      <c r="C4158" s="5">
        <v>98.3</v>
      </c>
      <c r="D4158" s="5">
        <v>0.1</v>
      </c>
      <c r="E4158" s="5">
        <v>98.4</v>
      </c>
      <c r="F4158" s="5">
        <v>197.2</v>
      </c>
      <c r="G4158" s="5">
        <v>98.4</v>
      </c>
      <c r="H4158" s="5">
        <v>98.2</v>
      </c>
      <c r="I4158" s="5">
        <v>0</v>
      </c>
      <c r="J4158" s="5">
        <v>0</v>
      </c>
      <c r="K4158" s="5">
        <v>0</v>
      </c>
    </row>
    <row r="4159" spans="1:11" x14ac:dyDescent="0.25">
      <c r="A4159" s="5">
        <f>4152</f>
      </c>
      <c r="B4159" s="5" t="s">
        <v>4167</v>
      </c>
      <c r="C4159" s="5">
        <v>99</v>
      </c>
      <c r="D4159" s="5">
        <v>0.1</v>
      </c>
      <c r="E4159" s="5">
        <v>99.2</v>
      </c>
      <c r="F4159" s="5">
        <v>198.7</v>
      </c>
      <c r="G4159" s="5">
        <v>99.1</v>
      </c>
      <c r="H4159" s="5">
        <v>98.9</v>
      </c>
      <c r="I4159" s="5">
        <v>0</v>
      </c>
      <c r="J4159" s="5">
        <v>0</v>
      </c>
      <c r="K4159" s="5">
        <v>0</v>
      </c>
    </row>
    <row r="4160" spans="1:11" x14ac:dyDescent="0.25">
      <c r="A4160" s="5">
        <f>4153</f>
      </c>
      <c r="B4160" s="5" t="s">
        <v>4168</v>
      </c>
      <c r="C4160" s="5">
        <v>99</v>
      </c>
      <c r="D4160" s="5">
        <v>0.1</v>
      </c>
      <c r="E4160" s="5">
        <v>99.2</v>
      </c>
      <c r="F4160" s="5">
        <v>198.7</v>
      </c>
      <c r="G4160" s="5">
        <v>99.1</v>
      </c>
      <c r="H4160" s="5">
        <v>98.9</v>
      </c>
      <c r="I4160" s="5">
        <v>0</v>
      </c>
      <c r="J4160" s="5">
        <v>0</v>
      </c>
      <c r="K4160" s="5">
        <v>0</v>
      </c>
    </row>
    <row r="4161" spans="1:11" x14ac:dyDescent="0.25">
      <c r="A4161" s="5">
        <f>4154</f>
      </c>
      <c r="B4161" s="5" t="s">
        <v>4169</v>
      </c>
      <c r="C4161" s="5">
        <v>98.7</v>
      </c>
      <c r="D4161" s="5">
        <v>0.1</v>
      </c>
      <c r="E4161" s="5">
        <v>98.9</v>
      </c>
      <c r="F4161" s="5">
        <v>198.3</v>
      </c>
      <c r="G4161" s="5">
        <v>98.9</v>
      </c>
      <c r="H4161" s="5">
        <v>98.8</v>
      </c>
      <c r="I4161" s="5">
        <v>0</v>
      </c>
      <c r="J4161" s="5">
        <v>0</v>
      </c>
      <c r="K4161" s="5">
        <v>0</v>
      </c>
    </row>
    <row r="4162" spans="1:11" x14ac:dyDescent="0.25">
      <c r="A4162" s="5">
        <f>4155</f>
      </c>
      <c r="B4162" s="5" t="s">
        <v>4170</v>
      </c>
      <c r="C4162" s="5">
        <v>98.7</v>
      </c>
      <c r="D4162" s="5">
        <v>0.1</v>
      </c>
      <c r="E4162" s="5">
        <v>98.9</v>
      </c>
      <c r="F4162" s="5">
        <v>198.3</v>
      </c>
      <c r="G4162" s="5">
        <v>98.9</v>
      </c>
      <c r="H4162" s="5">
        <v>98.8</v>
      </c>
      <c r="I4162" s="5">
        <v>0</v>
      </c>
      <c r="J4162" s="5">
        <v>0</v>
      </c>
      <c r="K4162" s="5">
        <v>0</v>
      </c>
    </row>
    <row r="4163" spans="1:11" x14ac:dyDescent="0.25">
      <c r="A4163" s="5">
        <f>4156</f>
      </c>
      <c r="B4163" s="5" t="s">
        <v>4171</v>
      </c>
      <c r="C4163" s="5">
        <v>98.7</v>
      </c>
      <c r="D4163" s="5">
        <v>0.1</v>
      </c>
      <c r="E4163" s="5">
        <v>98.9</v>
      </c>
      <c r="F4163" s="5">
        <v>198.3</v>
      </c>
      <c r="G4163" s="5">
        <v>98.9</v>
      </c>
      <c r="H4163" s="5">
        <v>98.8</v>
      </c>
      <c r="I4163" s="5">
        <v>0</v>
      </c>
      <c r="J4163" s="5">
        <v>0</v>
      </c>
      <c r="K4163" s="5">
        <v>0</v>
      </c>
    </row>
    <row r="4164" spans="1:11" x14ac:dyDescent="0.25">
      <c r="A4164" s="5">
        <f>4157</f>
      </c>
      <c r="B4164" s="5" t="s">
        <v>4172</v>
      </c>
      <c r="C4164" s="5">
        <v>98.7</v>
      </c>
      <c r="D4164" s="5">
        <v>0.1</v>
      </c>
      <c r="E4164" s="5">
        <v>98.9</v>
      </c>
      <c r="F4164" s="5">
        <v>198.3</v>
      </c>
      <c r="G4164" s="5">
        <v>98.9</v>
      </c>
      <c r="H4164" s="5">
        <v>98.8</v>
      </c>
      <c r="I4164" s="5">
        <v>0</v>
      </c>
      <c r="J4164" s="5">
        <v>0</v>
      </c>
      <c r="K4164" s="5">
        <v>0</v>
      </c>
    </row>
    <row r="4165" spans="1:11" x14ac:dyDescent="0.25">
      <c r="A4165" s="5">
        <f>4158</f>
      </c>
      <c r="B4165" s="5" t="s">
        <v>4173</v>
      </c>
      <c r="C4165" s="5">
        <v>99.8</v>
      </c>
      <c r="D4165" s="5">
        <v>0.1</v>
      </c>
      <c r="E4165" s="5">
        <v>99.9</v>
      </c>
      <c r="F4165" s="5">
        <v>198.8</v>
      </c>
      <c r="G4165" s="5">
        <v>99.2</v>
      </c>
      <c r="H4165" s="5">
        <v>99</v>
      </c>
      <c r="I4165" s="5">
        <v>0</v>
      </c>
      <c r="J4165" s="5">
        <v>0</v>
      </c>
      <c r="K4165" s="5">
        <v>0</v>
      </c>
    </row>
    <row r="4166" spans="1:11" x14ac:dyDescent="0.25">
      <c r="A4166" s="5">
        <f>4159</f>
      </c>
      <c r="B4166" s="5" t="s">
        <v>4174</v>
      </c>
      <c r="C4166" s="5">
        <v>99.8</v>
      </c>
      <c r="D4166" s="5">
        <v>0.1</v>
      </c>
      <c r="E4166" s="5">
        <v>99.9</v>
      </c>
      <c r="F4166" s="5">
        <v>198.8</v>
      </c>
      <c r="G4166" s="5">
        <v>99.2</v>
      </c>
      <c r="H4166" s="5">
        <v>99</v>
      </c>
      <c r="I4166" s="5">
        <v>0</v>
      </c>
      <c r="J4166" s="5">
        <v>0</v>
      </c>
      <c r="K4166" s="5">
        <v>0</v>
      </c>
    </row>
    <row r="4167" spans="1:11" x14ac:dyDescent="0.25">
      <c r="A4167" s="5">
        <f>4160</f>
      </c>
      <c r="B4167" s="5" t="s">
        <v>4175</v>
      </c>
      <c r="C4167" s="5">
        <v>98.9</v>
      </c>
      <c r="D4167" s="5">
        <v>0.1</v>
      </c>
      <c r="E4167" s="5">
        <v>98.9</v>
      </c>
      <c r="F4167" s="5">
        <v>197.2</v>
      </c>
      <c r="G4167" s="5">
        <v>98.4</v>
      </c>
      <c r="H4167" s="5">
        <v>98.2</v>
      </c>
      <c r="I4167" s="5">
        <v>0</v>
      </c>
      <c r="J4167" s="5">
        <v>0</v>
      </c>
      <c r="K4167" s="5">
        <v>0</v>
      </c>
    </row>
    <row r="4168" spans="1:11" x14ac:dyDescent="0.25">
      <c r="A4168" s="5">
        <f>4161</f>
      </c>
      <c r="B4168" s="5" t="s">
        <v>4176</v>
      </c>
      <c r="C4168" s="5">
        <v>98.9</v>
      </c>
      <c r="D4168" s="5">
        <v>0.1</v>
      </c>
      <c r="E4168" s="5">
        <v>98.9</v>
      </c>
      <c r="F4168" s="5">
        <v>197.2</v>
      </c>
      <c r="G4168" s="5">
        <v>98.4</v>
      </c>
      <c r="H4168" s="5">
        <v>98.2</v>
      </c>
      <c r="I4168" s="5">
        <v>0</v>
      </c>
      <c r="J4168" s="5">
        <v>0</v>
      </c>
      <c r="K4168" s="5">
        <v>0</v>
      </c>
    </row>
    <row r="4169" spans="1:11" x14ac:dyDescent="0.25">
      <c r="A4169" s="5">
        <f>4162</f>
      </c>
      <c r="B4169" s="5" t="s">
        <v>4177</v>
      </c>
      <c r="C4169" s="5">
        <v>99.5</v>
      </c>
      <c r="D4169" s="5">
        <v>0.1</v>
      </c>
      <c r="E4169" s="5">
        <v>99.6</v>
      </c>
      <c r="F4169" s="5">
        <v>199.3</v>
      </c>
      <c r="G4169" s="5">
        <v>99.4</v>
      </c>
      <c r="H4169" s="5">
        <v>99.3</v>
      </c>
      <c r="I4169" s="5">
        <v>0</v>
      </c>
      <c r="J4169" s="5">
        <v>0</v>
      </c>
      <c r="K4169" s="5">
        <v>0</v>
      </c>
    </row>
    <row r="4170" spans="1:11" x14ac:dyDescent="0.25">
      <c r="A4170" s="5">
        <f>4163</f>
      </c>
      <c r="B4170" s="5" t="s">
        <v>4178</v>
      </c>
      <c r="C4170" s="5">
        <v>99.5</v>
      </c>
      <c r="D4170" s="5">
        <v>0.1</v>
      </c>
      <c r="E4170" s="5">
        <v>99.6</v>
      </c>
      <c r="F4170" s="5">
        <v>199.3</v>
      </c>
      <c r="G4170" s="5">
        <v>99.4</v>
      </c>
      <c r="H4170" s="5">
        <v>99.3</v>
      </c>
      <c r="I4170" s="5">
        <v>0</v>
      </c>
      <c r="J4170" s="5">
        <v>0</v>
      </c>
      <c r="K4170" s="5">
        <v>0</v>
      </c>
    </row>
    <row r="4171" spans="1:11" x14ac:dyDescent="0.25">
      <c r="A4171" s="5">
        <f>4164</f>
      </c>
      <c r="B4171" s="5" t="s">
        <v>4179</v>
      </c>
      <c r="C4171" s="5">
        <v>98.9</v>
      </c>
      <c r="D4171" s="5">
        <v>0.1</v>
      </c>
      <c r="E4171" s="5">
        <v>99</v>
      </c>
      <c r="F4171" s="5">
        <v>197.8</v>
      </c>
      <c r="G4171" s="5">
        <v>98.7</v>
      </c>
      <c r="H4171" s="5">
        <v>98.5</v>
      </c>
      <c r="I4171" s="5">
        <v>0</v>
      </c>
      <c r="J4171" s="5">
        <v>0</v>
      </c>
      <c r="K4171" s="5">
        <v>0</v>
      </c>
    </row>
    <row r="4172" spans="1:11" x14ac:dyDescent="0.25">
      <c r="A4172" s="5">
        <f>4165</f>
      </c>
      <c r="B4172" s="5" t="s">
        <v>4180</v>
      </c>
      <c r="C4172" s="5">
        <v>98.9</v>
      </c>
      <c r="D4172" s="5">
        <v>0.1</v>
      </c>
      <c r="E4172" s="5">
        <v>99</v>
      </c>
      <c r="F4172" s="5">
        <v>197.8</v>
      </c>
      <c r="G4172" s="5">
        <v>98.7</v>
      </c>
      <c r="H4172" s="5">
        <v>98.5</v>
      </c>
      <c r="I4172" s="5">
        <v>0</v>
      </c>
      <c r="J4172" s="5">
        <v>0</v>
      </c>
      <c r="K4172" s="5">
        <v>0</v>
      </c>
    </row>
    <row r="4173" spans="1:11" x14ac:dyDescent="0.25">
      <c r="A4173" s="5">
        <f>4166</f>
      </c>
      <c r="B4173" s="5" t="s">
        <v>4181</v>
      </c>
      <c r="C4173" s="5">
        <v>98.9</v>
      </c>
      <c r="D4173" s="5">
        <v>0.1</v>
      </c>
      <c r="E4173" s="5">
        <v>99</v>
      </c>
      <c r="F4173" s="5">
        <v>197.8</v>
      </c>
      <c r="G4173" s="5">
        <v>98.7</v>
      </c>
      <c r="H4173" s="5">
        <v>98.5</v>
      </c>
      <c r="I4173" s="5">
        <v>0</v>
      </c>
      <c r="J4173" s="5">
        <v>0</v>
      </c>
      <c r="K4173" s="5">
        <v>0</v>
      </c>
    </row>
    <row r="4174" spans="1:11" x14ac:dyDescent="0.25">
      <c r="A4174" s="5">
        <f>4167</f>
      </c>
      <c r="B4174" s="5" t="s">
        <v>4182</v>
      </c>
      <c r="C4174" s="5">
        <v>98.9</v>
      </c>
      <c r="D4174" s="5">
        <v>0.1</v>
      </c>
      <c r="E4174" s="5">
        <v>99</v>
      </c>
      <c r="F4174" s="5">
        <v>197.8</v>
      </c>
      <c r="G4174" s="5">
        <v>98.7</v>
      </c>
      <c r="H4174" s="5">
        <v>98.5</v>
      </c>
      <c r="I4174" s="5">
        <v>0</v>
      </c>
      <c r="J4174" s="5">
        <v>0</v>
      </c>
      <c r="K4174" s="5">
        <v>0</v>
      </c>
    </row>
    <row r="4175" spans="1:11" x14ac:dyDescent="0.25">
      <c r="A4175" s="5">
        <f>4168</f>
      </c>
      <c r="B4175" s="5" t="s">
        <v>4183</v>
      </c>
      <c r="C4175" s="5">
        <v>98.8</v>
      </c>
      <c r="D4175" s="5">
        <v>0.1</v>
      </c>
      <c r="E4175" s="5">
        <v>98.9</v>
      </c>
      <c r="F4175" s="5">
        <v>197</v>
      </c>
      <c r="G4175" s="5">
        <v>98.2</v>
      </c>
      <c r="H4175" s="5">
        <v>98.1</v>
      </c>
      <c r="I4175" s="5">
        <v>0</v>
      </c>
      <c r="J4175" s="5">
        <v>0</v>
      </c>
      <c r="K4175" s="5">
        <v>0</v>
      </c>
    </row>
    <row r="4176" spans="1:11" x14ac:dyDescent="0.25">
      <c r="A4176" s="5">
        <f>4169</f>
      </c>
      <c r="B4176" s="5" t="s">
        <v>4184</v>
      </c>
      <c r="C4176" s="5">
        <v>98.8</v>
      </c>
      <c r="D4176" s="5">
        <v>0.1</v>
      </c>
      <c r="E4176" s="5">
        <v>98.9</v>
      </c>
      <c r="F4176" s="5">
        <v>197</v>
      </c>
      <c r="G4176" s="5">
        <v>98.2</v>
      </c>
      <c r="H4176" s="5">
        <v>98.1</v>
      </c>
      <c r="I4176" s="5">
        <v>0</v>
      </c>
      <c r="J4176" s="5">
        <v>0</v>
      </c>
      <c r="K4176" s="5">
        <v>0</v>
      </c>
    </row>
    <row r="4177" spans="1:11" x14ac:dyDescent="0.25">
      <c r="A4177" s="5">
        <f>4170</f>
      </c>
      <c r="B4177" s="5" t="s">
        <v>4185</v>
      </c>
      <c r="C4177" s="5">
        <v>99.5</v>
      </c>
      <c r="D4177" s="5">
        <v>0.1</v>
      </c>
      <c r="E4177" s="5">
        <v>99.7</v>
      </c>
      <c r="F4177" s="5">
        <v>197.5</v>
      </c>
      <c r="G4177" s="5">
        <v>98.4</v>
      </c>
      <c r="H4177" s="5">
        <v>98.3</v>
      </c>
      <c r="I4177" s="5">
        <v>0</v>
      </c>
      <c r="J4177" s="5">
        <v>0</v>
      </c>
      <c r="K4177" s="5">
        <v>0</v>
      </c>
    </row>
    <row r="4178" spans="1:11" x14ac:dyDescent="0.25">
      <c r="A4178" s="5">
        <f>4171</f>
      </c>
      <c r="B4178" s="5" t="s">
        <v>4186</v>
      </c>
      <c r="C4178" s="5">
        <v>99.5</v>
      </c>
      <c r="D4178" s="5">
        <v>0.1</v>
      </c>
      <c r="E4178" s="5">
        <v>99.7</v>
      </c>
      <c r="F4178" s="5">
        <v>197.5</v>
      </c>
      <c r="G4178" s="5">
        <v>98.4</v>
      </c>
      <c r="H4178" s="5">
        <v>98.3</v>
      </c>
      <c r="I4178" s="5">
        <v>0</v>
      </c>
      <c r="J4178" s="5">
        <v>0</v>
      </c>
      <c r="K4178" s="5">
        <v>0</v>
      </c>
    </row>
    <row r="4179" spans="1:11" x14ac:dyDescent="0.25">
      <c r="A4179" s="5">
        <f>4172</f>
      </c>
      <c r="B4179" s="5" t="s">
        <v>4187</v>
      </c>
      <c r="C4179" s="5">
        <v>98.9</v>
      </c>
      <c r="D4179" s="5">
        <v>0.1</v>
      </c>
      <c r="E4179" s="5">
        <v>99</v>
      </c>
      <c r="F4179" s="5">
        <v>197.6</v>
      </c>
      <c r="G4179" s="5">
        <v>98.6</v>
      </c>
      <c r="H4179" s="5">
        <v>98.4</v>
      </c>
      <c r="I4179" s="5">
        <v>0</v>
      </c>
      <c r="J4179" s="5">
        <v>0</v>
      </c>
      <c r="K4179" s="5">
        <v>0</v>
      </c>
    </row>
    <row r="4180" spans="1:11" x14ac:dyDescent="0.25">
      <c r="A4180" s="5">
        <f>4173</f>
      </c>
      <c r="B4180" s="5" t="s">
        <v>4188</v>
      </c>
      <c r="C4180" s="5">
        <v>98.9</v>
      </c>
      <c r="D4180" s="5">
        <v>0.1</v>
      </c>
      <c r="E4180" s="5">
        <v>99</v>
      </c>
      <c r="F4180" s="5">
        <v>197.6</v>
      </c>
      <c r="G4180" s="5">
        <v>98.6</v>
      </c>
      <c r="H4180" s="5">
        <v>98.4</v>
      </c>
      <c r="I4180" s="5">
        <v>0</v>
      </c>
      <c r="J4180" s="5">
        <v>0</v>
      </c>
      <c r="K4180" s="5">
        <v>0</v>
      </c>
    </row>
    <row r="4181" spans="1:11" x14ac:dyDescent="0.25">
      <c r="A4181" s="5">
        <f>4174</f>
      </c>
      <c r="B4181" s="5" t="s">
        <v>4189</v>
      </c>
      <c r="C4181" s="5">
        <v>98.6</v>
      </c>
      <c r="D4181" s="5">
        <v>0.1</v>
      </c>
      <c r="E4181" s="5">
        <v>98.8</v>
      </c>
      <c r="F4181" s="5">
        <v>197.7</v>
      </c>
      <c r="G4181" s="5">
        <v>98.7</v>
      </c>
      <c r="H4181" s="5">
        <v>98.6</v>
      </c>
      <c r="I4181" s="5">
        <v>0</v>
      </c>
      <c r="J4181" s="5">
        <v>0</v>
      </c>
      <c r="K4181" s="5">
        <v>0</v>
      </c>
    </row>
    <row r="4182" spans="1:11" x14ac:dyDescent="0.25">
      <c r="A4182" s="5">
        <f>4175</f>
      </c>
      <c r="B4182" s="5" t="s">
        <v>4190</v>
      </c>
      <c r="C4182" s="5">
        <v>98.6</v>
      </c>
      <c r="D4182" s="5">
        <v>0.1</v>
      </c>
      <c r="E4182" s="5">
        <v>98.8</v>
      </c>
      <c r="F4182" s="5">
        <v>197.7</v>
      </c>
      <c r="G4182" s="5">
        <v>98.7</v>
      </c>
      <c r="H4182" s="5">
        <v>98.6</v>
      </c>
      <c r="I4182" s="5">
        <v>0</v>
      </c>
      <c r="J4182" s="5">
        <v>0</v>
      </c>
      <c r="K4182" s="5">
        <v>0</v>
      </c>
    </row>
    <row r="4183" spans="1:11" x14ac:dyDescent="0.25">
      <c r="A4183" s="5">
        <f>4176</f>
      </c>
      <c r="B4183" s="5" t="s">
        <v>4191</v>
      </c>
      <c r="C4183" s="5">
        <v>98.6</v>
      </c>
      <c r="D4183" s="5">
        <v>0.1</v>
      </c>
      <c r="E4183" s="5">
        <v>98.8</v>
      </c>
      <c r="F4183" s="5">
        <v>197.7</v>
      </c>
      <c r="G4183" s="5">
        <v>98.7</v>
      </c>
      <c r="H4183" s="5">
        <v>98.6</v>
      </c>
      <c r="I4183" s="5">
        <v>0</v>
      </c>
      <c r="J4183" s="5">
        <v>0</v>
      </c>
      <c r="K4183" s="5">
        <v>0</v>
      </c>
    </row>
    <row r="4184" spans="1:11" x14ac:dyDescent="0.25">
      <c r="A4184" s="5">
        <f>4177</f>
      </c>
      <c r="B4184" s="5" t="s">
        <v>4192</v>
      </c>
      <c r="C4184" s="5">
        <v>0</v>
      </c>
      <c r="D4184" s="5">
        <v>0.1</v>
      </c>
      <c r="E4184" s="5">
        <v>98.8</v>
      </c>
      <c r="F4184" s="5">
        <v>197.7</v>
      </c>
      <c r="G4184" s="5">
        <v>98.7</v>
      </c>
      <c r="H4184" s="5">
        <v>98.6</v>
      </c>
      <c r="I4184" s="5">
        <v>0</v>
      </c>
      <c r="J4184" s="5">
        <v>0</v>
      </c>
      <c r="K4184" s="5">
        <v>0</v>
      </c>
    </row>
    <row r="4185" spans="1:11" x14ac:dyDescent="0.25">
      <c r="A4185" s="5">
        <f>4178</f>
      </c>
      <c r="B4185" s="5" t="s">
        <v>4193</v>
      </c>
      <c r="C4185" s="5">
        <v>99.3</v>
      </c>
      <c r="D4185" s="5">
        <v>0.1</v>
      </c>
      <c r="E4185" s="5">
        <v>99.5</v>
      </c>
      <c r="F4185" s="5">
        <v>198</v>
      </c>
      <c r="G4185" s="5">
        <v>98.8</v>
      </c>
      <c r="H4185" s="5">
        <v>98.7</v>
      </c>
      <c r="I4185" s="5">
        <v>0</v>
      </c>
      <c r="J4185" s="5">
        <v>0</v>
      </c>
      <c r="K4185" s="5">
        <v>0</v>
      </c>
    </row>
    <row r="4186" spans="1:11" x14ac:dyDescent="0.25">
      <c r="A4186" s="5">
        <f>4179</f>
      </c>
      <c r="B4186" s="5" t="s">
        <v>4194</v>
      </c>
      <c r="C4186" s="5">
        <v>99.3</v>
      </c>
      <c r="D4186" s="5">
        <v>0.1</v>
      </c>
      <c r="E4186" s="5">
        <v>99.5</v>
      </c>
      <c r="F4186" s="5">
        <v>198</v>
      </c>
      <c r="G4186" s="5">
        <v>98.8</v>
      </c>
      <c r="H4186" s="5">
        <v>98.7</v>
      </c>
      <c r="I4186" s="5">
        <v>0</v>
      </c>
      <c r="J4186" s="5">
        <v>0</v>
      </c>
      <c r="K4186" s="5">
        <v>0</v>
      </c>
    </row>
    <row r="4187" spans="1:11" x14ac:dyDescent="0.25">
      <c r="A4187" s="5">
        <f>4180</f>
      </c>
      <c r="B4187" s="5" t="s">
        <v>4195</v>
      </c>
      <c r="C4187" s="5">
        <v>98.8</v>
      </c>
      <c r="D4187" s="5">
        <v>0.1</v>
      </c>
      <c r="E4187" s="5">
        <v>98.9</v>
      </c>
      <c r="F4187" s="5">
        <v>197.6</v>
      </c>
      <c r="G4187" s="5">
        <v>98.6</v>
      </c>
      <c r="H4187" s="5">
        <v>98.5</v>
      </c>
      <c r="I4187" s="5">
        <v>0</v>
      </c>
      <c r="J4187" s="5">
        <v>0</v>
      </c>
      <c r="K4187" s="5">
        <v>0</v>
      </c>
    </row>
    <row r="4188" spans="1:11" x14ac:dyDescent="0.25">
      <c r="A4188" s="5">
        <f>4181</f>
      </c>
      <c r="B4188" s="5" t="s">
        <v>4196</v>
      </c>
      <c r="C4188" s="5">
        <v>98.8</v>
      </c>
      <c r="D4188" s="5">
        <v>0.1</v>
      </c>
      <c r="E4188" s="5">
        <v>98.9</v>
      </c>
      <c r="F4188" s="5">
        <v>197.6</v>
      </c>
      <c r="G4188" s="5">
        <v>98.6</v>
      </c>
      <c r="H4188" s="5">
        <v>98.5</v>
      </c>
      <c r="I4188" s="5">
        <v>0</v>
      </c>
      <c r="J4188" s="5">
        <v>0</v>
      </c>
      <c r="K4188" s="5">
        <v>0</v>
      </c>
    </row>
    <row r="4189" spans="1:11" x14ac:dyDescent="0.25">
      <c r="A4189" s="5">
        <f>4182</f>
      </c>
      <c r="B4189" s="5" t="s">
        <v>4197</v>
      </c>
      <c r="C4189" s="5">
        <v>98.8</v>
      </c>
      <c r="D4189" s="5">
        <v>0.1</v>
      </c>
      <c r="E4189" s="5">
        <v>98.9</v>
      </c>
      <c r="F4189" s="5">
        <v>196.9</v>
      </c>
      <c r="G4189" s="5">
        <v>98.3</v>
      </c>
      <c r="H4189" s="5">
        <v>98.2</v>
      </c>
      <c r="I4189" s="5">
        <v>0</v>
      </c>
      <c r="J4189" s="5">
        <v>0</v>
      </c>
      <c r="K4189" s="5">
        <v>0</v>
      </c>
    </row>
    <row r="4190" spans="1:11" x14ac:dyDescent="0.25">
      <c r="A4190" s="5">
        <f>4183</f>
      </c>
      <c r="B4190" s="5" t="s">
        <v>4198</v>
      </c>
      <c r="C4190" s="5">
        <v>98.8</v>
      </c>
      <c r="D4190" s="5">
        <v>0.1</v>
      </c>
      <c r="E4190" s="5">
        <v>98.9</v>
      </c>
      <c r="F4190" s="5">
        <v>196.9</v>
      </c>
      <c r="G4190" s="5">
        <v>98.3</v>
      </c>
      <c r="H4190" s="5">
        <v>98.2</v>
      </c>
      <c r="I4190" s="5">
        <v>0</v>
      </c>
      <c r="J4190" s="5">
        <v>0</v>
      </c>
      <c r="K4190" s="5">
        <v>0</v>
      </c>
    </row>
    <row r="4191" spans="1:11" x14ac:dyDescent="0.25">
      <c r="A4191" s="5">
        <f>4184</f>
      </c>
      <c r="B4191" s="5" t="s">
        <v>4199</v>
      </c>
      <c r="C4191" s="5">
        <v>98.7</v>
      </c>
      <c r="D4191" s="5">
        <v>0.1</v>
      </c>
      <c r="E4191" s="5">
        <v>98.8</v>
      </c>
      <c r="F4191" s="5">
        <v>197.2</v>
      </c>
      <c r="G4191" s="5">
        <v>98.4</v>
      </c>
      <c r="H4191" s="5">
        <v>98.3</v>
      </c>
      <c r="I4191" s="5">
        <v>0</v>
      </c>
      <c r="J4191" s="5">
        <v>0</v>
      </c>
      <c r="K4191" s="5">
        <v>0</v>
      </c>
    </row>
    <row r="4192" spans="1:11" x14ac:dyDescent="0.25">
      <c r="A4192" s="5">
        <f>4185</f>
      </c>
      <c r="B4192" s="5" t="s">
        <v>4200</v>
      </c>
      <c r="C4192" s="5">
        <v>98.7</v>
      </c>
      <c r="D4192" s="5">
        <v>0.1</v>
      </c>
      <c r="E4192" s="5">
        <v>98.8</v>
      </c>
      <c r="F4192" s="5">
        <v>197.2</v>
      </c>
      <c r="G4192" s="5">
        <v>98.4</v>
      </c>
      <c r="H4192" s="5">
        <v>98.3</v>
      </c>
      <c r="I4192" s="5">
        <v>0</v>
      </c>
      <c r="J4192" s="5">
        <v>0</v>
      </c>
      <c r="K4192" s="5">
        <v>0</v>
      </c>
    </row>
    <row r="4193" spans="1:11" x14ac:dyDescent="0.25">
      <c r="A4193" s="5">
        <f>4186</f>
      </c>
      <c r="B4193" s="5" t="s">
        <v>4201</v>
      </c>
      <c r="C4193" s="5">
        <v>98.7</v>
      </c>
      <c r="D4193" s="5">
        <v>0.1</v>
      </c>
      <c r="E4193" s="5">
        <v>98.8</v>
      </c>
      <c r="F4193" s="5">
        <v>197.2</v>
      </c>
      <c r="G4193" s="5">
        <v>98.4</v>
      </c>
      <c r="H4193" s="5">
        <v>98.3</v>
      </c>
      <c r="I4193" s="5">
        <v>0</v>
      </c>
      <c r="J4193" s="5">
        <v>0</v>
      </c>
      <c r="K4193" s="5">
        <v>0</v>
      </c>
    </row>
    <row r="4194" spans="1:11" x14ac:dyDescent="0.25">
      <c r="A4194" s="5">
        <f>4187</f>
      </c>
      <c r="B4194" s="5" t="s">
        <v>4202</v>
      </c>
      <c r="C4194" s="5">
        <v>99.5</v>
      </c>
      <c r="D4194" s="5">
        <v>0.1</v>
      </c>
      <c r="E4194" s="5">
        <v>99.6</v>
      </c>
      <c r="F4194" s="5">
        <v>198.5</v>
      </c>
      <c r="G4194" s="5">
        <v>99</v>
      </c>
      <c r="H4194" s="5">
        <v>99.2</v>
      </c>
      <c r="I4194" s="5">
        <v>0</v>
      </c>
      <c r="J4194" s="5">
        <v>0</v>
      </c>
      <c r="K4194" s="5">
        <v>0</v>
      </c>
    </row>
    <row r="4195" spans="1:11" x14ac:dyDescent="0.25">
      <c r="A4195" s="5">
        <f>4188</f>
      </c>
      <c r="B4195" s="5" t="s">
        <v>4203</v>
      </c>
      <c r="C4195" s="5">
        <v>99.5</v>
      </c>
      <c r="D4195" s="5">
        <v>0.1</v>
      </c>
      <c r="E4195" s="5">
        <v>99.6</v>
      </c>
      <c r="F4195" s="5">
        <v>198.5</v>
      </c>
      <c r="G4195" s="5">
        <v>99</v>
      </c>
      <c r="H4195" s="5">
        <v>99.2</v>
      </c>
      <c r="I4195" s="5">
        <v>0</v>
      </c>
      <c r="J4195" s="5">
        <v>0</v>
      </c>
      <c r="K4195" s="5">
        <v>0</v>
      </c>
    </row>
    <row r="4196" spans="1:11" x14ac:dyDescent="0.25">
      <c r="A4196" s="5">
        <f>4189</f>
      </c>
      <c r="B4196" s="5" t="s">
        <v>4204</v>
      </c>
      <c r="C4196" s="5">
        <v>99.5</v>
      </c>
      <c r="D4196" s="5">
        <v>0.1</v>
      </c>
      <c r="E4196" s="5">
        <v>99.5</v>
      </c>
      <c r="F4196" s="5">
        <v>197.8</v>
      </c>
      <c r="G4196" s="5">
        <v>98.7</v>
      </c>
      <c r="H4196" s="5">
        <v>98.6</v>
      </c>
      <c r="I4196" s="5">
        <v>0</v>
      </c>
      <c r="J4196" s="5">
        <v>0</v>
      </c>
      <c r="K4196" s="5">
        <v>0</v>
      </c>
    </row>
    <row r="4197" spans="1:11" x14ac:dyDescent="0.25">
      <c r="A4197" s="5">
        <f>4190</f>
      </c>
      <c r="B4197" s="5" t="s">
        <v>4205</v>
      </c>
      <c r="C4197" s="5">
        <v>99.3</v>
      </c>
      <c r="D4197" s="5">
        <v>0.1</v>
      </c>
      <c r="E4197" s="5">
        <v>99.5</v>
      </c>
      <c r="F4197" s="5">
        <v>197.8</v>
      </c>
      <c r="G4197" s="5">
        <v>98.7</v>
      </c>
      <c r="H4197" s="5">
        <v>98.6</v>
      </c>
      <c r="I4197" s="5">
        <v>0</v>
      </c>
      <c r="J4197" s="5">
        <v>0</v>
      </c>
      <c r="K4197" s="5">
        <v>0</v>
      </c>
    </row>
    <row r="4198" spans="1:11" x14ac:dyDescent="0.25">
      <c r="A4198" s="5">
        <f>4191</f>
      </c>
      <c r="B4198" s="5" t="s">
        <v>4206</v>
      </c>
      <c r="C4198" s="5">
        <v>99.3</v>
      </c>
      <c r="D4198" s="5">
        <v>0.1</v>
      </c>
      <c r="E4198" s="5">
        <v>99.7</v>
      </c>
      <c r="F4198" s="5">
        <v>198.7</v>
      </c>
      <c r="G4198" s="5">
        <v>99.1</v>
      </c>
      <c r="H4198" s="5">
        <v>98.9</v>
      </c>
      <c r="I4198" s="5">
        <v>0</v>
      </c>
      <c r="J4198" s="5">
        <v>0</v>
      </c>
      <c r="K4198" s="5">
        <v>0</v>
      </c>
    </row>
    <row r="4199" spans="1:11" x14ac:dyDescent="0.25">
      <c r="A4199" s="5">
        <f>4192</f>
      </c>
      <c r="B4199" s="5" t="s">
        <v>4207</v>
      </c>
      <c r="C4199" s="5">
        <v>99.5</v>
      </c>
      <c r="D4199" s="5">
        <v>0.1</v>
      </c>
      <c r="E4199" s="5">
        <v>99.7</v>
      </c>
      <c r="F4199" s="5">
        <v>198.7</v>
      </c>
      <c r="G4199" s="5">
        <v>99.1</v>
      </c>
      <c r="H4199" s="5">
        <v>98.9</v>
      </c>
      <c r="I4199" s="5">
        <v>0</v>
      </c>
      <c r="J4199" s="5">
        <v>0</v>
      </c>
      <c r="K4199" s="5">
        <v>0</v>
      </c>
    </row>
    <row r="4200" spans="1:11" x14ac:dyDescent="0.25">
      <c r="A4200" s="5">
        <f>4193</f>
      </c>
      <c r="B4200" s="5" t="s">
        <v>4208</v>
      </c>
      <c r="C4200" s="5">
        <v>99.5</v>
      </c>
      <c r="D4200" s="5">
        <v>0.1</v>
      </c>
      <c r="E4200" s="5">
        <v>98.9</v>
      </c>
      <c r="F4200" s="5">
        <v>197.8</v>
      </c>
      <c r="G4200" s="5">
        <v>98.7</v>
      </c>
      <c r="H4200" s="5">
        <v>98.5</v>
      </c>
      <c r="I4200" s="5">
        <v>0</v>
      </c>
      <c r="J4200" s="5">
        <v>0</v>
      </c>
      <c r="K4200" s="5">
        <v>0</v>
      </c>
    </row>
    <row r="4201" spans="1:11" x14ac:dyDescent="0.25">
      <c r="A4201" s="5">
        <f>4194</f>
      </c>
      <c r="B4201" s="5" t="s">
        <v>4209</v>
      </c>
      <c r="C4201" s="5">
        <v>98.8</v>
      </c>
      <c r="D4201" s="5">
        <v>0.1</v>
      </c>
      <c r="E4201" s="5">
        <v>98.9</v>
      </c>
      <c r="F4201" s="5">
        <v>197.8</v>
      </c>
      <c r="G4201" s="5">
        <v>98.7</v>
      </c>
      <c r="H4201" s="5">
        <v>98.5</v>
      </c>
      <c r="I4201" s="5">
        <v>0</v>
      </c>
      <c r="J4201" s="5">
        <v>0</v>
      </c>
      <c r="K4201" s="5">
        <v>0</v>
      </c>
    </row>
    <row r="4202" spans="1:11" x14ac:dyDescent="0.25">
      <c r="A4202" s="5">
        <f>4195</f>
      </c>
      <c r="B4202" s="5" t="s">
        <v>4210</v>
      </c>
      <c r="C4202" s="5">
        <v>98.8</v>
      </c>
      <c r="D4202" s="5">
        <v>0.1</v>
      </c>
      <c r="E4202" s="5">
        <v>98.9</v>
      </c>
      <c r="F4202" s="5">
        <v>197.8</v>
      </c>
      <c r="G4202" s="5">
        <v>98.7</v>
      </c>
      <c r="H4202" s="5">
        <v>98.5</v>
      </c>
      <c r="I4202" s="5">
        <v>0</v>
      </c>
      <c r="J4202" s="5">
        <v>0</v>
      </c>
      <c r="K4202" s="5">
        <v>0</v>
      </c>
    </row>
    <row r="4203" spans="1:11" x14ac:dyDescent="0.25">
      <c r="A4203" s="5">
        <f>4196</f>
      </c>
      <c r="B4203" s="5" t="s">
        <v>4211</v>
      </c>
      <c r="C4203" s="5">
        <v>98.8</v>
      </c>
      <c r="D4203" s="5">
        <v>0.1</v>
      </c>
      <c r="E4203" s="5">
        <v>98.9</v>
      </c>
      <c r="F4203" s="5">
        <v>197.8</v>
      </c>
      <c r="G4203" s="5">
        <v>98.7</v>
      </c>
      <c r="H4203" s="5">
        <v>98.5</v>
      </c>
      <c r="I4203" s="5">
        <v>0</v>
      </c>
      <c r="J4203" s="5">
        <v>0</v>
      </c>
      <c r="K4203" s="5">
        <v>0</v>
      </c>
    </row>
    <row r="4204" spans="1:11" x14ac:dyDescent="0.25">
      <c r="A4204" s="5">
        <f>4197</f>
      </c>
      <c r="B4204" s="5" t="s">
        <v>4212</v>
      </c>
      <c r="C4204" s="5">
        <v>99.8</v>
      </c>
      <c r="D4204" s="5">
        <v>0.1</v>
      </c>
      <c r="E4204" s="5">
        <v>99.9</v>
      </c>
      <c r="F4204" s="5">
        <v>199</v>
      </c>
      <c r="G4204" s="5">
        <v>99.3</v>
      </c>
      <c r="H4204" s="5">
        <v>99.1</v>
      </c>
      <c r="I4204" s="5">
        <v>0</v>
      </c>
      <c r="J4204" s="5">
        <v>0</v>
      </c>
      <c r="K4204" s="5">
        <v>0</v>
      </c>
    </row>
    <row r="4205" spans="1:11" x14ac:dyDescent="0.25">
      <c r="A4205" s="5">
        <f>4198</f>
      </c>
      <c r="B4205" s="5" t="s">
        <v>4213</v>
      </c>
      <c r="C4205" s="5">
        <v>99.8</v>
      </c>
      <c r="D4205" s="5">
        <v>0.1</v>
      </c>
      <c r="E4205" s="5">
        <v>99.9</v>
      </c>
      <c r="F4205" s="5">
        <v>199</v>
      </c>
      <c r="G4205" s="5">
        <v>99.3</v>
      </c>
      <c r="H4205" s="5">
        <v>99.1</v>
      </c>
      <c r="I4205" s="5">
        <v>0</v>
      </c>
      <c r="J4205" s="5">
        <v>0</v>
      </c>
      <c r="K4205" s="5">
        <v>0</v>
      </c>
    </row>
    <row r="4206" spans="1:11" x14ac:dyDescent="0.25">
      <c r="A4206" s="5">
        <f>4199</f>
      </c>
      <c r="B4206" s="5" t="s">
        <v>4214</v>
      </c>
      <c r="C4206" s="5">
        <v>99.3</v>
      </c>
      <c r="D4206" s="5">
        <v>0.1</v>
      </c>
      <c r="E4206" s="5">
        <v>99.4</v>
      </c>
      <c r="F4206" s="5">
        <v>198</v>
      </c>
      <c r="G4206" s="5">
        <v>98.8</v>
      </c>
      <c r="H4206" s="5">
        <v>98.7</v>
      </c>
      <c r="I4206" s="5">
        <v>0</v>
      </c>
      <c r="J4206" s="5">
        <v>0</v>
      </c>
      <c r="K4206" s="5">
        <v>0</v>
      </c>
    </row>
    <row r="4207" spans="1:11" x14ac:dyDescent="0.25">
      <c r="A4207" s="5">
        <f>4200</f>
      </c>
      <c r="B4207" s="5" t="s">
        <v>4215</v>
      </c>
      <c r="C4207" s="5">
        <v>99.3</v>
      </c>
      <c r="D4207" s="5">
        <v>0.1</v>
      </c>
      <c r="E4207" s="5">
        <v>99.4</v>
      </c>
      <c r="F4207" s="5">
        <v>198</v>
      </c>
      <c r="G4207" s="5">
        <v>98.8</v>
      </c>
      <c r="H4207" s="5">
        <v>98.7</v>
      </c>
      <c r="I4207" s="5">
        <v>0</v>
      </c>
      <c r="J4207" s="5">
        <v>0</v>
      </c>
      <c r="K4207" s="5">
        <v>0</v>
      </c>
    </row>
    <row r="4208" spans="1:11" x14ac:dyDescent="0.25">
      <c r="A4208" s="5">
        <f>4201</f>
      </c>
      <c r="B4208" s="5" t="s">
        <v>4216</v>
      </c>
      <c r="C4208" s="5">
        <v>99.4</v>
      </c>
      <c r="D4208" s="5">
        <v>0.1</v>
      </c>
      <c r="E4208" s="5">
        <v>99.5</v>
      </c>
      <c r="F4208" s="5">
        <v>198.2</v>
      </c>
      <c r="G4208" s="5">
        <v>98.9</v>
      </c>
      <c r="H4208" s="5">
        <v>98.8</v>
      </c>
      <c r="I4208" s="5">
        <v>0</v>
      </c>
      <c r="J4208" s="5">
        <v>0</v>
      </c>
      <c r="K4208" s="5">
        <v>0</v>
      </c>
    </row>
    <row r="4209" spans="1:11" x14ac:dyDescent="0.25">
      <c r="A4209" s="5">
        <f>4202</f>
      </c>
      <c r="B4209" s="5" t="s">
        <v>4217</v>
      </c>
      <c r="C4209" s="5">
        <v>99.4</v>
      </c>
      <c r="D4209" s="5">
        <v>0.1</v>
      </c>
      <c r="E4209" s="5">
        <v>99.5</v>
      </c>
      <c r="F4209" s="5">
        <v>198.2</v>
      </c>
      <c r="G4209" s="5">
        <v>98.9</v>
      </c>
      <c r="H4209" s="5">
        <v>98.8</v>
      </c>
      <c r="I4209" s="5">
        <v>0</v>
      </c>
      <c r="J4209" s="5">
        <v>0</v>
      </c>
      <c r="K4209" s="5">
        <v>0</v>
      </c>
    </row>
    <row r="4210" spans="1:11" x14ac:dyDescent="0.25">
      <c r="A4210" s="5">
        <f>4203</f>
      </c>
      <c r="B4210" s="5" t="s">
        <v>4218</v>
      </c>
      <c r="C4210" s="5">
        <v>99.2</v>
      </c>
      <c r="D4210" s="5">
        <v>0.1</v>
      </c>
      <c r="E4210" s="5">
        <v>99.4</v>
      </c>
      <c r="F4210" s="5">
        <v>198</v>
      </c>
      <c r="G4210" s="5">
        <v>98.9</v>
      </c>
      <c r="H4210" s="5">
        <v>98.8</v>
      </c>
      <c r="I4210" s="5">
        <v>0</v>
      </c>
      <c r="J4210" s="5">
        <v>0</v>
      </c>
      <c r="K4210" s="5">
        <v>0</v>
      </c>
    </row>
    <row r="4211" spans="1:11" x14ac:dyDescent="0.25">
      <c r="A4211" s="5">
        <f>4204</f>
      </c>
      <c r="B4211" s="5" t="s">
        <v>4219</v>
      </c>
      <c r="C4211" s="5">
        <v>99.2</v>
      </c>
      <c r="D4211" s="5">
        <v>0.1</v>
      </c>
      <c r="E4211" s="5">
        <v>99.4</v>
      </c>
      <c r="F4211" s="5">
        <v>198</v>
      </c>
      <c r="G4211" s="5">
        <v>98.8</v>
      </c>
      <c r="H4211" s="5">
        <v>98.7</v>
      </c>
      <c r="I4211" s="5">
        <v>0</v>
      </c>
      <c r="J4211" s="5">
        <v>0</v>
      </c>
      <c r="K4211" s="5">
        <v>0</v>
      </c>
    </row>
    <row r="4212" spans="1:11" x14ac:dyDescent="0.25">
      <c r="A4212" s="5">
        <f>4205</f>
      </c>
      <c r="B4212" s="5" t="s">
        <v>4220</v>
      </c>
      <c r="C4212" s="5">
        <v>99.2</v>
      </c>
      <c r="D4212" s="5">
        <v>0.1</v>
      </c>
      <c r="E4212" s="5">
        <v>99.4</v>
      </c>
      <c r="F4212" s="5">
        <v>198</v>
      </c>
      <c r="G4212" s="5">
        <v>98.8</v>
      </c>
      <c r="H4212" s="5">
        <v>98.7</v>
      </c>
      <c r="I4212" s="5">
        <v>0</v>
      </c>
      <c r="J4212" s="5">
        <v>0</v>
      </c>
      <c r="K4212" s="5">
        <v>0</v>
      </c>
    </row>
    <row r="4213" spans="1:11" x14ac:dyDescent="0.25">
      <c r="A4213" s="5">
        <f>4206</f>
      </c>
      <c r="B4213" s="5" t="s">
        <v>4221</v>
      </c>
      <c r="C4213" s="5">
        <v>99.2</v>
      </c>
      <c r="D4213" s="5">
        <v>0.1</v>
      </c>
      <c r="E4213" s="5">
        <v>99.4</v>
      </c>
      <c r="F4213" s="5">
        <v>198</v>
      </c>
      <c r="G4213" s="5">
        <v>98.8</v>
      </c>
      <c r="H4213" s="5">
        <v>98.7</v>
      </c>
      <c r="I4213" s="5">
        <v>0</v>
      </c>
      <c r="J4213" s="5">
        <v>0</v>
      </c>
      <c r="K4213" s="5">
        <v>0</v>
      </c>
    </row>
    <row r="4214" spans="1:11" x14ac:dyDescent="0.25">
      <c r="A4214" s="5">
        <f>4207</f>
      </c>
      <c r="B4214" s="5" t="s">
        <v>4222</v>
      </c>
      <c r="C4214" s="5">
        <v>101.7</v>
      </c>
      <c r="D4214" s="5">
        <v>0.1</v>
      </c>
      <c r="E4214" s="5">
        <v>99.4</v>
      </c>
      <c r="F4214" s="5">
        <v>198</v>
      </c>
      <c r="G4214" s="5">
        <v>98.8</v>
      </c>
      <c r="H4214" s="5">
        <v>98.7</v>
      </c>
      <c r="I4214" s="5">
        <v>0</v>
      </c>
      <c r="J4214" s="5">
        <v>0</v>
      </c>
      <c r="K4214" s="5">
        <v>0</v>
      </c>
    </row>
    <row r="4215" spans="1:11" x14ac:dyDescent="0.25">
      <c r="A4215" s="5">
        <f>4208</f>
      </c>
      <c r="B4215" s="5" t="s">
        <v>4223</v>
      </c>
      <c r="C4215" s="5">
        <v>101.7</v>
      </c>
      <c r="D4215" s="5">
        <v>0.1</v>
      </c>
      <c r="E4215" s="5">
        <v>101.8</v>
      </c>
      <c r="F4215" s="5">
        <v>203.2</v>
      </c>
      <c r="G4215" s="5">
        <v>101.4</v>
      </c>
      <c r="H4215" s="5">
        <v>101.2</v>
      </c>
      <c r="I4215" s="5">
        <v>0</v>
      </c>
      <c r="J4215" s="5">
        <v>0</v>
      </c>
      <c r="K4215" s="5">
        <v>0</v>
      </c>
    </row>
    <row r="4216" spans="1:11" x14ac:dyDescent="0.25">
      <c r="A4216" s="5">
        <f>4209</f>
      </c>
      <c r="B4216" s="5" t="s">
        <v>4224</v>
      </c>
      <c r="C4216" s="5">
        <v>101.7</v>
      </c>
      <c r="D4216" s="5">
        <v>0.1</v>
      </c>
      <c r="E4216" s="5">
        <v>101.8</v>
      </c>
      <c r="F4216" s="5">
        <v>203.2</v>
      </c>
      <c r="G4216" s="5">
        <v>101.4</v>
      </c>
      <c r="H4216" s="5">
        <v>101.2</v>
      </c>
      <c r="I4216" s="5">
        <v>0</v>
      </c>
      <c r="J4216" s="5">
        <v>0</v>
      </c>
      <c r="K4216" s="5">
        <v>0</v>
      </c>
    </row>
    <row r="4217" spans="1:11" x14ac:dyDescent="0.25">
      <c r="A4217" s="5">
        <f>4210</f>
      </c>
      <c r="B4217" s="5" t="s">
        <v>4225</v>
      </c>
      <c r="C4217" s="5">
        <v>101.6</v>
      </c>
      <c r="D4217" s="5">
        <v>0.1</v>
      </c>
      <c r="E4217" s="5">
        <v>101.8</v>
      </c>
      <c r="F4217" s="5">
        <v>203.1</v>
      </c>
      <c r="G4217" s="5">
        <v>101.3</v>
      </c>
      <c r="H4217" s="5">
        <v>101.2</v>
      </c>
      <c r="I4217" s="5">
        <v>0</v>
      </c>
      <c r="J4217" s="5">
        <v>0</v>
      </c>
      <c r="K4217" s="5">
        <v>0</v>
      </c>
    </row>
    <row r="4218" spans="1:11" x14ac:dyDescent="0.25">
      <c r="A4218" s="5">
        <f>4211</f>
      </c>
      <c r="B4218" s="5" t="s">
        <v>4226</v>
      </c>
      <c r="C4218" s="5">
        <v>101.6</v>
      </c>
      <c r="D4218" s="5">
        <v>0.1</v>
      </c>
      <c r="E4218" s="5">
        <v>101.8</v>
      </c>
      <c r="F4218" s="5">
        <v>203.1</v>
      </c>
      <c r="G4218" s="5">
        <v>101.3</v>
      </c>
      <c r="H4218" s="5">
        <v>101.2</v>
      </c>
      <c r="I4218" s="5">
        <v>0</v>
      </c>
      <c r="J4218" s="5">
        <v>0</v>
      </c>
      <c r="K4218" s="5">
        <v>0</v>
      </c>
    </row>
    <row r="4219" spans="1:11" x14ac:dyDescent="0.25">
      <c r="A4219" s="5">
        <f>4212</f>
      </c>
      <c r="B4219" s="5" t="s">
        <v>4227</v>
      </c>
      <c r="C4219" s="5">
        <v>101.4</v>
      </c>
      <c r="D4219" s="5">
        <v>0.1</v>
      </c>
      <c r="E4219" s="5">
        <v>101.5</v>
      </c>
      <c r="F4219" s="5">
        <v>202.1</v>
      </c>
      <c r="G4219" s="5">
        <v>100.8</v>
      </c>
      <c r="H4219" s="5">
        <v>100.7</v>
      </c>
      <c r="I4219" s="5">
        <v>0</v>
      </c>
      <c r="J4219" s="5">
        <v>0</v>
      </c>
      <c r="K4219" s="5">
        <v>0</v>
      </c>
    </row>
    <row r="4220" spans="1:11" x14ac:dyDescent="0.25">
      <c r="A4220" s="5">
        <f>4213</f>
      </c>
      <c r="B4220" s="5" t="s">
        <v>4228</v>
      </c>
      <c r="C4220" s="5">
        <v>101.4</v>
      </c>
      <c r="D4220" s="5">
        <v>0.1</v>
      </c>
      <c r="E4220" s="5">
        <v>101.5</v>
      </c>
      <c r="F4220" s="5">
        <v>202.1</v>
      </c>
      <c r="G4220" s="5">
        <v>100.8</v>
      </c>
      <c r="H4220" s="5">
        <v>100.7</v>
      </c>
      <c r="I4220" s="5">
        <v>0</v>
      </c>
      <c r="J4220" s="5">
        <v>0</v>
      </c>
      <c r="K4220" s="5">
        <v>0</v>
      </c>
    </row>
    <row r="4221" spans="1:11" x14ac:dyDescent="0.25">
      <c r="A4221" s="5">
        <f>4214</f>
      </c>
      <c r="B4221" s="5" t="s">
        <v>4229</v>
      </c>
      <c r="C4221" s="5">
        <v>101.1</v>
      </c>
      <c r="D4221" s="5">
        <v>0.1</v>
      </c>
      <c r="E4221" s="5">
        <v>101.3</v>
      </c>
      <c r="F4221" s="5">
        <v>202.5</v>
      </c>
      <c r="G4221" s="5">
        <v>101</v>
      </c>
      <c r="H4221" s="5">
        <v>100.8</v>
      </c>
      <c r="I4221" s="5">
        <v>0</v>
      </c>
      <c r="J4221" s="5">
        <v>0</v>
      </c>
      <c r="K4221" s="5">
        <v>0</v>
      </c>
    </row>
    <row r="4222" spans="1:11" x14ac:dyDescent="0.25">
      <c r="A4222" s="5">
        <f>4215</f>
      </c>
      <c r="B4222" s="5" t="s">
        <v>4230</v>
      </c>
      <c r="C4222" s="5">
        <v>101.1</v>
      </c>
      <c r="D4222" s="5">
        <v>0.1</v>
      </c>
      <c r="E4222" s="5">
        <v>101.3</v>
      </c>
      <c r="F4222" s="5">
        <v>202.5</v>
      </c>
      <c r="G4222" s="5">
        <v>101</v>
      </c>
      <c r="H4222" s="5">
        <v>100.8</v>
      </c>
      <c r="I4222" s="5">
        <v>0</v>
      </c>
      <c r="J4222" s="5">
        <v>0</v>
      </c>
      <c r="K4222" s="5">
        <v>0</v>
      </c>
    </row>
    <row r="4223" spans="1:11" x14ac:dyDescent="0.25">
      <c r="A4223" s="5">
        <f>4216</f>
      </c>
      <c r="B4223" s="5" t="s">
        <v>4231</v>
      </c>
      <c r="C4223" s="5">
        <v>101.1</v>
      </c>
      <c r="D4223" s="5">
        <v>0.1</v>
      </c>
      <c r="E4223" s="5">
        <v>101.3</v>
      </c>
      <c r="F4223" s="5">
        <v>202.5</v>
      </c>
      <c r="G4223" s="5">
        <v>101</v>
      </c>
      <c r="H4223" s="5">
        <v>100.8</v>
      </c>
      <c r="I4223" s="5">
        <v>0</v>
      </c>
      <c r="J4223" s="5">
        <v>0</v>
      </c>
      <c r="K4223" s="5">
        <v>0</v>
      </c>
    </row>
    <row r="4224" spans="1:11" x14ac:dyDescent="0.25">
      <c r="A4224" s="5">
        <f>4217</f>
      </c>
      <c r="B4224" s="5" t="s">
        <v>4232</v>
      </c>
      <c r="C4224" s="5">
        <v>101.1</v>
      </c>
      <c r="D4224" s="5">
        <v>0.1</v>
      </c>
      <c r="E4224" s="5">
        <v>102.1</v>
      </c>
      <c r="F4224" s="5">
        <v>204.1</v>
      </c>
      <c r="G4224" s="5">
        <v>101.8</v>
      </c>
      <c r="H4224" s="5">
        <v>101.6</v>
      </c>
      <c r="I4224" s="5">
        <v>0</v>
      </c>
      <c r="J4224" s="5">
        <v>0</v>
      </c>
      <c r="K4224" s="5">
        <v>0</v>
      </c>
    </row>
    <row r="4225" spans="1:11" x14ac:dyDescent="0.25">
      <c r="A4225" s="5">
        <f>4218</f>
      </c>
      <c r="B4225" s="5" t="s">
        <v>4233</v>
      </c>
      <c r="C4225" s="5">
        <v>102</v>
      </c>
      <c r="D4225" s="5">
        <v>0.1</v>
      </c>
      <c r="E4225" s="5">
        <v>102.1</v>
      </c>
      <c r="F4225" s="5">
        <v>204.1</v>
      </c>
      <c r="G4225" s="5">
        <v>101.8</v>
      </c>
      <c r="H4225" s="5">
        <v>101.6</v>
      </c>
      <c r="I4225" s="5">
        <v>0</v>
      </c>
      <c r="J4225" s="5">
        <v>0</v>
      </c>
      <c r="K4225" s="5">
        <v>0</v>
      </c>
    </row>
    <row r="4226" spans="1:11" x14ac:dyDescent="0.25">
      <c r="A4226" s="5">
        <f>4219</f>
      </c>
      <c r="B4226" s="5" t="s">
        <v>4234</v>
      </c>
      <c r="C4226" s="5">
        <v>102</v>
      </c>
      <c r="D4226" s="5">
        <v>0.1</v>
      </c>
      <c r="E4226" s="5">
        <v>102.5</v>
      </c>
      <c r="F4226" s="5">
        <v>204.6</v>
      </c>
      <c r="G4226" s="5">
        <v>102</v>
      </c>
      <c r="H4226" s="5">
        <v>101.9</v>
      </c>
      <c r="I4226" s="5">
        <v>0</v>
      </c>
      <c r="J4226" s="5">
        <v>0</v>
      </c>
      <c r="K4226" s="5">
        <v>0</v>
      </c>
    </row>
    <row r="4227" spans="1:11" x14ac:dyDescent="0.25">
      <c r="A4227" s="5">
        <f>4220</f>
      </c>
      <c r="B4227" s="5" t="s">
        <v>4235</v>
      </c>
      <c r="C4227" s="5">
        <v>102.4</v>
      </c>
      <c r="D4227" s="5">
        <v>0.1</v>
      </c>
      <c r="E4227" s="5">
        <v>102.5</v>
      </c>
      <c r="F4227" s="5">
        <v>204.6</v>
      </c>
      <c r="G4227" s="5">
        <v>102</v>
      </c>
      <c r="H4227" s="5">
        <v>101.9</v>
      </c>
      <c r="I4227" s="5">
        <v>0</v>
      </c>
      <c r="J4227" s="5">
        <v>0</v>
      </c>
      <c r="K4227" s="5">
        <v>0</v>
      </c>
    </row>
    <row r="4228" spans="1:11" x14ac:dyDescent="0.25">
      <c r="A4228" s="5">
        <f>4221</f>
      </c>
      <c r="B4228" s="5" t="s">
        <v>4236</v>
      </c>
      <c r="C4228" s="5">
        <v>102.4</v>
      </c>
      <c r="D4228" s="5">
        <v>0.1</v>
      </c>
      <c r="E4228" s="5">
        <v>102.5</v>
      </c>
      <c r="F4228" s="5">
        <v>204.9</v>
      </c>
      <c r="G4228" s="5">
        <v>102.2</v>
      </c>
      <c r="H4228" s="5">
        <v>102.1</v>
      </c>
      <c r="I4228" s="5">
        <v>0</v>
      </c>
      <c r="J4228" s="5">
        <v>0</v>
      </c>
      <c r="K4228" s="5">
        <v>0</v>
      </c>
    </row>
    <row r="4229" spans="1:11" x14ac:dyDescent="0.25">
      <c r="A4229" s="5">
        <f>4222</f>
      </c>
      <c r="B4229" s="5" t="s">
        <v>4237</v>
      </c>
      <c r="C4229" s="5">
        <v>102.3</v>
      </c>
      <c r="D4229" s="5">
        <v>0.1</v>
      </c>
      <c r="E4229" s="5">
        <v>102.4</v>
      </c>
      <c r="F4229" s="5">
        <v>204.9</v>
      </c>
      <c r="G4229" s="5">
        <v>102.2</v>
      </c>
      <c r="H4229" s="5">
        <v>102.1</v>
      </c>
      <c r="I4229" s="5">
        <v>0</v>
      </c>
      <c r="J4229" s="5">
        <v>0</v>
      </c>
      <c r="K4229" s="5">
        <v>0</v>
      </c>
    </row>
    <row r="4230" spans="1:11" x14ac:dyDescent="0.25">
      <c r="A4230" s="5">
        <f>4223</f>
      </c>
      <c r="B4230" s="5" t="s">
        <v>4238</v>
      </c>
      <c r="C4230" s="5">
        <v>102.3</v>
      </c>
      <c r="D4230" s="5">
        <v>0.1</v>
      </c>
      <c r="E4230" s="5">
        <v>102.4</v>
      </c>
      <c r="F4230" s="5">
        <v>204.9</v>
      </c>
      <c r="G4230" s="5">
        <v>102.2</v>
      </c>
      <c r="H4230" s="5">
        <v>101.4</v>
      </c>
      <c r="I4230" s="5">
        <v>0</v>
      </c>
      <c r="J4230" s="5">
        <v>0</v>
      </c>
      <c r="K4230" s="5">
        <v>0</v>
      </c>
    </row>
    <row r="4231" spans="1:11" x14ac:dyDescent="0.25">
      <c r="A4231" s="5">
        <f>4224</f>
      </c>
      <c r="B4231" s="5" t="s">
        <v>4239</v>
      </c>
      <c r="C4231" s="5">
        <v>102.6</v>
      </c>
      <c r="D4231" s="5">
        <v>0.1</v>
      </c>
      <c r="E4231" s="5">
        <v>102.7</v>
      </c>
      <c r="F4231" s="5">
        <v>203.4</v>
      </c>
      <c r="G4231" s="5">
        <v>101.5</v>
      </c>
      <c r="H4231" s="5">
        <v>101.4</v>
      </c>
      <c r="I4231" s="5">
        <v>0</v>
      </c>
      <c r="J4231" s="5">
        <v>0</v>
      </c>
      <c r="K4231" s="5">
        <v>0</v>
      </c>
    </row>
    <row r="4232" spans="1:11" x14ac:dyDescent="0.25">
      <c r="A4232" s="5">
        <f>4225</f>
      </c>
      <c r="B4232" s="5" t="s">
        <v>4240</v>
      </c>
      <c r="C4232" s="5">
        <v>102.6</v>
      </c>
      <c r="D4232" s="5">
        <v>0.1</v>
      </c>
      <c r="E4232" s="5">
        <v>102.7</v>
      </c>
      <c r="F4232" s="5">
        <v>203.4</v>
      </c>
      <c r="G4232" s="5">
        <v>101.5</v>
      </c>
      <c r="H4232" s="5">
        <v>101.4</v>
      </c>
      <c r="I4232" s="5">
        <v>0</v>
      </c>
      <c r="J4232" s="5">
        <v>0</v>
      </c>
      <c r="K4232" s="5">
        <v>0</v>
      </c>
    </row>
    <row r="4233" spans="1:11" x14ac:dyDescent="0.25">
      <c r="A4233" s="5">
        <f>4226</f>
      </c>
      <c r="B4233" s="5" t="s">
        <v>4241</v>
      </c>
      <c r="C4233" s="5">
        <v>102.6</v>
      </c>
      <c r="D4233" s="5">
        <v>0.1</v>
      </c>
      <c r="E4233" s="5">
        <v>102.7</v>
      </c>
      <c r="F4233" s="5">
        <v>203.4</v>
      </c>
      <c r="G4233" s="5">
        <v>101.5</v>
      </c>
      <c r="H4233" s="5">
        <v>101.4</v>
      </c>
      <c r="I4233" s="5">
        <v>0</v>
      </c>
      <c r="J4233" s="5">
        <v>0</v>
      </c>
      <c r="K4233" s="5">
        <v>0</v>
      </c>
    </row>
    <row r="4234" spans="1:11" x14ac:dyDescent="0.25">
      <c r="A4234" s="5">
        <f>4227</f>
      </c>
      <c r="B4234" s="5" t="s">
        <v>4242</v>
      </c>
      <c r="C4234" s="5">
        <v>101.6</v>
      </c>
      <c r="D4234" s="5">
        <v>0.1</v>
      </c>
      <c r="E4234" s="5">
        <v>101.8</v>
      </c>
      <c r="F4234" s="5">
        <v>203</v>
      </c>
      <c r="G4234" s="5">
        <v>101.3</v>
      </c>
      <c r="H4234" s="5">
        <v>101.2</v>
      </c>
      <c r="I4234" s="5">
        <v>0</v>
      </c>
      <c r="J4234" s="5">
        <v>0</v>
      </c>
      <c r="K4234" s="5">
        <v>0</v>
      </c>
    </row>
    <row r="4235" spans="1:11" x14ac:dyDescent="0.25">
      <c r="A4235" s="5">
        <f>4228</f>
      </c>
      <c r="B4235" s="5" t="s">
        <v>4243</v>
      </c>
      <c r="C4235" s="5">
        <v>101.6</v>
      </c>
      <c r="D4235" s="5">
        <v>0.1</v>
      </c>
      <c r="E4235" s="5">
        <v>101.8</v>
      </c>
      <c r="F4235" s="5">
        <v>203</v>
      </c>
      <c r="G4235" s="5">
        <v>101.3</v>
      </c>
      <c r="H4235" s="5">
        <v>101.2</v>
      </c>
      <c r="I4235" s="5">
        <v>0</v>
      </c>
      <c r="J4235" s="5">
        <v>0</v>
      </c>
      <c r="K4235" s="5">
        <v>0</v>
      </c>
    </row>
    <row r="4236" spans="1:11" x14ac:dyDescent="0.25">
      <c r="A4236" s="5">
        <f>4229</f>
      </c>
      <c r="B4236" s="5" t="s">
        <v>4244</v>
      </c>
      <c r="C4236" s="5">
        <v>101.5</v>
      </c>
      <c r="D4236" s="5">
        <v>0.1</v>
      </c>
      <c r="E4236" s="5">
        <v>101.6</v>
      </c>
      <c r="F4236" s="5">
        <v>203.2</v>
      </c>
      <c r="G4236" s="5">
        <v>101.4</v>
      </c>
      <c r="H4236" s="5">
        <v>101.2</v>
      </c>
      <c r="I4236" s="5">
        <v>0</v>
      </c>
      <c r="J4236" s="5">
        <v>0</v>
      </c>
      <c r="K4236" s="5">
        <v>0</v>
      </c>
    </row>
    <row r="4237" spans="1:11" x14ac:dyDescent="0.25">
      <c r="A4237" s="5">
        <f>4230</f>
      </c>
      <c r="B4237" s="5" t="s">
        <v>4245</v>
      </c>
      <c r="C4237" s="5">
        <v>101.5</v>
      </c>
      <c r="D4237" s="5">
        <v>0.1</v>
      </c>
      <c r="E4237" s="5">
        <v>101.6</v>
      </c>
      <c r="F4237" s="5">
        <v>203.2</v>
      </c>
      <c r="G4237" s="5">
        <v>101.4</v>
      </c>
      <c r="H4237" s="5">
        <v>101.2</v>
      </c>
      <c r="I4237" s="5">
        <v>0</v>
      </c>
      <c r="J4237" s="5">
        <v>0</v>
      </c>
      <c r="K4237" s="5">
        <v>0</v>
      </c>
    </row>
    <row r="4238" spans="1:11" x14ac:dyDescent="0.25">
      <c r="A4238" s="5">
        <f>4231</f>
      </c>
      <c r="B4238" s="5" t="s">
        <v>4246</v>
      </c>
      <c r="C4238" s="5">
        <v>102.1</v>
      </c>
      <c r="D4238" s="5">
        <v>0.1</v>
      </c>
      <c r="E4238" s="5">
        <v>102.3</v>
      </c>
      <c r="F4238" s="5">
        <v>203.4</v>
      </c>
      <c r="G4238" s="5">
        <v>101.5</v>
      </c>
      <c r="H4238" s="5">
        <v>101.4</v>
      </c>
      <c r="I4238" s="5">
        <v>0</v>
      </c>
      <c r="J4238" s="5">
        <v>0</v>
      </c>
      <c r="K4238" s="5">
        <v>0</v>
      </c>
    </row>
    <row r="4239" spans="1:11" x14ac:dyDescent="0.25">
      <c r="A4239" s="5">
        <f>4232</f>
      </c>
      <c r="B4239" s="5" t="s">
        <v>4247</v>
      </c>
      <c r="C4239" s="5">
        <v>102.1</v>
      </c>
      <c r="D4239" s="5">
        <v>0.1</v>
      </c>
      <c r="E4239" s="5">
        <v>102.3</v>
      </c>
      <c r="F4239" s="5">
        <v>203.4</v>
      </c>
      <c r="G4239" s="5">
        <v>101.5</v>
      </c>
      <c r="H4239" s="5">
        <v>101.4</v>
      </c>
      <c r="I4239" s="5">
        <v>0</v>
      </c>
      <c r="J4239" s="5">
        <v>0</v>
      </c>
      <c r="K4239" s="5">
        <v>0</v>
      </c>
    </row>
    <row r="4240" spans="1:11" x14ac:dyDescent="0.25">
      <c r="A4240" s="5">
        <f>4233</f>
      </c>
      <c r="B4240" s="5" t="s">
        <v>4248</v>
      </c>
      <c r="C4240" s="5">
        <v>102.4</v>
      </c>
      <c r="D4240" s="5">
        <v>0.1</v>
      </c>
      <c r="E4240" s="5">
        <v>102.6</v>
      </c>
      <c r="F4240" s="5">
        <v>204.9</v>
      </c>
      <c r="G4240" s="5">
        <v>102.2</v>
      </c>
      <c r="H4240" s="5">
        <v>102.1</v>
      </c>
      <c r="I4240" s="5">
        <v>0</v>
      </c>
      <c r="J4240" s="5">
        <v>0</v>
      </c>
      <c r="K4240" s="5">
        <v>0</v>
      </c>
    </row>
    <row r="4241" spans="1:11" x14ac:dyDescent="0.25">
      <c r="A4241" s="5">
        <f>4234</f>
      </c>
      <c r="B4241" s="5" t="s">
        <v>4249</v>
      </c>
      <c r="C4241" s="5">
        <v>102.4</v>
      </c>
      <c r="D4241" s="5">
        <v>0.1</v>
      </c>
      <c r="E4241" s="5">
        <v>102.6</v>
      </c>
      <c r="F4241" s="5">
        <v>204.9</v>
      </c>
      <c r="G4241" s="5">
        <v>102.2</v>
      </c>
      <c r="H4241" s="5">
        <v>102.1</v>
      </c>
      <c r="I4241" s="5">
        <v>0</v>
      </c>
      <c r="J4241" s="5">
        <v>0</v>
      </c>
      <c r="K4241" s="5">
        <v>0</v>
      </c>
    </row>
    <row r="4242" spans="1:11" x14ac:dyDescent="0.25">
      <c r="A4242" s="5">
        <f>4235</f>
      </c>
      <c r="B4242" s="5" t="s">
        <v>4250</v>
      </c>
      <c r="C4242" s="5">
        <v>102.4</v>
      </c>
      <c r="D4242" s="5">
        <v>0.1</v>
      </c>
      <c r="E4242" s="5">
        <v>102.6</v>
      </c>
      <c r="F4242" s="5">
        <v>204.9</v>
      </c>
      <c r="G4242" s="5">
        <v>102.2</v>
      </c>
      <c r="H4242" s="5">
        <v>102.1</v>
      </c>
      <c r="I4242" s="5">
        <v>0</v>
      </c>
      <c r="J4242" s="5">
        <v>0</v>
      </c>
      <c r="K4242" s="5">
        <v>0</v>
      </c>
    </row>
    <row r="4243" spans="1:11" x14ac:dyDescent="0.25">
      <c r="A4243" s="5">
        <f>4236</f>
      </c>
      <c r="B4243" s="5" t="s">
        <v>4251</v>
      </c>
      <c r="C4243" s="5">
        <v>102.4</v>
      </c>
      <c r="D4243" s="5">
        <v>0.1</v>
      </c>
      <c r="E4243" s="5">
        <v>102.6</v>
      </c>
      <c r="F4243" s="5">
        <v>204.9</v>
      </c>
      <c r="G4243" s="5">
        <v>102.2</v>
      </c>
      <c r="H4243" s="5">
        <v>102.1</v>
      </c>
      <c r="I4243" s="5">
        <v>0</v>
      </c>
      <c r="J4243" s="5">
        <v>0</v>
      </c>
      <c r="K4243" s="5">
        <v>0</v>
      </c>
    </row>
    <row r="4244" spans="1:11" x14ac:dyDescent="0.25">
      <c r="A4244" s="5">
        <f>4237</f>
      </c>
      <c r="B4244" s="5" t="s">
        <v>4252</v>
      </c>
      <c r="C4244" s="5">
        <v>101.8</v>
      </c>
      <c r="D4244" s="5">
        <v>0.1</v>
      </c>
      <c r="E4244" s="5">
        <v>102</v>
      </c>
      <c r="F4244" s="5">
        <v>202.8</v>
      </c>
      <c r="G4244" s="5">
        <v>101.2</v>
      </c>
      <c r="H4244" s="5">
        <v>101</v>
      </c>
      <c r="I4244" s="5">
        <v>0</v>
      </c>
      <c r="J4244" s="5">
        <v>0</v>
      </c>
      <c r="K4244" s="5">
        <v>0</v>
      </c>
    </row>
    <row r="4245" spans="1:11" x14ac:dyDescent="0.25">
      <c r="A4245" s="5">
        <f>4238</f>
      </c>
      <c r="B4245" s="5" t="s">
        <v>4253</v>
      </c>
      <c r="C4245" s="5">
        <v>101.8</v>
      </c>
      <c r="D4245" s="5">
        <v>0.1</v>
      </c>
      <c r="E4245" s="5">
        <v>102</v>
      </c>
      <c r="F4245" s="5">
        <v>202.8</v>
      </c>
      <c r="G4245" s="5">
        <v>101.2</v>
      </c>
      <c r="H4245" s="5">
        <v>101</v>
      </c>
      <c r="I4245" s="5">
        <v>0</v>
      </c>
      <c r="J4245" s="5">
        <v>0</v>
      </c>
      <c r="K4245" s="5">
        <v>0</v>
      </c>
    </row>
    <row r="4246" spans="1:11" x14ac:dyDescent="0.25">
      <c r="A4246" s="5">
        <f>4239</f>
      </c>
      <c r="B4246" s="5" t="s">
        <v>4254</v>
      </c>
      <c r="C4246" s="5">
        <v>101.8</v>
      </c>
      <c r="D4246" s="5">
        <v>0.1</v>
      </c>
      <c r="E4246" s="5">
        <v>101.9</v>
      </c>
      <c r="F4246" s="5">
        <v>203.8</v>
      </c>
      <c r="G4246" s="5">
        <v>101.7</v>
      </c>
      <c r="H4246" s="5">
        <v>101.5</v>
      </c>
      <c r="I4246" s="5">
        <v>0</v>
      </c>
      <c r="J4246" s="5">
        <v>0</v>
      </c>
      <c r="K4246" s="5">
        <v>0</v>
      </c>
    </row>
    <row r="4247" spans="1:11" x14ac:dyDescent="0.25">
      <c r="A4247" s="5">
        <f>4240</f>
      </c>
      <c r="B4247" s="5" t="s">
        <v>4255</v>
      </c>
      <c r="C4247" s="5">
        <v>101.8</v>
      </c>
      <c r="D4247" s="5">
        <v>0.1</v>
      </c>
      <c r="E4247" s="5">
        <v>101.9</v>
      </c>
      <c r="F4247" s="5">
        <v>203.8</v>
      </c>
      <c r="G4247" s="5">
        <v>101.7</v>
      </c>
      <c r="H4247" s="5">
        <v>101.5</v>
      </c>
      <c r="I4247" s="5">
        <v>0</v>
      </c>
      <c r="J4247" s="5">
        <v>0</v>
      </c>
      <c r="K4247" s="5">
        <v>0</v>
      </c>
    </row>
    <row r="4248" spans="1:11" x14ac:dyDescent="0.25">
      <c r="A4248" s="5">
        <f>4241</f>
      </c>
      <c r="B4248" s="5" t="s">
        <v>4256</v>
      </c>
      <c r="C4248" s="5">
        <v>102.4</v>
      </c>
      <c r="D4248" s="5">
        <v>0.1</v>
      </c>
      <c r="E4248" s="5">
        <v>102.6</v>
      </c>
      <c r="F4248" s="5">
        <v>203.8</v>
      </c>
      <c r="G4248" s="5">
        <v>101.7</v>
      </c>
      <c r="H4248" s="5">
        <v>101.5</v>
      </c>
      <c r="I4248" s="5">
        <v>0</v>
      </c>
      <c r="J4248" s="5">
        <v>0</v>
      </c>
      <c r="K4248" s="5">
        <v>0</v>
      </c>
    </row>
    <row r="4249" spans="1:11" x14ac:dyDescent="0.25">
      <c r="A4249" s="5">
        <f>4242</f>
      </c>
      <c r="B4249" s="5" t="s">
        <v>4257</v>
      </c>
      <c r="C4249" s="5">
        <v>102.4</v>
      </c>
      <c r="D4249" s="5">
        <v>0.1</v>
      </c>
      <c r="E4249" s="5">
        <v>102.6</v>
      </c>
      <c r="F4249" s="5">
        <v>203.8</v>
      </c>
      <c r="G4249" s="5">
        <v>101.7</v>
      </c>
      <c r="H4249" s="5">
        <v>101.5</v>
      </c>
      <c r="I4249" s="5">
        <v>0</v>
      </c>
      <c r="J4249" s="5">
        <v>0</v>
      </c>
      <c r="K4249" s="5">
        <v>0</v>
      </c>
    </row>
    <row r="4250" spans="1:11" x14ac:dyDescent="0.25">
      <c r="A4250" s="5">
        <f>4243</f>
      </c>
      <c r="B4250" s="5" t="s">
        <v>4258</v>
      </c>
      <c r="C4250" s="5">
        <v>101.9</v>
      </c>
      <c r="D4250" s="5">
        <v>0.1</v>
      </c>
      <c r="E4250" s="5">
        <v>102.1</v>
      </c>
      <c r="F4250" s="5">
        <v>203.2</v>
      </c>
      <c r="G4250" s="5">
        <v>101.4</v>
      </c>
      <c r="H4250" s="5">
        <v>101.2</v>
      </c>
      <c r="I4250" s="5">
        <v>0</v>
      </c>
      <c r="J4250" s="5">
        <v>0</v>
      </c>
      <c r="K4250" s="5">
        <v>0</v>
      </c>
    </row>
    <row r="4251" spans="1:11" x14ac:dyDescent="0.25">
      <c r="A4251" s="5">
        <f>4244</f>
      </c>
      <c r="B4251" s="5" t="s">
        <v>4259</v>
      </c>
      <c r="C4251" s="5">
        <v>101.9</v>
      </c>
      <c r="D4251" s="5">
        <v>0.1</v>
      </c>
      <c r="E4251" s="5">
        <v>102.1</v>
      </c>
      <c r="F4251" s="5">
        <v>203.2</v>
      </c>
      <c r="G4251" s="5">
        <v>101.4</v>
      </c>
      <c r="H4251" s="5">
        <v>101.2</v>
      </c>
      <c r="I4251" s="5">
        <v>0</v>
      </c>
      <c r="J4251" s="5">
        <v>0</v>
      </c>
      <c r="K4251" s="5">
        <v>0</v>
      </c>
    </row>
    <row r="4252" spans="1:11" x14ac:dyDescent="0.25">
      <c r="A4252" s="5">
        <f>4245</f>
      </c>
      <c r="B4252" s="5" t="s">
        <v>4260</v>
      </c>
      <c r="C4252" s="5">
        <v>101.9</v>
      </c>
      <c r="D4252" s="5">
        <v>0.1</v>
      </c>
      <c r="E4252" s="5">
        <v>102.1</v>
      </c>
      <c r="F4252" s="5">
        <v>203.2</v>
      </c>
      <c r="G4252" s="5">
        <v>101.4</v>
      </c>
      <c r="H4252" s="5">
        <v>101.2</v>
      </c>
      <c r="I4252" s="5">
        <v>0</v>
      </c>
      <c r="J4252" s="5">
        <v>0</v>
      </c>
      <c r="K4252" s="5">
        <v>0</v>
      </c>
    </row>
    <row r="4253" spans="1:11" x14ac:dyDescent="0.25">
      <c r="A4253" s="5">
        <f>4246</f>
      </c>
      <c r="B4253" s="5" t="s">
        <v>4261</v>
      </c>
      <c r="C4253" s="5">
        <v>101.9</v>
      </c>
      <c r="D4253" s="5">
        <v>0.1</v>
      </c>
      <c r="E4253" s="5">
        <v>102.1</v>
      </c>
      <c r="F4253" s="5">
        <v>203.2</v>
      </c>
      <c r="G4253" s="5">
        <v>101.4</v>
      </c>
      <c r="H4253" s="5">
        <v>101.2</v>
      </c>
      <c r="I4253" s="5">
        <v>0</v>
      </c>
      <c r="J4253" s="5">
        <v>0</v>
      </c>
      <c r="K4253" s="5">
        <v>0</v>
      </c>
    </row>
    <row r="4254" spans="1:11" x14ac:dyDescent="0.25">
      <c r="A4254" s="5">
        <f>4247</f>
      </c>
      <c r="B4254" s="5" t="s">
        <v>4262</v>
      </c>
      <c r="C4254" s="5">
        <v>101.8</v>
      </c>
      <c r="D4254" s="5">
        <v>0.1</v>
      </c>
      <c r="E4254" s="5">
        <v>101.9</v>
      </c>
      <c r="F4254" s="5">
        <v>203.5</v>
      </c>
      <c r="G4254" s="5">
        <v>101.5</v>
      </c>
      <c r="H4254" s="5">
        <v>101.3</v>
      </c>
      <c r="I4254" s="5">
        <v>0</v>
      </c>
      <c r="J4254" s="5">
        <v>0</v>
      </c>
      <c r="K4254" s="5">
        <v>0</v>
      </c>
    </row>
    <row r="4255" spans="1:11" x14ac:dyDescent="0.25">
      <c r="A4255" s="5">
        <f>4248</f>
      </c>
      <c r="B4255" s="5" t="s">
        <v>4263</v>
      </c>
      <c r="C4255" s="5">
        <v>101.8</v>
      </c>
      <c r="D4255" s="5">
        <v>0.1</v>
      </c>
      <c r="E4255" s="5">
        <v>101.9</v>
      </c>
      <c r="F4255" s="5">
        <v>203.5</v>
      </c>
      <c r="G4255" s="5">
        <v>101.5</v>
      </c>
      <c r="H4255" s="5">
        <v>101.3</v>
      </c>
      <c r="I4255" s="5">
        <v>0</v>
      </c>
      <c r="J4255" s="5">
        <v>0</v>
      </c>
      <c r="K4255" s="5">
        <v>0</v>
      </c>
    </row>
    <row r="4256" spans="1:11" x14ac:dyDescent="0.25">
      <c r="A4256" s="5">
        <f>4249</f>
      </c>
      <c r="B4256" s="5" t="s">
        <v>4264</v>
      </c>
      <c r="C4256" s="5">
        <v>101.2</v>
      </c>
      <c r="D4256" s="5">
        <v>0.1</v>
      </c>
      <c r="E4256" s="5">
        <v>101.4</v>
      </c>
      <c r="F4256" s="5">
        <v>202.6</v>
      </c>
      <c r="G4256" s="5">
        <v>101</v>
      </c>
      <c r="H4256" s="5">
        <v>100.9</v>
      </c>
      <c r="I4256" s="5">
        <v>0</v>
      </c>
      <c r="J4256" s="5">
        <v>0</v>
      </c>
      <c r="K4256" s="5">
        <v>0</v>
      </c>
    </row>
    <row r="4257" spans="1:11" x14ac:dyDescent="0.25">
      <c r="A4257" s="5">
        <f>4250</f>
      </c>
      <c r="B4257" s="5" t="s">
        <v>4265</v>
      </c>
      <c r="C4257" s="5">
        <v>101.2</v>
      </c>
      <c r="D4257" s="5">
        <v>0.1</v>
      </c>
      <c r="E4257" s="5">
        <v>101.4</v>
      </c>
      <c r="F4257" s="5">
        <v>202.6</v>
      </c>
      <c r="G4257" s="5">
        <v>101</v>
      </c>
      <c r="H4257" s="5">
        <v>100.9</v>
      </c>
      <c r="I4257" s="5">
        <v>0</v>
      </c>
      <c r="J4257" s="5">
        <v>0</v>
      </c>
      <c r="K4257" s="5">
        <v>0</v>
      </c>
    </row>
    <row r="4258" spans="1:11" x14ac:dyDescent="0.25">
      <c r="A4258" s="5">
        <f>4251</f>
      </c>
      <c r="B4258" s="5" t="s">
        <v>4266</v>
      </c>
      <c r="C4258" s="5">
        <v>101.9</v>
      </c>
      <c r="D4258" s="5">
        <v>0.1</v>
      </c>
      <c r="E4258" s="5">
        <v>102</v>
      </c>
      <c r="F4258" s="5">
        <v>203.7</v>
      </c>
      <c r="G4258" s="5">
        <v>101.6</v>
      </c>
      <c r="H4258" s="5">
        <v>101.4</v>
      </c>
      <c r="I4258" s="5">
        <v>0</v>
      </c>
      <c r="J4258" s="5">
        <v>0</v>
      </c>
      <c r="K4258" s="5">
        <v>0</v>
      </c>
    </row>
    <row r="4259" spans="1:11" x14ac:dyDescent="0.25">
      <c r="A4259" s="5">
        <f>4252</f>
      </c>
      <c r="B4259" s="5" t="s">
        <v>4267</v>
      </c>
      <c r="C4259" s="5">
        <v>101.9</v>
      </c>
      <c r="D4259" s="5">
        <v>0.1</v>
      </c>
      <c r="E4259" s="5">
        <v>102</v>
      </c>
      <c r="F4259" s="5">
        <v>203.7</v>
      </c>
      <c r="G4259" s="5">
        <v>101.6</v>
      </c>
      <c r="H4259" s="5">
        <v>101.4</v>
      </c>
      <c r="I4259" s="5">
        <v>0</v>
      </c>
      <c r="J4259" s="5">
        <v>0</v>
      </c>
      <c r="K4259" s="5">
        <v>0</v>
      </c>
    </row>
    <row r="4260" spans="1:11" x14ac:dyDescent="0.25">
      <c r="A4260" s="5">
        <f>4253</f>
      </c>
      <c r="B4260" s="5" t="s">
        <v>4268</v>
      </c>
      <c r="C4260" s="5">
        <v>101.8</v>
      </c>
      <c r="D4260" s="5">
        <v>0.1</v>
      </c>
      <c r="E4260" s="5">
        <v>101.9</v>
      </c>
      <c r="F4260" s="5">
        <v>202.6</v>
      </c>
      <c r="G4260" s="5">
        <v>101.2</v>
      </c>
      <c r="H4260" s="5">
        <v>101.1</v>
      </c>
      <c r="I4260" s="5">
        <v>0</v>
      </c>
      <c r="J4260" s="5">
        <v>0</v>
      </c>
      <c r="K4260" s="5">
        <v>0</v>
      </c>
    </row>
    <row r="4261" spans="1:11" x14ac:dyDescent="0.25">
      <c r="A4261" s="5">
        <f>4254</f>
      </c>
      <c r="B4261" s="5" t="s">
        <v>4269</v>
      </c>
      <c r="C4261" s="5">
        <v>101.8</v>
      </c>
      <c r="D4261" s="5">
        <v>0.1</v>
      </c>
      <c r="E4261" s="5">
        <v>101.9</v>
      </c>
      <c r="F4261" s="5">
        <v>202.6</v>
      </c>
      <c r="G4261" s="5">
        <v>101.2</v>
      </c>
      <c r="H4261" s="5">
        <v>101.1</v>
      </c>
      <c r="I4261" s="5">
        <v>0</v>
      </c>
      <c r="J4261" s="5">
        <v>0</v>
      </c>
      <c r="K4261" s="5">
        <v>0</v>
      </c>
    </row>
    <row r="4262" spans="1:11" x14ac:dyDescent="0.25">
      <c r="A4262" s="5">
        <f>4255</f>
      </c>
      <c r="B4262" s="5" t="s">
        <v>4270</v>
      </c>
      <c r="C4262" s="5">
        <v>101.8</v>
      </c>
      <c r="D4262" s="5">
        <v>0.1</v>
      </c>
      <c r="E4262" s="5">
        <v>101.9</v>
      </c>
      <c r="F4262" s="5">
        <v>202.6</v>
      </c>
      <c r="G4262" s="5">
        <v>101.2</v>
      </c>
      <c r="H4262" s="5">
        <v>101.1</v>
      </c>
      <c r="I4262" s="5">
        <v>0</v>
      </c>
      <c r="J4262" s="5">
        <v>0</v>
      </c>
      <c r="K4262" s="5">
        <v>0</v>
      </c>
    </row>
    <row r="4263" spans="1:11" x14ac:dyDescent="0.25">
      <c r="A4263" s="5">
        <f>4256</f>
      </c>
      <c r="B4263" s="5" t="s">
        <v>4271</v>
      </c>
      <c r="C4263" s="5">
        <v>101.8</v>
      </c>
      <c r="D4263" s="5">
        <v>0.1</v>
      </c>
      <c r="E4263" s="5">
        <v>101.9</v>
      </c>
      <c r="F4263" s="5">
        <v>202.6</v>
      </c>
      <c r="G4263" s="5">
        <v>101.2</v>
      </c>
      <c r="H4263" s="5">
        <v>101.1</v>
      </c>
      <c r="I4263" s="5">
        <v>0</v>
      </c>
      <c r="J4263" s="5">
        <v>0</v>
      </c>
      <c r="K4263" s="5">
        <v>0</v>
      </c>
    </row>
    <row r="4264" spans="1:11" x14ac:dyDescent="0.25">
      <c r="A4264" s="5">
        <f>4257</f>
      </c>
      <c r="B4264" s="5" t="s">
        <v>4272</v>
      </c>
      <c r="C4264" s="5">
        <v>102.1</v>
      </c>
      <c r="D4264" s="5">
        <v>0.1</v>
      </c>
      <c r="E4264" s="5">
        <v>102.3</v>
      </c>
      <c r="F4264" s="5">
        <v>203.5</v>
      </c>
      <c r="G4264" s="5">
        <v>101.5</v>
      </c>
      <c r="H4264" s="5">
        <v>101.4</v>
      </c>
      <c r="I4264" s="5">
        <v>0</v>
      </c>
      <c r="J4264" s="5">
        <v>0</v>
      </c>
      <c r="K4264" s="5">
        <v>0</v>
      </c>
    </row>
    <row r="4265" spans="1:11" x14ac:dyDescent="0.25">
      <c r="A4265" s="5">
        <f>4258</f>
      </c>
      <c r="B4265" s="5" t="s">
        <v>4273</v>
      </c>
      <c r="C4265" s="5">
        <v>102.1</v>
      </c>
      <c r="D4265" s="5">
        <v>0.1</v>
      </c>
      <c r="E4265" s="5">
        <v>102.3</v>
      </c>
      <c r="F4265" s="5">
        <v>203.5</v>
      </c>
      <c r="G4265" s="5">
        <v>101.5</v>
      </c>
      <c r="H4265" s="5">
        <v>101.4</v>
      </c>
      <c r="I4265" s="5">
        <v>0</v>
      </c>
      <c r="J4265" s="5">
        <v>0</v>
      </c>
      <c r="K4265" s="5">
        <v>0</v>
      </c>
    </row>
    <row r="4266" spans="1:11" x14ac:dyDescent="0.25">
      <c r="A4266" s="5">
        <f>4259</f>
      </c>
      <c r="B4266" s="5" t="s">
        <v>4274</v>
      </c>
      <c r="C4266" s="5">
        <v>102.2</v>
      </c>
      <c r="D4266" s="5">
        <v>0.1</v>
      </c>
      <c r="E4266" s="5">
        <v>102.4</v>
      </c>
      <c r="F4266" s="5">
        <v>205.2</v>
      </c>
      <c r="G4266" s="5">
        <v>102.3</v>
      </c>
      <c r="H4266" s="5">
        <v>102.2</v>
      </c>
      <c r="I4266" s="5">
        <v>0</v>
      </c>
      <c r="J4266" s="5">
        <v>0</v>
      </c>
      <c r="K4266" s="5">
        <v>0</v>
      </c>
    </row>
    <row r="4267" spans="1:11" x14ac:dyDescent="0.25">
      <c r="A4267" s="5">
        <f>4260</f>
      </c>
      <c r="B4267" s="5" t="s">
        <v>4275</v>
      </c>
      <c r="C4267" s="5">
        <v>102.2</v>
      </c>
      <c r="D4267" s="5">
        <v>0.1</v>
      </c>
      <c r="E4267" s="5">
        <v>102.4</v>
      </c>
      <c r="F4267" s="5">
        <v>205.2</v>
      </c>
      <c r="G4267" s="5">
        <v>102.3</v>
      </c>
      <c r="H4267" s="5">
        <v>102.2</v>
      </c>
      <c r="I4267" s="5">
        <v>0</v>
      </c>
      <c r="J4267" s="5">
        <v>0</v>
      </c>
      <c r="K4267" s="5">
        <v>0</v>
      </c>
    </row>
    <row r="4268" spans="1:11" x14ac:dyDescent="0.25">
      <c r="A4268" s="5">
        <f>4261</f>
      </c>
      <c r="B4268" s="5" t="s">
        <v>4276</v>
      </c>
      <c r="C4268" s="5">
        <v>102.4</v>
      </c>
      <c r="D4268" s="5">
        <v>0.1</v>
      </c>
      <c r="E4268" s="5">
        <v>102.5</v>
      </c>
      <c r="F4268" s="5">
        <v>204</v>
      </c>
      <c r="G4268" s="5">
        <v>101.7</v>
      </c>
      <c r="H4268" s="5">
        <v>101.6</v>
      </c>
      <c r="I4268" s="5">
        <v>0</v>
      </c>
      <c r="J4268" s="5">
        <v>0</v>
      </c>
      <c r="K4268" s="5">
        <v>0</v>
      </c>
    </row>
    <row r="4269" spans="1:11" x14ac:dyDescent="0.25">
      <c r="A4269" s="5">
        <f>4262</f>
      </c>
      <c r="B4269" s="5" t="s">
        <v>4277</v>
      </c>
      <c r="C4269" s="5">
        <v>102.4</v>
      </c>
      <c r="D4269" s="5">
        <v>0.1</v>
      </c>
      <c r="E4269" s="5">
        <v>102.5</v>
      </c>
      <c r="F4269" s="5">
        <v>204</v>
      </c>
      <c r="G4269" s="5">
        <v>101.7</v>
      </c>
      <c r="H4269" s="5">
        <v>101.6</v>
      </c>
      <c r="I4269" s="5">
        <v>0</v>
      </c>
      <c r="J4269" s="5">
        <v>0</v>
      </c>
      <c r="K4269" s="5">
        <v>0</v>
      </c>
    </row>
    <row r="4270" spans="1:11" x14ac:dyDescent="0.25">
      <c r="A4270" s="5">
        <f>4263</f>
      </c>
      <c r="B4270" s="5" t="s">
        <v>4278</v>
      </c>
      <c r="C4270" s="5">
        <v>102</v>
      </c>
      <c r="D4270" s="5">
        <v>0.1</v>
      </c>
      <c r="E4270" s="5">
        <v>102.1</v>
      </c>
      <c r="F4270" s="5">
        <v>203.9</v>
      </c>
      <c r="G4270" s="5">
        <v>101.7</v>
      </c>
      <c r="H4270" s="5">
        <v>101.5</v>
      </c>
      <c r="I4270" s="5">
        <v>0</v>
      </c>
      <c r="J4270" s="5">
        <v>0</v>
      </c>
      <c r="K4270" s="5">
        <v>0</v>
      </c>
    </row>
    <row r="4271" spans="1:11" x14ac:dyDescent="0.25">
      <c r="A4271" s="5">
        <f>4264</f>
      </c>
      <c r="B4271" s="5" t="s">
        <v>4279</v>
      </c>
      <c r="C4271" s="5">
        <v>102</v>
      </c>
      <c r="D4271" s="5">
        <v>0.1</v>
      </c>
      <c r="E4271" s="5">
        <v>102.1</v>
      </c>
      <c r="F4271" s="5">
        <v>203.9</v>
      </c>
      <c r="G4271" s="5">
        <v>101.7</v>
      </c>
      <c r="H4271" s="5">
        <v>101.5</v>
      </c>
      <c r="I4271" s="5">
        <v>0</v>
      </c>
      <c r="J4271" s="5">
        <v>0</v>
      </c>
      <c r="K4271" s="5">
        <v>0</v>
      </c>
    </row>
    <row r="4272" spans="1:11" x14ac:dyDescent="0.25">
      <c r="A4272" s="5">
        <f>4265</f>
      </c>
      <c r="B4272" s="5" t="s">
        <v>4280</v>
      </c>
      <c r="C4272" s="5">
        <v>102</v>
      </c>
      <c r="D4272" s="5">
        <v>0.1</v>
      </c>
      <c r="E4272" s="5">
        <v>102.1</v>
      </c>
      <c r="F4272" s="5">
        <v>203.9</v>
      </c>
      <c r="G4272" s="5">
        <v>101.7</v>
      </c>
      <c r="H4272" s="5">
        <v>101.5</v>
      </c>
      <c r="I4272" s="5">
        <v>0</v>
      </c>
      <c r="J4272" s="5">
        <v>0</v>
      </c>
      <c r="K4272" s="5">
        <v>0</v>
      </c>
    </row>
    <row r="4273" spans="1:11" x14ac:dyDescent="0.25">
      <c r="A4273" s="5">
        <f>4266</f>
      </c>
      <c r="B4273" s="5" t="s">
        <v>4281</v>
      </c>
      <c r="C4273" s="5">
        <v>102</v>
      </c>
      <c r="D4273" s="5">
        <v>0.1</v>
      </c>
      <c r="E4273" s="5">
        <v>102.1</v>
      </c>
      <c r="F4273" s="5">
        <v>203.9</v>
      </c>
      <c r="G4273" s="5">
        <v>101.7</v>
      </c>
      <c r="H4273" s="5">
        <v>101.5</v>
      </c>
      <c r="I4273" s="5">
        <v>0</v>
      </c>
      <c r="J4273" s="5">
        <v>0</v>
      </c>
      <c r="K4273" s="5">
        <v>0</v>
      </c>
    </row>
    <row r="4274" spans="1:11" x14ac:dyDescent="0.25">
      <c r="A4274" s="5">
        <f>4267</f>
      </c>
      <c r="B4274" s="5" t="s">
        <v>4282</v>
      </c>
      <c r="C4274" s="5">
        <v>101.8</v>
      </c>
      <c r="D4274" s="5">
        <v>0.1</v>
      </c>
      <c r="E4274" s="5">
        <v>101.9</v>
      </c>
      <c r="F4274" s="5">
        <v>203.4</v>
      </c>
      <c r="G4274" s="5">
        <v>101.5</v>
      </c>
      <c r="H4274" s="5">
        <v>101.4</v>
      </c>
      <c r="I4274" s="5">
        <v>0</v>
      </c>
      <c r="J4274" s="5">
        <v>0</v>
      </c>
      <c r="K4274" s="5">
        <v>0</v>
      </c>
    </row>
    <row r="4275" spans="1:11" x14ac:dyDescent="0.25">
      <c r="A4275" s="5">
        <f>4268</f>
      </c>
      <c r="B4275" s="5" t="s">
        <v>4283</v>
      </c>
      <c r="C4275" s="5">
        <v>101.8</v>
      </c>
      <c r="D4275" s="5">
        <v>0.1</v>
      </c>
      <c r="E4275" s="5">
        <v>101.9</v>
      </c>
      <c r="F4275" s="5">
        <v>203.4</v>
      </c>
      <c r="G4275" s="5">
        <v>101.5</v>
      </c>
      <c r="H4275" s="5">
        <v>101.4</v>
      </c>
      <c r="I4275" s="5">
        <v>0</v>
      </c>
      <c r="J4275" s="5">
        <v>0</v>
      </c>
      <c r="K4275" s="5">
        <v>0</v>
      </c>
    </row>
    <row r="4276" spans="1:11" x14ac:dyDescent="0.25">
      <c r="A4276" s="5">
        <f>4269</f>
      </c>
      <c r="B4276" s="5" t="s">
        <v>4284</v>
      </c>
      <c r="C4276" s="5">
        <v>101.7</v>
      </c>
      <c r="D4276" s="5">
        <v>0.1</v>
      </c>
      <c r="E4276" s="5">
        <v>101.8</v>
      </c>
      <c r="F4276" s="5">
        <v>202.8</v>
      </c>
      <c r="G4276" s="5">
        <v>101.2</v>
      </c>
      <c r="H4276" s="5">
        <v>101</v>
      </c>
      <c r="I4276" s="5">
        <v>0</v>
      </c>
      <c r="J4276" s="5">
        <v>0</v>
      </c>
      <c r="K4276" s="5">
        <v>0</v>
      </c>
    </row>
    <row r="4277" spans="1:11" x14ac:dyDescent="0.25">
      <c r="A4277" s="5">
        <f>4270</f>
      </c>
      <c r="B4277" s="5" t="s">
        <v>4285</v>
      </c>
      <c r="C4277" s="5">
        <v>101.7</v>
      </c>
      <c r="D4277" s="5">
        <v>0.1</v>
      </c>
      <c r="E4277" s="5">
        <v>101.8</v>
      </c>
      <c r="F4277" s="5">
        <v>202.8</v>
      </c>
      <c r="G4277" s="5">
        <v>101.2</v>
      </c>
      <c r="H4277" s="5">
        <v>101</v>
      </c>
      <c r="I4277" s="5">
        <v>0</v>
      </c>
      <c r="J4277" s="5">
        <v>0</v>
      </c>
      <c r="K4277" s="5">
        <v>0</v>
      </c>
    </row>
    <row r="4278" spans="1:11" x14ac:dyDescent="0.25">
      <c r="A4278" s="5">
        <f>4271</f>
      </c>
      <c r="B4278" s="5" t="s">
        <v>4286</v>
      </c>
      <c r="C4278" s="5">
        <v>102.5</v>
      </c>
      <c r="D4278" s="5">
        <v>0.1</v>
      </c>
      <c r="E4278" s="5">
        <v>102.7</v>
      </c>
      <c r="F4278" s="5">
        <v>204.8</v>
      </c>
      <c r="G4278" s="5">
        <v>102.2</v>
      </c>
      <c r="H4278" s="5">
        <v>102.1</v>
      </c>
      <c r="I4278" s="5">
        <v>0</v>
      </c>
      <c r="J4278" s="5">
        <v>0</v>
      </c>
      <c r="K4278" s="5">
        <v>0</v>
      </c>
    </row>
    <row r="4279" spans="1:11" x14ac:dyDescent="0.25">
      <c r="A4279" s="5">
        <f>4272</f>
      </c>
      <c r="B4279" s="5" t="s">
        <v>4287</v>
      </c>
      <c r="C4279" s="5">
        <v>102.5</v>
      </c>
      <c r="D4279" s="5">
        <v>0.1</v>
      </c>
      <c r="E4279" s="5">
        <v>102.7</v>
      </c>
      <c r="F4279" s="5">
        <v>204.8</v>
      </c>
      <c r="G4279" s="5">
        <v>102.2</v>
      </c>
      <c r="H4279" s="5">
        <v>102.1</v>
      </c>
      <c r="I4279" s="5">
        <v>0</v>
      </c>
      <c r="J4279" s="5">
        <v>0</v>
      </c>
      <c r="K4279" s="5">
        <v>0</v>
      </c>
    </row>
    <row r="4280" spans="1:11" x14ac:dyDescent="0.25">
      <c r="A4280" s="5">
        <f>4273</f>
      </c>
      <c r="B4280" s="5" t="s">
        <v>4288</v>
      </c>
      <c r="C4280" s="5">
        <v>102.1</v>
      </c>
      <c r="D4280" s="5">
        <v>0.1</v>
      </c>
      <c r="E4280" s="5">
        <v>102.3</v>
      </c>
      <c r="F4280" s="5">
        <v>204.8</v>
      </c>
      <c r="G4280" s="5">
        <v>102.1</v>
      </c>
      <c r="H4280" s="5">
        <v>101.9</v>
      </c>
      <c r="I4280" s="5">
        <v>0</v>
      </c>
      <c r="J4280" s="5">
        <v>0</v>
      </c>
      <c r="K4280" s="5">
        <v>0</v>
      </c>
    </row>
    <row r="4281" spans="1:11" x14ac:dyDescent="0.25">
      <c r="A4281" s="5">
        <f>4274</f>
      </c>
      <c r="B4281" s="5" t="s">
        <v>4289</v>
      </c>
      <c r="C4281" s="5">
        <v>102.1</v>
      </c>
      <c r="D4281" s="5">
        <v>0.1</v>
      </c>
      <c r="E4281" s="5">
        <v>102.3</v>
      </c>
      <c r="F4281" s="5">
        <v>204.8</v>
      </c>
      <c r="G4281" s="5">
        <v>102.1</v>
      </c>
      <c r="H4281" s="5">
        <v>101.9</v>
      </c>
      <c r="I4281" s="5">
        <v>0</v>
      </c>
      <c r="J4281" s="5">
        <v>0</v>
      </c>
      <c r="K4281" s="5">
        <v>0</v>
      </c>
    </row>
    <row r="4282" spans="1:11" x14ac:dyDescent="0.25">
      <c r="A4282" s="5">
        <f>4275</f>
      </c>
      <c r="B4282" s="5" t="s">
        <v>4290</v>
      </c>
      <c r="C4282" s="5">
        <v>102.1</v>
      </c>
      <c r="D4282" s="5">
        <v>0.1</v>
      </c>
      <c r="E4282" s="5">
        <v>102.3</v>
      </c>
      <c r="F4282" s="5">
        <v>204.8</v>
      </c>
      <c r="G4282" s="5">
        <v>102.1</v>
      </c>
      <c r="H4282" s="5">
        <v>101.9</v>
      </c>
      <c r="I4282" s="5">
        <v>0</v>
      </c>
      <c r="J4282" s="5">
        <v>0</v>
      </c>
      <c r="K4282" s="5">
        <v>0</v>
      </c>
    </row>
    <row r="4283" spans="1:11" x14ac:dyDescent="0.25">
      <c r="A4283" s="5">
        <f>4276</f>
      </c>
      <c r="B4283" s="5" t="s">
        <v>4291</v>
      </c>
      <c r="C4283" s="5">
        <v>102.1</v>
      </c>
      <c r="D4283" s="5">
        <v>0.1</v>
      </c>
      <c r="E4283" s="5">
        <v>102.3</v>
      </c>
      <c r="F4283" s="5">
        <v>204.8</v>
      </c>
      <c r="G4283" s="5">
        <v>102.1</v>
      </c>
      <c r="H4283" s="5">
        <v>101.9</v>
      </c>
      <c r="I4283" s="5">
        <v>0</v>
      </c>
      <c r="J4283" s="5">
        <v>0</v>
      </c>
      <c r="K4283" s="5">
        <v>0</v>
      </c>
    </row>
    <row r="4284" spans="1:11" x14ac:dyDescent="0.25">
      <c r="A4284" s="5">
        <f>4277</f>
      </c>
      <c r="B4284" s="5" t="s">
        <v>4292</v>
      </c>
      <c r="C4284" s="5">
        <v>100</v>
      </c>
      <c r="D4284" s="5">
        <v>0.1</v>
      </c>
      <c r="E4284" s="5">
        <v>100.2</v>
      </c>
      <c r="F4284" s="5">
        <v>199.8</v>
      </c>
      <c r="G4284" s="5">
        <v>99.7</v>
      </c>
      <c r="H4284" s="5">
        <v>99.5</v>
      </c>
      <c r="I4284" s="5">
        <v>0</v>
      </c>
      <c r="J4284" s="5">
        <v>0</v>
      </c>
      <c r="K4284" s="5">
        <v>0</v>
      </c>
    </row>
    <row r="4285" spans="1:11" x14ac:dyDescent="0.25">
      <c r="A4285" s="5">
        <f>4278</f>
      </c>
      <c r="B4285" s="5" t="s">
        <v>4293</v>
      </c>
      <c r="C4285" s="5">
        <v>100</v>
      </c>
      <c r="D4285" s="5">
        <v>0.1</v>
      </c>
      <c r="E4285" s="5">
        <v>100.2</v>
      </c>
      <c r="F4285" s="5">
        <v>199.8</v>
      </c>
      <c r="G4285" s="5">
        <v>99.7</v>
      </c>
      <c r="H4285" s="5">
        <v>99.5</v>
      </c>
      <c r="I4285" s="5">
        <v>0</v>
      </c>
      <c r="J4285" s="5">
        <v>0</v>
      </c>
      <c r="K4285" s="5">
        <v>0</v>
      </c>
    </row>
    <row r="4286" spans="1:11" x14ac:dyDescent="0.25">
      <c r="A4286" s="5">
        <f>4279</f>
      </c>
      <c r="B4286" s="5" t="s">
        <v>4294</v>
      </c>
      <c r="C4286" s="5">
        <v>99.7</v>
      </c>
      <c r="D4286" s="5">
        <v>0.1</v>
      </c>
      <c r="E4286" s="5">
        <v>99.9</v>
      </c>
      <c r="F4286" s="5">
        <v>199.1</v>
      </c>
      <c r="G4286" s="5">
        <v>99.3</v>
      </c>
      <c r="H4286" s="5">
        <v>99.2</v>
      </c>
      <c r="I4286" s="5">
        <v>0</v>
      </c>
      <c r="J4286" s="5">
        <v>0</v>
      </c>
      <c r="K4286" s="5">
        <v>0</v>
      </c>
    </row>
    <row r="4287" spans="1:11" x14ac:dyDescent="0.25">
      <c r="A4287" s="5">
        <f>4280</f>
      </c>
      <c r="B4287" s="5" t="s">
        <v>4295</v>
      </c>
      <c r="C4287" s="5">
        <v>99.7</v>
      </c>
      <c r="D4287" s="5">
        <v>0.1</v>
      </c>
      <c r="E4287" s="5">
        <v>99.9</v>
      </c>
      <c r="F4287" s="5">
        <v>199.1</v>
      </c>
      <c r="G4287" s="5">
        <v>99.3</v>
      </c>
      <c r="H4287" s="5">
        <v>99.2</v>
      </c>
      <c r="I4287" s="5">
        <v>0</v>
      </c>
      <c r="J4287" s="5">
        <v>0</v>
      </c>
      <c r="K4287" s="5">
        <v>0</v>
      </c>
    </row>
    <row r="4288" spans="1:11" x14ac:dyDescent="0.25">
      <c r="A4288" s="5">
        <f>4281</f>
      </c>
      <c r="B4288" s="5" t="s">
        <v>4296</v>
      </c>
      <c r="C4288" s="5">
        <v>100.4</v>
      </c>
      <c r="D4288" s="5">
        <v>0.1</v>
      </c>
      <c r="E4288" s="5">
        <v>100.5</v>
      </c>
      <c r="F4288" s="5">
        <v>200.5</v>
      </c>
      <c r="G4288" s="5">
        <v>100</v>
      </c>
      <c r="H4288" s="5">
        <v>99.8</v>
      </c>
      <c r="I4288" s="5">
        <v>0</v>
      </c>
      <c r="J4288" s="5">
        <v>0</v>
      </c>
      <c r="K4288" s="5">
        <v>0</v>
      </c>
    </row>
    <row r="4289" spans="1:11" x14ac:dyDescent="0.25">
      <c r="A4289" s="5">
        <f>4282</f>
      </c>
      <c r="B4289" s="5" t="s">
        <v>4297</v>
      </c>
      <c r="C4289" s="5">
        <v>100.4</v>
      </c>
      <c r="D4289" s="5">
        <v>0.1</v>
      </c>
      <c r="E4289" s="5">
        <v>100.5</v>
      </c>
      <c r="F4289" s="5">
        <v>200.5</v>
      </c>
      <c r="G4289" s="5">
        <v>100</v>
      </c>
      <c r="H4289" s="5">
        <v>99.8</v>
      </c>
      <c r="I4289" s="5">
        <v>0</v>
      </c>
      <c r="J4289" s="5">
        <v>0</v>
      </c>
      <c r="K4289" s="5">
        <v>0</v>
      </c>
    </row>
    <row r="4290" spans="1:11" x14ac:dyDescent="0.25">
      <c r="A4290" s="5">
        <f>4283</f>
      </c>
      <c r="B4290" s="5" t="s">
        <v>4298</v>
      </c>
      <c r="C4290" s="5">
        <v>100.5</v>
      </c>
      <c r="D4290" s="5">
        <v>0.1</v>
      </c>
      <c r="E4290" s="5">
        <v>100.5</v>
      </c>
      <c r="F4290" s="5">
        <v>199.7</v>
      </c>
      <c r="G4290" s="5">
        <v>99.7</v>
      </c>
      <c r="H4290" s="5">
        <v>99.5</v>
      </c>
      <c r="I4290" s="5">
        <v>0</v>
      </c>
      <c r="J4290" s="5">
        <v>0</v>
      </c>
      <c r="K4290" s="5">
        <v>0</v>
      </c>
    </row>
    <row r="4291" spans="1:11" x14ac:dyDescent="0.25">
      <c r="A4291" s="5">
        <f>4284</f>
      </c>
      <c r="B4291" s="5" t="s">
        <v>4299</v>
      </c>
      <c r="C4291" s="5">
        <v>100.5</v>
      </c>
      <c r="D4291" s="5">
        <v>0.1</v>
      </c>
      <c r="E4291" s="5">
        <v>100.5</v>
      </c>
      <c r="F4291" s="5">
        <v>199.7</v>
      </c>
      <c r="G4291" s="5">
        <v>99.7</v>
      </c>
      <c r="H4291" s="5">
        <v>99.5</v>
      </c>
      <c r="I4291" s="5">
        <v>0</v>
      </c>
      <c r="J4291" s="5">
        <v>0</v>
      </c>
      <c r="K4291" s="5">
        <v>0</v>
      </c>
    </row>
    <row r="4292" spans="1:11" x14ac:dyDescent="0.25">
      <c r="A4292" s="5">
        <f>4285</f>
      </c>
      <c r="B4292" s="5" t="s">
        <v>4300</v>
      </c>
      <c r="C4292" s="5">
        <v>100.5</v>
      </c>
      <c r="D4292" s="5">
        <v>0.1</v>
      </c>
      <c r="E4292" s="5">
        <v>100.5</v>
      </c>
      <c r="F4292" s="5">
        <v>199.7</v>
      </c>
      <c r="G4292" s="5">
        <v>99.7</v>
      </c>
      <c r="H4292" s="5">
        <v>99.5</v>
      </c>
      <c r="I4292" s="5">
        <v>0</v>
      </c>
      <c r="J4292" s="5">
        <v>0</v>
      </c>
      <c r="K4292" s="5">
        <v>0</v>
      </c>
    </row>
    <row r="4293" spans="1:11" x14ac:dyDescent="0.25">
      <c r="A4293" s="5">
        <f>4286</f>
      </c>
      <c r="B4293" s="5" t="s">
        <v>4301</v>
      </c>
      <c r="C4293" s="5">
        <v>100.5</v>
      </c>
      <c r="D4293" s="5">
        <v>0.1</v>
      </c>
      <c r="E4293" s="5">
        <v>100.5</v>
      </c>
      <c r="F4293" s="5">
        <v>199.7</v>
      </c>
      <c r="G4293" s="5">
        <v>99.7</v>
      </c>
      <c r="H4293" s="5">
        <v>99.5</v>
      </c>
      <c r="I4293" s="5">
        <v>0</v>
      </c>
      <c r="J4293" s="5">
        <v>0</v>
      </c>
      <c r="K4293" s="5">
        <v>0</v>
      </c>
    </row>
    <row r="4294" spans="1:11" x14ac:dyDescent="0.25">
      <c r="A4294" s="5">
        <f>4287</f>
      </c>
      <c r="B4294" s="5" t="s">
        <v>4302</v>
      </c>
      <c r="C4294" s="5">
        <v>99.8</v>
      </c>
      <c r="D4294" s="5">
        <v>0.1</v>
      </c>
      <c r="E4294" s="5">
        <v>99.9</v>
      </c>
      <c r="F4294" s="5">
        <v>200.1</v>
      </c>
      <c r="G4294" s="5">
        <v>99.8</v>
      </c>
      <c r="H4294" s="5">
        <v>99.7</v>
      </c>
      <c r="I4294" s="5">
        <v>0</v>
      </c>
      <c r="J4294" s="5">
        <v>0</v>
      </c>
      <c r="K4294" s="5">
        <v>0</v>
      </c>
    </row>
    <row r="4295" spans="1:11" x14ac:dyDescent="0.25">
      <c r="A4295" s="5">
        <f>4288</f>
      </c>
      <c r="B4295" s="5" t="s">
        <v>4303</v>
      </c>
      <c r="C4295" s="5">
        <v>99.8</v>
      </c>
      <c r="D4295" s="5">
        <v>0.1</v>
      </c>
      <c r="E4295" s="5">
        <v>99.9</v>
      </c>
      <c r="F4295" s="5">
        <v>200.1</v>
      </c>
      <c r="G4295" s="5">
        <v>99.8</v>
      </c>
      <c r="H4295" s="5">
        <v>99.7</v>
      </c>
      <c r="I4295" s="5">
        <v>0</v>
      </c>
      <c r="J4295" s="5">
        <v>0</v>
      </c>
      <c r="K4295" s="5">
        <v>0</v>
      </c>
    </row>
    <row r="4296" spans="1:11" x14ac:dyDescent="0.25">
      <c r="A4296" s="5">
        <f>4289</f>
      </c>
      <c r="B4296" s="5" t="s">
        <v>4304</v>
      </c>
      <c r="C4296" s="5">
        <v>99.6</v>
      </c>
      <c r="D4296" s="5">
        <v>0.1</v>
      </c>
      <c r="E4296" s="5">
        <v>99.8</v>
      </c>
      <c r="F4296" s="5">
        <v>199.9</v>
      </c>
      <c r="G4296" s="5">
        <v>99.7</v>
      </c>
      <c r="H4296" s="5">
        <v>99.6</v>
      </c>
      <c r="I4296" s="5">
        <v>0</v>
      </c>
      <c r="J4296" s="5">
        <v>0</v>
      </c>
      <c r="K4296" s="5">
        <v>0</v>
      </c>
    </row>
    <row r="4297" spans="1:11" x14ac:dyDescent="0.25">
      <c r="A4297" s="5">
        <f>4290</f>
      </c>
      <c r="B4297" s="5" t="s">
        <v>4305</v>
      </c>
      <c r="C4297" s="5">
        <v>99.6</v>
      </c>
      <c r="D4297" s="5">
        <v>0.1</v>
      </c>
      <c r="E4297" s="5">
        <v>99.8</v>
      </c>
      <c r="F4297" s="5">
        <v>199.9</v>
      </c>
      <c r="G4297" s="5">
        <v>99.7</v>
      </c>
      <c r="H4297" s="5">
        <v>99.6</v>
      </c>
      <c r="I4297" s="5">
        <v>0</v>
      </c>
      <c r="J4297" s="5">
        <v>0</v>
      </c>
      <c r="K4297" s="5">
        <v>0</v>
      </c>
    </row>
    <row r="4298" spans="1:11" x14ac:dyDescent="0.25">
      <c r="A4298" s="5">
        <f>4291</f>
      </c>
      <c r="B4298" s="5" t="s">
        <v>4306</v>
      </c>
      <c r="C4298" s="5">
        <v>99.9</v>
      </c>
      <c r="D4298" s="5">
        <v>0.1</v>
      </c>
      <c r="E4298" s="5">
        <v>100.1</v>
      </c>
      <c r="F4298" s="5">
        <v>200</v>
      </c>
      <c r="G4298" s="5">
        <v>99.8</v>
      </c>
      <c r="H4298" s="5">
        <v>99.7</v>
      </c>
      <c r="I4298" s="5">
        <v>0</v>
      </c>
      <c r="J4298" s="5">
        <v>0</v>
      </c>
      <c r="K4298" s="5">
        <v>0</v>
      </c>
    </row>
    <row r="4299" spans="1:11" x14ac:dyDescent="0.25">
      <c r="A4299" s="5">
        <f>4292</f>
      </c>
      <c r="B4299" s="5" t="s">
        <v>4307</v>
      </c>
      <c r="C4299" s="5">
        <v>99.9</v>
      </c>
      <c r="D4299" s="5">
        <v>0.1</v>
      </c>
      <c r="E4299" s="5">
        <v>100.1</v>
      </c>
      <c r="F4299" s="5">
        <v>200</v>
      </c>
      <c r="G4299" s="5">
        <v>99.8</v>
      </c>
      <c r="H4299" s="5">
        <v>99.7</v>
      </c>
      <c r="I4299" s="5">
        <v>0</v>
      </c>
      <c r="J4299" s="5">
        <v>0</v>
      </c>
      <c r="K4299" s="5">
        <v>0</v>
      </c>
    </row>
    <row r="4300" spans="1:11" x14ac:dyDescent="0.25">
      <c r="A4300" s="5">
        <f>4293</f>
      </c>
      <c r="B4300" s="5" t="s">
        <v>4308</v>
      </c>
      <c r="C4300" s="5">
        <v>100.3</v>
      </c>
      <c r="D4300" s="5">
        <v>0.1</v>
      </c>
      <c r="E4300" s="5">
        <v>100.5</v>
      </c>
      <c r="F4300" s="5">
        <v>201</v>
      </c>
      <c r="G4300" s="5">
        <v>100.3</v>
      </c>
      <c r="H4300" s="5">
        <v>100.1</v>
      </c>
      <c r="I4300" s="5">
        <v>0</v>
      </c>
      <c r="J4300" s="5">
        <v>0</v>
      </c>
      <c r="K4300" s="5">
        <v>0</v>
      </c>
    </row>
    <row r="4301" spans="1:11" x14ac:dyDescent="0.25">
      <c r="A4301" s="5">
        <f>4294</f>
      </c>
      <c r="B4301" s="5" t="s">
        <v>4309</v>
      </c>
      <c r="C4301" s="5">
        <v>100.3</v>
      </c>
      <c r="D4301" s="5">
        <v>0.1</v>
      </c>
      <c r="E4301" s="5">
        <v>100.5</v>
      </c>
      <c r="F4301" s="5">
        <v>201</v>
      </c>
      <c r="G4301" s="5">
        <v>100.3</v>
      </c>
      <c r="H4301" s="5">
        <v>100.1</v>
      </c>
      <c r="I4301" s="5">
        <v>0</v>
      </c>
      <c r="J4301" s="5">
        <v>0</v>
      </c>
      <c r="K4301" s="5">
        <v>0</v>
      </c>
    </row>
    <row r="4302" spans="1:11" x14ac:dyDescent="0.25">
      <c r="A4302" s="5">
        <f>4295</f>
      </c>
      <c r="B4302" s="5" t="s">
        <v>4310</v>
      </c>
      <c r="C4302" s="5">
        <v>100.3</v>
      </c>
      <c r="D4302" s="5">
        <v>0.1</v>
      </c>
      <c r="E4302" s="5">
        <v>100.5</v>
      </c>
      <c r="F4302" s="5">
        <v>201</v>
      </c>
      <c r="G4302" s="5">
        <v>100.3</v>
      </c>
      <c r="H4302" s="5">
        <v>100.1</v>
      </c>
      <c r="I4302" s="5">
        <v>0</v>
      </c>
      <c r="J4302" s="5">
        <v>0</v>
      </c>
      <c r="K4302" s="5">
        <v>0</v>
      </c>
    </row>
    <row r="4303" spans="1:11" x14ac:dyDescent="0.25">
      <c r="A4303" s="5">
        <f>4296</f>
      </c>
      <c r="B4303" s="5" t="s">
        <v>4311</v>
      </c>
      <c r="C4303" s="5">
        <v>100.3</v>
      </c>
      <c r="D4303" s="5">
        <v>0.1</v>
      </c>
      <c r="E4303" s="5">
        <v>100.5</v>
      </c>
      <c r="F4303" s="5">
        <v>201</v>
      </c>
      <c r="G4303" s="5">
        <v>100.3</v>
      </c>
      <c r="H4303" s="5">
        <v>100.1</v>
      </c>
      <c r="I4303" s="5">
        <v>0</v>
      </c>
      <c r="J4303" s="5">
        <v>0</v>
      </c>
      <c r="K4303" s="5">
        <v>0</v>
      </c>
    </row>
    <row r="4304" spans="1:11" x14ac:dyDescent="0.25">
      <c r="A4304" s="5">
        <f>4297</f>
      </c>
      <c r="B4304" s="5" t="s">
        <v>4312</v>
      </c>
      <c r="C4304" s="5">
        <v>100.7</v>
      </c>
      <c r="D4304" s="5">
        <v>0.1</v>
      </c>
      <c r="E4304" s="5">
        <v>100.8</v>
      </c>
      <c r="F4304" s="5">
        <v>201.2</v>
      </c>
      <c r="G4304" s="5">
        <v>100.4</v>
      </c>
      <c r="H4304" s="5">
        <v>100.2</v>
      </c>
      <c r="I4304" s="5">
        <v>0</v>
      </c>
      <c r="J4304" s="5">
        <v>0</v>
      </c>
      <c r="K4304" s="5">
        <v>0</v>
      </c>
    </row>
    <row r="4305" spans="1:11" x14ac:dyDescent="0.25">
      <c r="A4305" s="5">
        <f>4298</f>
      </c>
      <c r="B4305" s="5" t="s">
        <v>4313</v>
      </c>
      <c r="C4305" s="5">
        <v>100.7</v>
      </c>
      <c r="D4305" s="5">
        <v>0.1</v>
      </c>
      <c r="E4305" s="5">
        <v>100.8</v>
      </c>
      <c r="F4305" s="5">
        <v>201.2</v>
      </c>
      <c r="G4305" s="5">
        <v>100.4</v>
      </c>
      <c r="H4305" s="5">
        <v>100.2</v>
      </c>
      <c r="I4305" s="5">
        <v>0</v>
      </c>
      <c r="J4305" s="5">
        <v>0</v>
      </c>
      <c r="K4305" s="5">
        <v>0</v>
      </c>
    </row>
    <row r="4306" spans="1:11" x14ac:dyDescent="0.25">
      <c r="A4306" s="5">
        <f>4299</f>
      </c>
      <c r="B4306" s="5" t="s">
        <v>4314</v>
      </c>
      <c r="C4306" s="5">
        <v>100.1</v>
      </c>
      <c r="D4306" s="5">
        <v>0.1</v>
      </c>
      <c r="E4306" s="5">
        <v>100.2</v>
      </c>
      <c r="F4306" s="5">
        <v>200.2</v>
      </c>
      <c r="G4306" s="5">
        <v>99.9</v>
      </c>
      <c r="H4306" s="5">
        <v>99.7</v>
      </c>
      <c r="I4306" s="5">
        <v>0</v>
      </c>
      <c r="J4306" s="5">
        <v>0</v>
      </c>
      <c r="K4306" s="5">
        <v>0</v>
      </c>
    </row>
    <row r="4307" spans="1:11" x14ac:dyDescent="0.25">
      <c r="A4307" s="5">
        <f>4300</f>
      </c>
      <c r="B4307" s="5" t="s">
        <v>4315</v>
      </c>
      <c r="C4307" s="5">
        <v>100.1</v>
      </c>
      <c r="D4307" s="5">
        <v>0.1</v>
      </c>
      <c r="E4307" s="5">
        <v>100.2</v>
      </c>
      <c r="F4307" s="5">
        <v>200.2</v>
      </c>
      <c r="G4307" s="5">
        <v>99.9</v>
      </c>
      <c r="H4307" s="5">
        <v>99.7</v>
      </c>
      <c r="I4307" s="5">
        <v>0</v>
      </c>
      <c r="J4307" s="5">
        <v>0</v>
      </c>
      <c r="K4307" s="5">
        <v>0</v>
      </c>
    </row>
    <row r="4308" spans="1:11" x14ac:dyDescent="0.25">
      <c r="A4308" s="5">
        <f>4301</f>
      </c>
      <c r="B4308" s="5" t="s">
        <v>4316</v>
      </c>
      <c r="C4308" s="5">
        <v>101</v>
      </c>
      <c r="D4308" s="5">
        <v>0</v>
      </c>
      <c r="E4308" s="5">
        <v>101.1</v>
      </c>
      <c r="F4308" s="5">
        <v>201</v>
      </c>
      <c r="G4308" s="5">
        <v>100.3</v>
      </c>
      <c r="H4308" s="5">
        <v>100.1</v>
      </c>
      <c r="I4308" s="5">
        <v>0</v>
      </c>
      <c r="J4308" s="5">
        <v>0</v>
      </c>
      <c r="K4308" s="5">
        <v>0</v>
      </c>
    </row>
    <row r="4309" spans="1:11" x14ac:dyDescent="0.25">
      <c r="A4309" s="5">
        <f>4302</f>
      </c>
      <c r="B4309" s="5" t="s">
        <v>4317</v>
      </c>
      <c r="C4309" s="5">
        <v>101</v>
      </c>
      <c r="D4309" s="5">
        <v>0</v>
      </c>
      <c r="E4309" s="5">
        <v>101.1</v>
      </c>
      <c r="F4309" s="5">
        <v>201</v>
      </c>
      <c r="G4309" s="5">
        <v>100.3</v>
      </c>
      <c r="H4309" s="5">
        <v>100.1</v>
      </c>
      <c r="I4309" s="5">
        <v>0</v>
      </c>
      <c r="J4309" s="5">
        <v>0</v>
      </c>
      <c r="K4309" s="5">
        <v>0</v>
      </c>
    </row>
    <row r="4310" spans="1:11" x14ac:dyDescent="0.25">
      <c r="A4310" s="5">
        <f>4303</f>
      </c>
      <c r="B4310" s="5" t="s">
        <v>4318</v>
      </c>
      <c r="C4310" s="5">
        <v>100.8</v>
      </c>
      <c r="D4310" s="5">
        <v>0.1</v>
      </c>
      <c r="E4310" s="5">
        <v>101</v>
      </c>
      <c r="F4310" s="5">
        <v>201.6</v>
      </c>
      <c r="G4310" s="5">
        <v>100.5</v>
      </c>
      <c r="H4310" s="5">
        <v>100.4</v>
      </c>
      <c r="I4310" s="5">
        <v>0</v>
      </c>
      <c r="J4310" s="5">
        <v>0</v>
      </c>
      <c r="K4310" s="5">
        <v>0</v>
      </c>
    </row>
    <row r="4311" spans="1:11" x14ac:dyDescent="0.25">
      <c r="A4311" s="5">
        <f>4304</f>
      </c>
      <c r="B4311" s="5" t="s">
        <v>4319</v>
      </c>
      <c r="C4311" s="5">
        <v>100.8</v>
      </c>
      <c r="D4311" s="5">
        <v>0.1</v>
      </c>
      <c r="E4311" s="5">
        <v>101</v>
      </c>
      <c r="F4311" s="5">
        <v>201.6</v>
      </c>
      <c r="G4311" s="5">
        <v>100.5</v>
      </c>
      <c r="H4311" s="5">
        <v>100.4</v>
      </c>
      <c r="I4311" s="5">
        <v>0</v>
      </c>
      <c r="J4311" s="5">
        <v>0</v>
      </c>
      <c r="K4311" s="5">
        <v>0</v>
      </c>
    </row>
    <row r="4312" spans="1:11" x14ac:dyDescent="0.25">
      <c r="A4312" s="5">
        <f>4305</f>
      </c>
      <c r="B4312" s="5" t="s">
        <v>4320</v>
      </c>
      <c r="C4312" s="5">
        <v>100.8</v>
      </c>
      <c r="D4312" s="5">
        <v>0.1</v>
      </c>
      <c r="E4312" s="5">
        <v>101</v>
      </c>
      <c r="F4312" s="5">
        <v>201.6</v>
      </c>
      <c r="G4312" s="5">
        <v>100.5</v>
      </c>
      <c r="H4312" s="5">
        <v>100.4</v>
      </c>
      <c r="I4312" s="5">
        <v>0</v>
      </c>
      <c r="J4312" s="5">
        <v>0</v>
      </c>
      <c r="K4312" s="5">
        <v>0</v>
      </c>
    </row>
    <row r="4313" spans="1:11" x14ac:dyDescent="0.25">
      <c r="A4313" s="5">
        <f>4306</f>
      </c>
      <c r="B4313" s="5" t="s">
        <v>4321</v>
      </c>
      <c r="C4313" s="5">
        <v>100.8</v>
      </c>
      <c r="D4313" s="5">
        <v>0.1</v>
      </c>
      <c r="E4313" s="5">
        <v>101</v>
      </c>
      <c r="F4313" s="5">
        <v>201.6</v>
      </c>
      <c r="G4313" s="5">
        <v>101.3</v>
      </c>
      <c r="H4313" s="5">
        <v>101.2</v>
      </c>
      <c r="I4313" s="5">
        <v>0</v>
      </c>
      <c r="J4313" s="5">
        <v>0</v>
      </c>
      <c r="K4313" s="5">
        <v>0</v>
      </c>
    </row>
    <row r="4314" spans="1:11" x14ac:dyDescent="0.25">
      <c r="A4314" s="5">
        <f>4307</f>
      </c>
      <c r="B4314" s="5" t="s">
        <v>4322</v>
      </c>
      <c r="C4314" s="5">
        <v>101.9</v>
      </c>
      <c r="D4314" s="5">
        <v>0.1</v>
      </c>
      <c r="E4314" s="5">
        <v>102</v>
      </c>
      <c r="F4314" s="5">
        <v>203.2</v>
      </c>
      <c r="G4314" s="5">
        <v>101.3</v>
      </c>
      <c r="H4314" s="5">
        <v>101.2</v>
      </c>
      <c r="I4314" s="5">
        <v>0</v>
      </c>
      <c r="J4314" s="5">
        <v>0</v>
      </c>
      <c r="K4314" s="5">
        <v>0</v>
      </c>
    </row>
    <row r="4315" spans="1:11" x14ac:dyDescent="0.25">
      <c r="A4315" s="5">
        <f>4308</f>
      </c>
      <c r="B4315" s="5" t="s">
        <v>4323</v>
      </c>
      <c r="C4315" s="5">
        <v>101.9</v>
      </c>
      <c r="D4315" s="5">
        <v>0.1</v>
      </c>
      <c r="E4315" s="5">
        <v>102</v>
      </c>
      <c r="F4315" s="5">
        <v>203.2</v>
      </c>
      <c r="G4315" s="5">
        <v>101.3</v>
      </c>
      <c r="H4315" s="5">
        <v>101.2</v>
      </c>
      <c r="I4315" s="5">
        <v>0</v>
      </c>
      <c r="J4315" s="5">
        <v>0</v>
      </c>
      <c r="K4315" s="5">
        <v>0</v>
      </c>
    </row>
    <row r="4316" spans="1:11" x14ac:dyDescent="0.25">
      <c r="A4316" s="5">
        <f>4309</f>
      </c>
      <c r="B4316" s="5" t="s">
        <v>4324</v>
      </c>
      <c r="C4316" s="5">
        <v>101.1</v>
      </c>
      <c r="D4316" s="5">
        <v>0.1</v>
      </c>
      <c r="E4316" s="5">
        <v>101.3</v>
      </c>
      <c r="F4316" s="5">
        <v>202.3</v>
      </c>
      <c r="G4316" s="5">
        <v>100.9</v>
      </c>
      <c r="H4316" s="5">
        <v>100.7</v>
      </c>
      <c r="I4316" s="5">
        <v>0</v>
      </c>
      <c r="J4316" s="5">
        <v>0</v>
      </c>
      <c r="K4316" s="5">
        <v>0</v>
      </c>
    </row>
    <row r="4317" spans="1:11" x14ac:dyDescent="0.25">
      <c r="A4317" s="5">
        <f>4310</f>
      </c>
      <c r="B4317" s="5" t="s">
        <v>4325</v>
      </c>
      <c r="C4317" s="5">
        <v>101.1</v>
      </c>
      <c r="D4317" s="5">
        <v>0.1</v>
      </c>
      <c r="E4317" s="5">
        <v>101.3</v>
      </c>
      <c r="F4317" s="5">
        <v>202.3</v>
      </c>
      <c r="G4317" s="5">
        <v>100.9</v>
      </c>
      <c r="H4317" s="5">
        <v>100.7</v>
      </c>
      <c r="I4317" s="5">
        <v>0</v>
      </c>
      <c r="J4317" s="5">
        <v>0</v>
      </c>
      <c r="K4317" s="5">
        <v>0</v>
      </c>
    </row>
    <row r="4318" spans="1:11" x14ac:dyDescent="0.25">
      <c r="A4318" s="5">
        <f>4311</f>
      </c>
      <c r="B4318" s="5" t="s">
        <v>4326</v>
      </c>
      <c r="C4318" s="5">
        <v>100.8</v>
      </c>
      <c r="D4318" s="5">
        <v>0.1</v>
      </c>
      <c r="E4318" s="5">
        <v>100.8</v>
      </c>
      <c r="F4318" s="5">
        <v>201</v>
      </c>
      <c r="G4318" s="5">
        <v>100.3</v>
      </c>
      <c r="H4318" s="5">
        <v>100.1</v>
      </c>
      <c r="I4318" s="5">
        <v>0</v>
      </c>
      <c r="J4318" s="5">
        <v>0</v>
      </c>
      <c r="K4318" s="5">
        <v>0</v>
      </c>
    </row>
    <row r="4319" spans="1:11" x14ac:dyDescent="0.25">
      <c r="A4319" s="5">
        <f>4312</f>
      </c>
      <c r="B4319" s="5" t="s">
        <v>4327</v>
      </c>
      <c r="C4319" s="5">
        <v>100.8</v>
      </c>
      <c r="D4319" s="5">
        <v>0.1</v>
      </c>
      <c r="E4319" s="5">
        <v>100.8</v>
      </c>
      <c r="F4319" s="5">
        <v>201</v>
      </c>
      <c r="G4319" s="5">
        <v>100.3</v>
      </c>
      <c r="H4319" s="5">
        <v>100.1</v>
      </c>
      <c r="I4319" s="5">
        <v>0</v>
      </c>
      <c r="J4319" s="5">
        <v>0</v>
      </c>
      <c r="K4319" s="5">
        <v>0</v>
      </c>
    </row>
    <row r="4320" spans="1:11" x14ac:dyDescent="0.25">
      <c r="A4320" s="5">
        <f>4313</f>
      </c>
      <c r="B4320" s="5" t="s">
        <v>4328</v>
      </c>
      <c r="C4320" s="5">
        <v>101.1</v>
      </c>
      <c r="D4320" s="5">
        <v>0.1</v>
      </c>
      <c r="E4320" s="5">
        <v>101.2</v>
      </c>
      <c r="F4320" s="5">
        <v>202</v>
      </c>
      <c r="G4320" s="5">
        <v>100.8</v>
      </c>
      <c r="H4320" s="5">
        <v>100.6</v>
      </c>
      <c r="I4320" s="5">
        <v>0</v>
      </c>
      <c r="J4320" s="5">
        <v>0</v>
      </c>
      <c r="K4320" s="5">
        <v>0</v>
      </c>
    </row>
    <row r="4321" spans="1:11" x14ac:dyDescent="0.25">
      <c r="A4321" s="5">
        <f>4314</f>
      </c>
      <c r="B4321" s="5" t="s">
        <v>4329</v>
      </c>
      <c r="C4321" s="5">
        <v>101.1</v>
      </c>
      <c r="D4321" s="5">
        <v>0.1</v>
      </c>
      <c r="E4321" s="5">
        <v>101.2</v>
      </c>
      <c r="F4321" s="5">
        <v>202</v>
      </c>
      <c r="G4321" s="5">
        <v>100.8</v>
      </c>
      <c r="H4321" s="5">
        <v>100.6</v>
      </c>
      <c r="I4321" s="5">
        <v>0</v>
      </c>
      <c r="J4321" s="5">
        <v>0</v>
      </c>
      <c r="K4321" s="5">
        <v>0</v>
      </c>
    </row>
    <row r="4322" spans="1:11" x14ac:dyDescent="0.25">
      <c r="A4322" s="5">
        <f>4315</f>
      </c>
      <c r="B4322" s="5" t="s">
        <v>4330</v>
      </c>
      <c r="C4322" s="5">
        <v>101.1</v>
      </c>
      <c r="D4322" s="5">
        <v>0.1</v>
      </c>
      <c r="E4322" s="5">
        <v>101.2</v>
      </c>
      <c r="F4322" s="5">
        <v>202</v>
      </c>
      <c r="G4322" s="5">
        <v>100.8</v>
      </c>
      <c r="H4322" s="5">
        <v>100.6</v>
      </c>
      <c r="I4322" s="5">
        <v>0</v>
      </c>
      <c r="J4322" s="5">
        <v>0</v>
      </c>
      <c r="K4322" s="5">
        <v>0</v>
      </c>
    </row>
    <row r="4323" spans="1:11" x14ac:dyDescent="0.25">
      <c r="A4323" s="5">
        <f>4316</f>
      </c>
      <c r="B4323" s="5" t="s">
        <v>4331</v>
      </c>
      <c r="C4323" s="5">
        <v>101.1</v>
      </c>
      <c r="D4323" s="5">
        <v>0.1</v>
      </c>
      <c r="E4323" s="5">
        <v>101.2</v>
      </c>
      <c r="F4323" s="5">
        <v>202</v>
      </c>
      <c r="G4323" s="5">
        <v>100.8</v>
      </c>
      <c r="H4323" s="5">
        <v>100.6</v>
      </c>
      <c r="I4323" s="5">
        <v>0</v>
      </c>
      <c r="J4323" s="5">
        <v>0</v>
      </c>
      <c r="K4323" s="5">
        <v>0</v>
      </c>
    </row>
    <row r="4324" spans="1:11" x14ac:dyDescent="0.25">
      <c r="A4324" s="5">
        <f>4317</f>
      </c>
      <c r="B4324" s="5" t="s">
        <v>4332</v>
      </c>
      <c r="C4324" s="5">
        <v>101.4</v>
      </c>
      <c r="D4324" s="5">
        <v>0.1</v>
      </c>
      <c r="E4324" s="5">
        <v>101.5</v>
      </c>
      <c r="F4324" s="5">
        <v>202.2</v>
      </c>
      <c r="G4324" s="5">
        <v>100.9</v>
      </c>
      <c r="H4324" s="5">
        <v>100.8</v>
      </c>
      <c r="I4324" s="5">
        <v>0</v>
      </c>
      <c r="J4324" s="5">
        <v>0</v>
      </c>
      <c r="K4324" s="5">
        <v>0</v>
      </c>
    </row>
    <row r="4325" spans="1:11" x14ac:dyDescent="0.25">
      <c r="A4325" s="5">
        <f>4318</f>
      </c>
      <c r="B4325" s="5" t="s">
        <v>4333</v>
      </c>
      <c r="C4325" s="5">
        <v>101.4</v>
      </c>
      <c r="D4325" s="5">
        <v>0.1</v>
      </c>
      <c r="E4325" s="5">
        <v>101.5</v>
      </c>
      <c r="F4325" s="5">
        <v>202.2</v>
      </c>
      <c r="G4325" s="5">
        <v>100.9</v>
      </c>
      <c r="H4325" s="5">
        <v>100.8</v>
      </c>
      <c r="I4325" s="5">
        <v>0</v>
      </c>
      <c r="J4325" s="5">
        <v>0</v>
      </c>
      <c r="K4325" s="5">
        <v>0</v>
      </c>
    </row>
    <row r="4326" spans="1:11" x14ac:dyDescent="0.25">
      <c r="A4326" s="5">
        <f>4319</f>
      </c>
      <c r="B4326" s="5" t="s">
        <v>4334</v>
      </c>
      <c r="C4326" s="5">
        <v>101.5</v>
      </c>
      <c r="D4326" s="5">
        <v>0.1</v>
      </c>
      <c r="E4326" s="5">
        <v>101.5</v>
      </c>
      <c r="F4326" s="5">
        <v>202.9</v>
      </c>
      <c r="G4326" s="5">
        <v>101</v>
      </c>
      <c r="H4326" s="5">
        <v>100.8</v>
      </c>
      <c r="I4326" s="5">
        <v>0</v>
      </c>
      <c r="J4326" s="5">
        <v>0</v>
      </c>
      <c r="K4326" s="5">
        <v>0</v>
      </c>
    </row>
    <row r="4327" spans="1:11" x14ac:dyDescent="0.25">
      <c r="A4327" s="5">
        <f>4320</f>
      </c>
      <c r="B4327" s="5" t="s">
        <v>4335</v>
      </c>
      <c r="C4327" s="5">
        <v>101.5</v>
      </c>
      <c r="D4327" s="5">
        <v>0.1</v>
      </c>
      <c r="E4327" s="5">
        <v>101.5</v>
      </c>
      <c r="F4327" s="5">
        <v>202.9</v>
      </c>
      <c r="G4327" s="5">
        <v>101</v>
      </c>
      <c r="H4327" s="5">
        <v>100.8</v>
      </c>
      <c r="I4327" s="5">
        <v>0</v>
      </c>
      <c r="J4327" s="5">
        <v>0</v>
      </c>
      <c r="K4327" s="5">
        <v>0</v>
      </c>
    </row>
    <row r="4328" spans="1:11" x14ac:dyDescent="0.25">
      <c r="A4328" s="5">
        <f>4321</f>
      </c>
      <c r="B4328" s="5" t="s">
        <v>4336</v>
      </c>
      <c r="C4328" s="5">
        <v>101.5</v>
      </c>
      <c r="D4328" s="5">
        <v>0.1</v>
      </c>
      <c r="E4328" s="5">
        <v>101.7</v>
      </c>
      <c r="F4328" s="5">
        <v>202.2</v>
      </c>
      <c r="G4328" s="5">
        <v>100.9</v>
      </c>
      <c r="H4328" s="5">
        <v>100.8</v>
      </c>
      <c r="I4328" s="5">
        <v>0</v>
      </c>
      <c r="J4328" s="5">
        <v>0</v>
      </c>
      <c r="K4328" s="5">
        <v>0</v>
      </c>
    </row>
    <row r="4329" spans="1:11" x14ac:dyDescent="0.25">
      <c r="A4329" s="5">
        <f>4322</f>
      </c>
      <c r="B4329" s="5" t="s">
        <v>4337</v>
      </c>
      <c r="C4329" s="5">
        <v>101.5</v>
      </c>
      <c r="D4329" s="5">
        <v>0.1</v>
      </c>
      <c r="E4329" s="5">
        <v>101.7</v>
      </c>
      <c r="F4329" s="5">
        <v>202.2</v>
      </c>
      <c r="G4329" s="5">
        <v>100.9</v>
      </c>
      <c r="H4329" s="5">
        <v>100.8</v>
      </c>
      <c r="I4329" s="5">
        <v>0</v>
      </c>
      <c r="J4329" s="5">
        <v>0</v>
      </c>
      <c r="K4329" s="5">
        <v>0</v>
      </c>
    </row>
    <row r="4330" spans="1:11" x14ac:dyDescent="0.25">
      <c r="A4330" s="5">
        <f>4323</f>
      </c>
      <c r="B4330" s="5" t="s">
        <v>4338</v>
      </c>
      <c r="C4330" s="5">
        <v>101.7</v>
      </c>
      <c r="D4330" s="5">
        <v>0.1</v>
      </c>
      <c r="E4330" s="5">
        <v>101.8</v>
      </c>
      <c r="F4330" s="5">
        <v>202.7</v>
      </c>
      <c r="G4330" s="5">
        <v>101.1</v>
      </c>
      <c r="H4330" s="5">
        <v>101</v>
      </c>
      <c r="I4330" s="5">
        <v>0</v>
      </c>
      <c r="J4330" s="5">
        <v>0</v>
      </c>
      <c r="K4330" s="5">
        <v>0</v>
      </c>
    </row>
    <row r="4331" spans="1:11" x14ac:dyDescent="0.25">
      <c r="A4331" s="5">
        <f>4324</f>
      </c>
      <c r="B4331" s="5" t="s">
        <v>4339</v>
      </c>
      <c r="C4331" s="5">
        <v>101.7</v>
      </c>
      <c r="D4331" s="5">
        <v>0.1</v>
      </c>
      <c r="E4331" s="5">
        <v>101.8</v>
      </c>
      <c r="F4331" s="5">
        <v>202.7</v>
      </c>
      <c r="G4331" s="5">
        <v>101.1</v>
      </c>
      <c r="H4331" s="5">
        <v>101</v>
      </c>
      <c r="I4331" s="5">
        <v>0</v>
      </c>
      <c r="J4331" s="5">
        <v>0</v>
      </c>
      <c r="K4331" s="5">
        <v>0</v>
      </c>
    </row>
    <row r="4332" spans="1:11" x14ac:dyDescent="0.25">
      <c r="A4332" s="5">
        <f>4325</f>
      </c>
      <c r="B4332" s="5" t="s">
        <v>4340</v>
      </c>
      <c r="C4332" s="5">
        <v>101.7</v>
      </c>
      <c r="D4332" s="5">
        <v>0.1</v>
      </c>
      <c r="E4332" s="5">
        <v>101.8</v>
      </c>
      <c r="F4332" s="5">
        <v>202.7</v>
      </c>
      <c r="G4332" s="5">
        <v>101.1</v>
      </c>
      <c r="H4332" s="5">
        <v>101</v>
      </c>
      <c r="I4332" s="5">
        <v>0</v>
      </c>
      <c r="J4332" s="5">
        <v>0</v>
      </c>
      <c r="K4332" s="5">
        <v>0</v>
      </c>
    </row>
    <row r="4333" spans="1:11" x14ac:dyDescent="0.25">
      <c r="A4333" s="5">
        <f>4326</f>
      </c>
      <c r="B4333" s="5" t="s">
        <v>4341</v>
      </c>
      <c r="C4333" s="5">
        <v>101.7</v>
      </c>
      <c r="D4333" s="5">
        <v>0.1</v>
      </c>
      <c r="E4333" s="5">
        <v>101.8</v>
      </c>
      <c r="F4333" s="5">
        <v>202.7</v>
      </c>
      <c r="G4333" s="5">
        <v>101.1</v>
      </c>
      <c r="H4333" s="5">
        <v>101</v>
      </c>
      <c r="I4333" s="5">
        <v>0</v>
      </c>
      <c r="J4333" s="5">
        <v>0</v>
      </c>
      <c r="K4333" s="5">
        <v>0</v>
      </c>
    </row>
    <row r="4334" spans="1:11" x14ac:dyDescent="0.25">
      <c r="A4334" s="5">
        <f>4327</f>
      </c>
      <c r="B4334" s="5" t="s">
        <v>4342</v>
      </c>
      <c r="C4334" s="5">
        <v>102.4</v>
      </c>
      <c r="D4334" s="5">
        <v>0.1</v>
      </c>
      <c r="E4334" s="5">
        <v>102.6</v>
      </c>
      <c r="F4334" s="5">
        <v>204</v>
      </c>
      <c r="G4334" s="5">
        <v>101.7</v>
      </c>
      <c r="H4334" s="5">
        <v>101.6</v>
      </c>
      <c r="I4334" s="5">
        <v>0</v>
      </c>
      <c r="J4334" s="5">
        <v>0</v>
      </c>
      <c r="K4334" s="5">
        <v>0</v>
      </c>
    </row>
    <row r="4335" spans="1:11" x14ac:dyDescent="0.25">
      <c r="A4335" s="5">
        <f>4328</f>
      </c>
      <c r="B4335" s="5" t="s">
        <v>4343</v>
      </c>
      <c r="C4335" s="5">
        <v>102.4</v>
      </c>
      <c r="D4335" s="5">
        <v>0.1</v>
      </c>
      <c r="E4335" s="5">
        <v>102.6</v>
      </c>
      <c r="F4335" s="5">
        <v>204</v>
      </c>
      <c r="G4335" s="5">
        <v>101.7</v>
      </c>
      <c r="H4335" s="5">
        <v>101.6</v>
      </c>
      <c r="I4335" s="5">
        <v>0</v>
      </c>
      <c r="J4335" s="5">
        <v>0</v>
      </c>
      <c r="K4335" s="5">
        <v>0</v>
      </c>
    </row>
    <row r="4336" spans="1:11" x14ac:dyDescent="0.25">
      <c r="A4336" s="5">
        <f>4329</f>
      </c>
      <c r="B4336" s="5" t="s">
        <v>4344</v>
      </c>
      <c r="C4336" s="5">
        <v>102.1</v>
      </c>
      <c r="D4336" s="5">
        <v>0.1</v>
      </c>
      <c r="E4336" s="5">
        <v>102.3</v>
      </c>
      <c r="F4336" s="5">
        <v>203.9</v>
      </c>
      <c r="G4336" s="5">
        <v>101.7</v>
      </c>
      <c r="H4336" s="5">
        <v>101.6</v>
      </c>
      <c r="I4336" s="5">
        <v>0</v>
      </c>
      <c r="J4336" s="5">
        <v>0</v>
      </c>
      <c r="K4336" s="5">
        <v>0</v>
      </c>
    </row>
    <row r="4337" spans="1:11" x14ac:dyDescent="0.25">
      <c r="A4337" s="5">
        <f>4330</f>
      </c>
      <c r="B4337" s="5" t="s">
        <v>4345</v>
      </c>
      <c r="C4337" s="5">
        <v>102.1</v>
      </c>
      <c r="D4337" s="5">
        <v>0.1</v>
      </c>
      <c r="E4337" s="5">
        <v>102.3</v>
      </c>
      <c r="F4337" s="5">
        <v>203.9</v>
      </c>
      <c r="G4337" s="5">
        <v>101.7</v>
      </c>
      <c r="H4337" s="5">
        <v>101.6</v>
      </c>
      <c r="I4337" s="5">
        <v>0</v>
      </c>
      <c r="J4337" s="5">
        <v>0</v>
      </c>
      <c r="K4337" s="5">
        <v>0</v>
      </c>
    </row>
    <row r="4338" spans="1:11" x14ac:dyDescent="0.25">
      <c r="A4338" s="5">
        <f>4331</f>
      </c>
      <c r="B4338" s="5" t="s">
        <v>4346</v>
      </c>
      <c r="C4338" s="5">
        <v>101.5</v>
      </c>
      <c r="D4338" s="5">
        <v>0.1</v>
      </c>
      <c r="E4338" s="5">
        <v>101.7</v>
      </c>
      <c r="F4338" s="5">
        <v>203.1</v>
      </c>
      <c r="G4338" s="5">
        <v>101.3</v>
      </c>
      <c r="H4338" s="5">
        <v>101.1</v>
      </c>
      <c r="I4338" s="5">
        <v>0</v>
      </c>
      <c r="J4338" s="5">
        <v>0</v>
      </c>
      <c r="K4338" s="5">
        <v>0</v>
      </c>
    </row>
    <row r="4339" spans="1:11" x14ac:dyDescent="0.25">
      <c r="A4339" s="5">
        <f>4332</f>
      </c>
      <c r="B4339" s="5" t="s">
        <v>4347</v>
      </c>
      <c r="C4339" s="5">
        <v>101.5</v>
      </c>
      <c r="D4339" s="5">
        <v>0.1</v>
      </c>
      <c r="E4339" s="5">
        <v>101.7</v>
      </c>
      <c r="F4339" s="5">
        <v>203.1</v>
      </c>
      <c r="G4339" s="5">
        <v>101.3</v>
      </c>
      <c r="H4339" s="5">
        <v>101.1</v>
      </c>
      <c r="I4339" s="5">
        <v>0</v>
      </c>
      <c r="J4339" s="5">
        <v>0</v>
      </c>
      <c r="K4339" s="5">
        <v>0</v>
      </c>
    </row>
    <row r="4340" spans="1:11" x14ac:dyDescent="0.25">
      <c r="A4340" s="5">
        <f>4333</f>
      </c>
      <c r="B4340" s="5" t="s">
        <v>4348</v>
      </c>
      <c r="C4340" s="5">
        <v>101</v>
      </c>
      <c r="D4340" s="5">
        <v>0.1</v>
      </c>
      <c r="E4340" s="5">
        <v>101.1</v>
      </c>
      <c r="F4340" s="5">
        <v>201.8</v>
      </c>
      <c r="G4340" s="5">
        <v>100.7</v>
      </c>
      <c r="H4340" s="5">
        <v>100.5</v>
      </c>
      <c r="I4340" s="5">
        <v>0</v>
      </c>
      <c r="J4340" s="5">
        <v>0</v>
      </c>
      <c r="K4340" s="5">
        <v>0</v>
      </c>
    </row>
    <row r="4341" spans="1:11" x14ac:dyDescent="0.25">
      <c r="A4341" s="5">
        <f>4334</f>
      </c>
      <c r="B4341" s="5" t="s">
        <v>4349</v>
      </c>
      <c r="C4341" s="5">
        <v>101</v>
      </c>
      <c r="D4341" s="5">
        <v>0.1</v>
      </c>
      <c r="E4341" s="5">
        <v>101.1</v>
      </c>
      <c r="F4341" s="5">
        <v>201.8</v>
      </c>
      <c r="G4341" s="5">
        <v>100.7</v>
      </c>
      <c r="H4341" s="5">
        <v>100.5</v>
      </c>
      <c r="I4341" s="5">
        <v>0</v>
      </c>
      <c r="J4341" s="5">
        <v>0</v>
      </c>
      <c r="K4341" s="5">
        <v>0</v>
      </c>
    </row>
    <row r="4342" spans="1:11" x14ac:dyDescent="0.25">
      <c r="A4342" s="5">
        <f>4335</f>
      </c>
      <c r="B4342" s="5" t="s">
        <v>4350</v>
      </c>
      <c r="C4342" s="5">
        <v>101</v>
      </c>
      <c r="D4342" s="5">
        <v>0.1</v>
      </c>
      <c r="E4342" s="5">
        <v>101.1</v>
      </c>
      <c r="F4342" s="5">
        <v>201.8</v>
      </c>
      <c r="G4342" s="5">
        <v>100.7</v>
      </c>
      <c r="H4342" s="5">
        <v>100.5</v>
      </c>
      <c r="I4342" s="5">
        <v>0</v>
      </c>
      <c r="J4342" s="5">
        <v>0</v>
      </c>
      <c r="K4342" s="5">
        <v>0</v>
      </c>
    </row>
    <row r="4343" spans="1:11" x14ac:dyDescent="0.25">
      <c r="A4343" s="5">
        <f>4336</f>
      </c>
      <c r="B4343" s="5" t="s">
        <v>4351</v>
      </c>
      <c r="C4343" s="5">
        <v>101</v>
      </c>
      <c r="D4343" s="5">
        <v>0.1</v>
      </c>
      <c r="E4343" s="5">
        <v>101.1</v>
      </c>
      <c r="F4343" s="5">
        <v>201.8</v>
      </c>
      <c r="G4343" s="5">
        <v>100.7</v>
      </c>
      <c r="H4343" s="5">
        <v>100.5</v>
      </c>
      <c r="I4343" s="5">
        <v>0</v>
      </c>
      <c r="J4343" s="5">
        <v>0</v>
      </c>
      <c r="K4343" s="5">
        <v>0</v>
      </c>
    </row>
    <row r="4344" spans="1:11" x14ac:dyDescent="0.25">
      <c r="A4344" s="5">
        <f>4337</f>
      </c>
      <c r="B4344" s="5" t="s">
        <v>4352</v>
      </c>
      <c r="C4344" s="5">
        <v>101.8</v>
      </c>
      <c r="D4344" s="5">
        <v>0.1</v>
      </c>
      <c r="E4344" s="5">
        <v>101.9</v>
      </c>
      <c r="F4344" s="5">
        <v>203</v>
      </c>
      <c r="G4344" s="5">
        <v>101.3</v>
      </c>
      <c r="H4344" s="5">
        <v>101.3</v>
      </c>
      <c r="I4344" s="5">
        <v>0</v>
      </c>
      <c r="J4344" s="5">
        <v>0</v>
      </c>
      <c r="K4344" s="5">
        <v>0</v>
      </c>
    </row>
    <row r="4345" spans="1:11" x14ac:dyDescent="0.25">
      <c r="A4345" s="5">
        <f>4338</f>
      </c>
      <c r="B4345" s="5" t="s">
        <v>4353</v>
      </c>
      <c r="C4345" s="5">
        <v>101.8</v>
      </c>
      <c r="D4345" s="5">
        <v>0.1</v>
      </c>
      <c r="E4345" s="5">
        <v>101.9</v>
      </c>
      <c r="F4345" s="5">
        <v>203</v>
      </c>
      <c r="G4345" s="5">
        <v>101.3</v>
      </c>
      <c r="H4345" s="5">
        <v>101.3</v>
      </c>
      <c r="I4345" s="5">
        <v>0</v>
      </c>
      <c r="J4345" s="5">
        <v>0</v>
      </c>
      <c r="K4345" s="5">
        <v>0</v>
      </c>
    </row>
    <row r="4346" spans="1:11" x14ac:dyDescent="0.25">
      <c r="A4346" s="5">
        <f>4339</f>
      </c>
      <c r="B4346" s="5" t="s">
        <v>4354</v>
      </c>
      <c r="C4346" s="5">
        <v>101.8</v>
      </c>
      <c r="D4346" s="5">
        <v>0.1</v>
      </c>
      <c r="E4346" s="5">
        <v>101.9</v>
      </c>
      <c r="F4346" s="5">
        <v>203</v>
      </c>
      <c r="G4346" s="5">
        <v>101.3</v>
      </c>
      <c r="H4346" s="5">
        <v>101.1</v>
      </c>
      <c r="I4346" s="5">
        <v>0</v>
      </c>
      <c r="J4346" s="5">
        <v>0</v>
      </c>
      <c r="K4346" s="5">
        <v>0</v>
      </c>
    </row>
    <row r="4347" spans="1:11" x14ac:dyDescent="0.25">
      <c r="A4347" s="5">
        <f>4340</f>
      </c>
      <c r="B4347" s="5" t="s">
        <v>4355</v>
      </c>
      <c r="C4347" s="5">
        <v>101.8</v>
      </c>
      <c r="D4347" s="5">
        <v>0.1</v>
      </c>
      <c r="E4347" s="5">
        <v>101.9</v>
      </c>
      <c r="F4347" s="5">
        <v>203</v>
      </c>
      <c r="G4347" s="5">
        <v>101.3</v>
      </c>
      <c r="H4347" s="5">
        <v>101.1</v>
      </c>
      <c r="I4347" s="5">
        <v>0</v>
      </c>
      <c r="J4347" s="5">
        <v>0</v>
      </c>
      <c r="K4347" s="5">
        <v>0</v>
      </c>
    </row>
    <row r="4348" spans="1:11" x14ac:dyDescent="0.25">
      <c r="A4348" s="5">
        <f>4341</f>
      </c>
      <c r="B4348" s="5" t="s">
        <v>4356</v>
      </c>
      <c r="C4348" s="5">
        <v>101.4</v>
      </c>
      <c r="D4348" s="5">
        <v>0.1</v>
      </c>
      <c r="E4348" s="5">
        <v>101.5</v>
      </c>
      <c r="F4348" s="5">
        <v>202.8</v>
      </c>
      <c r="G4348" s="5">
        <v>101.1</v>
      </c>
      <c r="H4348" s="5">
        <v>100.9</v>
      </c>
      <c r="I4348" s="5">
        <v>0</v>
      </c>
      <c r="J4348" s="5">
        <v>0</v>
      </c>
      <c r="K4348" s="5">
        <v>0</v>
      </c>
    </row>
    <row r="4349" spans="1:11" x14ac:dyDescent="0.25">
      <c r="A4349" s="5">
        <f>4342</f>
      </c>
      <c r="B4349" s="5" t="s">
        <v>4357</v>
      </c>
      <c r="C4349" s="5">
        <v>101.4</v>
      </c>
      <c r="D4349" s="5">
        <v>0.1</v>
      </c>
      <c r="E4349" s="5">
        <v>101.5</v>
      </c>
      <c r="F4349" s="5">
        <v>202.8</v>
      </c>
      <c r="G4349" s="5">
        <v>101.1</v>
      </c>
      <c r="H4349" s="5">
        <v>100.9</v>
      </c>
      <c r="I4349" s="5">
        <v>0</v>
      </c>
      <c r="J4349" s="5">
        <v>0</v>
      </c>
      <c r="K4349" s="5">
        <v>0</v>
      </c>
    </row>
    <row r="4350" spans="1:11" x14ac:dyDescent="0.25">
      <c r="A4350" s="5">
        <f>4343</f>
      </c>
      <c r="B4350" s="5" t="s">
        <v>4358</v>
      </c>
      <c r="C4350" s="5">
        <v>101.1</v>
      </c>
      <c r="D4350" s="5">
        <v>0.1</v>
      </c>
      <c r="E4350" s="5">
        <v>101.3</v>
      </c>
      <c r="F4350" s="5">
        <v>201.7</v>
      </c>
      <c r="G4350" s="5">
        <v>100.6</v>
      </c>
      <c r="H4350" s="5">
        <v>100.5</v>
      </c>
      <c r="I4350" s="5">
        <v>0</v>
      </c>
      <c r="J4350" s="5">
        <v>0</v>
      </c>
      <c r="K4350" s="5">
        <v>0</v>
      </c>
    </row>
    <row r="4351" spans="1:11" x14ac:dyDescent="0.25">
      <c r="A4351" s="5">
        <f>4344</f>
      </c>
      <c r="B4351" s="5" t="s">
        <v>4359</v>
      </c>
      <c r="C4351" s="5">
        <v>101.1</v>
      </c>
      <c r="D4351" s="5">
        <v>0.1</v>
      </c>
      <c r="E4351" s="5">
        <v>101.3</v>
      </c>
      <c r="F4351" s="5">
        <v>201.7</v>
      </c>
      <c r="G4351" s="5">
        <v>100.6</v>
      </c>
      <c r="H4351" s="5">
        <v>100.5</v>
      </c>
      <c r="I4351" s="5">
        <v>0</v>
      </c>
      <c r="J4351" s="5">
        <v>0</v>
      </c>
      <c r="K4351" s="5">
        <v>0</v>
      </c>
    </row>
    <row r="4352" spans="1:11" x14ac:dyDescent="0.25">
      <c r="A4352" s="5">
        <f>4345</f>
      </c>
      <c r="B4352" s="5" t="s">
        <v>4360</v>
      </c>
      <c r="C4352" s="5">
        <v>101.1</v>
      </c>
      <c r="D4352" s="5">
        <v>0.1</v>
      </c>
      <c r="E4352" s="5">
        <v>101.3</v>
      </c>
      <c r="F4352" s="5">
        <v>201.7</v>
      </c>
      <c r="G4352" s="5">
        <v>100.6</v>
      </c>
      <c r="H4352" s="5">
        <v>100.5</v>
      </c>
      <c r="I4352" s="5">
        <v>0</v>
      </c>
      <c r="J4352" s="5">
        <v>0</v>
      </c>
      <c r="K4352" s="5">
        <v>0</v>
      </c>
    </row>
    <row r="4353" spans="1:11" x14ac:dyDescent="0.25">
      <c r="A4353" s="5">
        <f>4346</f>
      </c>
      <c r="B4353" s="5" t="s">
        <v>4361</v>
      </c>
      <c r="C4353" s="5">
        <v>101</v>
      </c>
      <c r="D4353" s="5">
        <v>0.1</v>
      </c>
      <c r="E4353" s="5">
        <v>101.1</v>
      </c>
      <c r="F4353" s="5">
        <v>202.2</v>
      </c>
      <c r="G4353" s="5">
        <v>100.9</v>
      </c>
      <c r="H4353" s="5">
        <v>100.8</v>
      </c>
      <c r="I4353" s="5">
        <v>0</v>
      </c>
      <c r="J4353" s="5">
        <v>0</v>
      </c>
      <c r="K4353" s="5">
        <v>0</v>
      </c>
    </row>
    <row r="4354" spans="1:11" x14ac:dyDescent="0.25">
      <c r="A4354" s="5">
        <f>4347</f>
      </c>
      <c r="B4354" s="5" t="s">
        <v>4362</v>
      </c>
      <c r="C4354" s="5">
        <v>101</v>
      </c>
      <c r="D4354" s="5">
        <v>0.1</v>
      </c>
      <c r="E4354" s="5">
        <v>101.1</v>
      </c>
      <c r="F4354" s="5">
        <v>202.2</v>
      </c>
      <c r="G4354" s="5">
        <v>100.9</v>
      </c>
      <c r="H4354" s="5">
        <v>100.8</v>
      </c>
      <c r="I4354" s="5">
        <v>0</v>
      </c>
      <c r="J4354" s="5">
        <v>0</v>
      </c>
      <c r="K4354" s="5">
        <v>0</v>
      </c>
    </row>
    <row r="4355" spans="1:11" x14ac:dyDescent="0.25">
      <c r="A4355" s="5">
        <f>4348</f>
      </c>
      <c r="B4355" s="5" t="s">
        <v>4363</v>
      </c>
      <c r="C4355" s="5">
        <v>101</v>
      </c>
      <c r="D4355" s="5">
        <v>0.1</v>
      </c>
      <c r="E4355" s="5">
        <v>101.1</v>
      </c>
      <c r="F4355" s="5">
        <v>201.7</v>
      </c>
      <c r="G4355" s="5">
        <v>100.6</v>
      </c>
      <c r="H4355" s="5">
        <v>100.5</v>
      </c>
      <c r="I4355" s="5">
        <v>0</v>
      </c>
      <c r="J4355" s="5">
        <v>0</v>
      </c>
      <c r="K4355" s="5">
        <v>0</v>
      </c>
    </row>
    <row r="4356" spans="1:11" x14ac:dyDescent="0.25">
      <c r="A4356" s="5">
        <f>4349</f>
      </c>
      <c r="B4356" s="5" t="s">
        <v>4364</v>
      </c>
      <c r="C4356" s="5">
        <v>100.9</v>
      </c>
      <c r="D4356" s="5">
        <v>0.1</v>
      </c>
      <c r="E4356" s="5">
        <v>101.1</v>
      </c>
      <c r="F4356" s="5">
        <v>201.7</v>
      </c>
      <c r="G4356" s="5">
        <v>100.6</v>
      </c>
      <c r="H4356" s="5">
        <v>100.5</v>
      </c>
      <c r="I4356" s="5">
        <v>0</v>
      </c>
      <c r="J4356" s="5">
        <v>0</v>
      </c>
      <c r="K4356" s="5">
        <v>0</v>
      </c>
    </row>
    <row r="4357" spans="1:11" x14ac:dyDescent="0.25">
      <c r="A4357" s="5">
        <f>4350</f>
      </c>
      <c r="B4357" s="5" t="s">
        <v>4365</v>
      </c>
      <c r="C4357" s="5">
        <v>100.9</v>
      </c>
      <c r="D4357" s="5">
        <v>0.1</v>
      </c>
      <c r="E4357" s="5">
        <v>101.1</v>
      </c>
      <c r="F4357" s="5">
        <v>202.2</v>
      </c>
      <c r="G4357" s="5">
        <v>100.9</v>
      </c>
      <c r="H4357" s="5">
        <v>100.7</v>
      </c>
      <c r="I4357" s="5">
        <v>0</v>
      </c>
      <c r="J4357" s="5">
        <v>0</v>
      </c>
      <c r="K4357" s="5">
        <v>0</v>
      </c>
    </row>
    <row r="4358" spans="1:11" x14ac:dyDescent="0.25">
      <c r="A4358" s="5">
        <f>4351</f>
      </c>
      <c r="B4358" s="5" t="s">
        <v>4366</v>
      </c>
      <c r="C4358" s="5">
        <v>100.9</v>
      </c>
      <c r="D4358" s="5">
        <v>0.1</v>
      </c>
      <c r="E4358" s="5">
        <v>101.1</v>
      </c>
      <c r="F4358" s="5">
        <v>202.2</v>
      </c>
      <c r="G4358" s="5">
        <v>100.9</v>
      </c>
      <c r="H4358" s="5">
        <v>100.7</v>
      </c>
      <c r="I4358" s="5">
        <v>0</v>
      </c>
      <c r="J4358" s="5">
        <v>0</v>
      </c>
      <c r="K4358" s="5">
        <v>0</v>
      </c>
    </row>
    <row r="4359" spans="1:11" x14ac:dyDescent="0.25">
      <c r="A4359" s="5">
        <f>4352</f>
      </c>
      <c r="B4359" s="5" t="s">
        <v>4367</v>
      </c>
      <c r="C4359" s="5">
        <v>100.9</v>
      </c>
      <c r="D4359" s="5">
        <v>0.1</v>
      </c>
      <c r="E4359" s="5">
        <v>101.1</v>
      </c>
      <c r="F4359" s="5">
        <v>202.2</v>
      </c>
      <c r="G4359" s="5">
        <v>100.9</v>
      </c>
      <c r="H4359" s="5">
        <v>100.7</v>
      </c>
      <c r="I4359" s="5">
        <v>0</v>
      </c>
      <c r="J4359" s="5">
        <v>0</v>
      </c>
      <c r="K4359" s="5">
        <v>0</v>
      </c>
    </row>
    <row r="4360" spans="1:11" x14ac:dyDescent="0.25">
      <c r="A4360" s="5">
        <f>4353</f>
      </c>
      <c r="B4360" s="5" t="s">
        <v>4368</v>
      </c>
      <c r="C4360" s="5">
        <v>101.6</v>
      </c>
      <c r="D4360" s="5">
        <v>0.1</v>
      </c>
      <c r="E4360" s="5">
        <v>101.8</v>
      </c>
      <c r="F4360" s="5">
        <v>202.2</v>
      </c>
      <c r="G4360" s="5">
        <v>100.9</v>
      </c>
      <c r="H4360" s="5">
        <v>100.7</v>
      </c>
      <c r="I4360" s="5">
        <v>0</v>
      </c>
      <c r="J4360" s="5">
        <v>0</v>
      </c>
      <c r="K4360" s="5">
        <v>0</v>
      </c>
    </row>
    <row r="4361" spans="1:11" x14ac:dyDescent="0.25">
      <c r="A4361" s="5">
        <f>4354</f>
      </c>
      <c r="B4361" s="5" t="s">
        <v>4369</v>
      </c>
      <c r="C4361" s="5">
        <v>101.6</v>
      </c>
      <c r="D4361" s="5">
        <v>0.1</v>
      </c>
      <c r="E4361" s="5">
        <v>101.8</v>
      </c>
      <c r="F4361" s="5">
        <v>202.2</v>
      </c>
      <c r="G4361" s="5">
        <v>100.9</v>
      </c>
      <c r="H4361" s="5">
        <v>100.7</v>
      </c>
      <c r="I4361" s="5">
        <v>0</v>
      </c>
      <c r="J4361" s="5">
        <v>0</v>
      </c>
      <c r="K4361" s="5">
        <v>0</v>
      </c>
    </row>
    <row r="4362" spans="1:11" x14ac:dyDescent="0.25">
      <c r="A4362" s="5">
        <f>4355</f>
      </c>
      <c r="B4362" s="5" t="s">
        <v>4370</v>
      </c>
      <c r="C4362" s="5">
        <v>101.6</v>
      </c>
      <c r="D4362" s="5">
        <v>0.1</v>
      </c>
      <c r="E4362" s="5">
        <v>101.8</v>
      </c>
      <c r="F4362" s="5">
        <v>202.2</v>
      </c>
      <c r="G4362" s="5">
        <v>100.9</v>
      </c>
      <c r="H4362" s="5">
        <v>100.7</v>
      </c>
      <c r="I4362" s="5">
        <v>0</v>
      </c>
      <c r="J4362" s="5">
        <v>0</v>
      </c>
      <c r="K4362" s="5">
        <v>0</v>
      </c>
    </row>
    <row r="4363" spans="1:11" x14ac:dyDescent="0.25">
      <c r="A4363" s="5">
        <f>4356</f>
      </c>
      <c r="B4363" s="5" t="s">
        <v>4371</v>
      </c>
      <c r="C4363" s="5">
        <v>101</v>
      </c>
      <c r="D4363" s="5">
        <v>0.1</v>
      </c>
      <c r="E4363" s="5">
        <v>101.1</v>
      </c>
      <c r="F4363" s="5">
        <v>201.8</v>
      </c>
      <c r="G4363" s="5">
        <v>100.7</v>
      </c>
      <c r="H4363" s="5">
        <v>100.5</v>
      </c>
      <c r="I4363" s="5">
        <v>0</v>
      </c>
      <c r="J4363" s="5">
        <v>0</v>
      </c>
      <c r="K4363" s="5">
        <v>0</v>
      </c>
    </row>
    <row r="4364" spans="1:11" x14ac:dyDescent="0.25">
      <c r="A4364" s="5">
        <f>4357</f>
      </c>
      <c r="B4364" s="5" t="s">
        <v>4372</v>
      </c>
      <c r="C4364" s="5">
        <v>101</v>
      </c>
      <c r="D4364" s="5">
        <v>0.1</v>
      </c>
      <c r="E4364" s="5">
        <v>101.1</v>
      </c>
      <c r="F4364" s="5">
        <v>201.8</v>
      </c>
      <c r="G4364" s="5">
        <v>100.7</v>
      </c>
      <c r="H4364" s="5">
        <v>100.5</v>
      </c>
      <c r="I4364" s="5">
        <v>0</v>
      </c>
      <c r="J4364" s="5">
        <v>0</v>
      </c>
      <c r="K4364" s="5">
        <v>0</v>
      </c>
    </row>
    <row r="4365" spans="1:11" x14ac:dyDescent="0.25">
      <c r="A4365" s="5">
        <f>4358</f>
      </c>
      <c r="B4365" s="5" t="s">
        <v>4373</v>
      </c>
      <c r="C4365" s="5">
        <v>101.1</v>
      </c>
      <c r="D4365" s="5">
        <v>0.1</v>
      </c>
      <c r="E4365" s="5">
        <v>101.3</v>
      </c>
      <c r="F4365" s="5">
        <v>202.1</v>
      </c>
      <c r="G4365" s="5">
        <v>100.8</v>
      </c>
      <c r="H4365" s="5">
        <v>100.7</v>
      </c>
      <c r="I4365" s="5">
        <v>0</v>
      </c>
      <c r="J4365" s="5">
        <v>0</v>
      </c>
      <c r="K4365" s="5">
        <v>0</v>
      </c>
    </row>
    <row r="4366" spans="1:11" x14ac:dyDescent="0.25">
      <c r="A4366" s="5">
        <f>4359</f>
      </c>
      <c r="B4366" s="5" t="s">
        <v>4374</v>
      </c>
      <c r="C4366" s="5">
        <v>101.1</v>
      </c>
      <c r="D4366" s="5">
        <v>0.1</v>
      </c>
      <c r="E4366" s="5">
        <v>101.3</v>
      </c>
      <c r="F4366" s="5">
        <v>202.1</v>
      </c>
      <c r="G4366" s="5">
        <v>100.8</v>
      </c>
      <c r="H4366" s="5">
        <v>100.7</v>
      </c>
      <c r="I4366" s="5">
        <v>0</v>
      </c>
      <c r="J4366" s="5">
        <v>0</v>
      </c>
      <c r="K4366" s="5">
        <v>0</v>
      </c>
    </row>
    <row r="4367" spans="1:11" x14ac:dyDescent="0.25">
      <c r="A4367" s="5">
        <f>4360</f>
      </c>
      <c r="B4367" s="5" t="s">
        <v>4375</v>
      </c>
      <c r="C4367" s="5">
        <v>101.3</v>
      </c>
      <c r="D4367" s="5">
        <v>0.1</v>
      </c>
      <c r="E4367" s="5">
        <v>101.5</v>
      </c>
      <c r="F4367" s="5">
        <v>202.6</v>
      </c>
      <c r="G4367" s="5">
        <v>101.1</v>
      </c>
      <c r="H4367" s="5">
        <v>100.9</v>
      </c>
      <c r="I4367" s="5">
        <v>0</v>
      </c>
      <c r="J4367" s="5">
        <v>0</v>
      </c>
      <c r="K4367" s="5">
        <v>0</v>
      </c>
    </row>
    <row r="4368" spans="1:11" x14ac:dyDescent="0.25">
      <c r="A4368" s="5">
        <f>4361</f>
      </c>
      <c r="B4368" s="5" t="s">
        <v>4376</v>
      </c>
      <c r="C4368" s="5">
        <v>101.3</v>
      </c>
      <c r="D4368" s="5">
        <v>0.1</v>
      </c>
      <c r="E4368" s="5">
        <v>101.5</v>
      </c>
      <c r="F4368" s="5">
        <v>202.6</v>
      </c>
      <c r="G4368" s="5">
        <v>101.1</v>
      </c>
      <c r="H4368" s="5">
        <v>100.9</v>
      </c>
      <c r="I4368" s="5">
        <v>0</v>
      </c>
      <c r="J4368" s="5">
        <v>0</v>
      </c>
      <c r="K4368" s="5">
        <v>0</v>
      </c>
    </row>
    <row r="4369" spans="1:11" x14ac:dyDescent="0.25">
      <c r="A4369" s="5">
        <f>4362</f>
      </c>
      <c r="B4369" s="5" t="s">
        <v>4377</v>
      </c>
      <c r="C4369" s="5">
        <v>101.5</v>
      </c>
      <c r="D4369" s="5">
        <v>0.1</v>
      </c>
      <c r="E4369" s="5">
        <v>101.6</v>
      </c>
      <c r="F4369" s="5">
        <v>202.7</v>
      </c>
      <c r="G4369" s="5">
        <v>101.1</v>
      </c>
      <c r="H4369" s="5">
        <v>101</v>
      </c>
      <c r="I4369" s="5">
        <v>0</v>
      </c>
      <c r="J4369" s="5">
        <v>0</v>
      </c>
      <c r="K4369" s="5">
        <v>0</v>
      </c>
    </row>
    <row r="4370" spans="1:11" x14ac:dyDescent="0.25">
      <c r="A4370" s="5">
        <f>4363</f>
      </c>
      <c r="B4370" s="5" t="s">
        <v>4378</v>
      </c>
      <c r="C4370" s="5">
        <v>101.5</v>
      </c>
      <c r="D4370" s="5">
        <v>0.1</v>
      </c>
      <c r="E4370" s="5">
        <v>101.6</v>
      </c>
      <c r="F4370" s="5">
        <v>202.7</v>
      </c>
      <c r="G4370" s="5">
        <v>101.1</v>
      </c>
      <c r="H4370" s="5">
        <v>101</v>
      </c>
      <c r="I4370" s="5">
        <v>0</v>
      </c>
      <c r="J4370" s="5">
        <v>0</v>
      </c>
      <c r="K4370" s="5">
        <v>0</v>
      </c>
    </row>
    <row r="4371" spans="1:11" x14ac:dyDescent="0.25">
      <c r="A4371" s="5">
        <f>4364</f>
      </c>
      <c r="B4371" s="5" t="s">
        <v>4379</v>
      </c>
      <c r="C4371" s="5">
        <v>101.5</v>
      </c>
      <c r="D4371" s="5">
        <v>0.1</v>
      </c>
      <c r="E4371" s="5">
        <v>101.6</v>
      </c>
      <c r="F4371" s="5">
        <v>202.7</v>
      </c>
      <c r="G4371" s="5">
        <v>101.1</v>
      </c>
      <c r="H4371" s="5">
        <v>101</v>
      </c>
      <c r="I4371" s="5">
        <v>0</v>
      </c>
      <c r="J4371" s="5">
        <v>0</v>
      </c>
      <c r="K4371" s="5">
        <v>0</v>
      </c>
    </row>
    <row r="4372" spans="1:11" x14ac:dyDescent="0.25">
      <c r="A4372" s="5">
        <f>4365</f>
      </c>
      <c r="B4372" s="5" t="s">
        <v>4380</v>
      </c>
      <c r="C4372" s="5">
        <v>101.5</v>
      </c>
      <c r="D4372" s="5">
        <v>0.1</v>
      </c>
      <c r="E4372" s="5">
        <v>101.6</v>
      </c>
      <c r="F4372" s="5">
        <v>202.7</v>
      </c>
      <c r="G4372" s="5">
        <v>101.1</v>
      </c>
      <c r="H4372" s="5">
        <v>101</v>
      </c>
      <c r="I4372" s="5">
        <v>0</v>
      </c>
      <c r="J4372" s="5">
        <v>0</v>
      </c>
      <c r="K4372" s="5">
        <v>0</v>
      </c>
    </row>
    <row r="4373" spans="1:11" x14ac:dyDescent="0.25">
      <c r="A4373" s="5">
        <f>4366</f>
      </c>
      <c r="B4373" s="5" t="s">
        <v>4381</v>
      </c>
      <c r="C4373" s="5">
        <v>100.5</v>
      </c>
      <c r="D4373" s="5">
        <v>0.1</v>
      </c>
      <c r="E4373" s="5">
        <v>100.7</v>
      </c>
      <c r="F4373" s="5">
        <v>201.7</v>
      </c>
      <c r="G4373" s="5">
        <v>100.6</v>
      </c>
      <c r="H4373" s="5">
        <v>100.3</v>
      </c>
      <c r="I4373" s="5">
        <v>0</v>
      </c>
      <c r="J4373" s="5">
        <v>0</v>
      </c>
      <c r="K4373" s="5">
        <v>0</v>
      </c>
    </row>
    <row r="4374" spans="1:11" x14ac:dyDescent="0.25">
      <c r="A4374" s="5">
        <f>4367</f>
      </c>
      <c r="B4374" s="5" t="s">
        <v>4382</v>
      </c>
      <c r="C4374" s="5">
        <v>100.5</v>
      </c>
      <c r="D4374" s="5">
        <v>0.1</v>
      </c>
      <c r="E4374" s="5">
        <v>100.7</v>
      </c>
      <c r="F4374" s="5">
        <v>201.7</v>
      </c>
      <c r="G4374" s="5">
        <v>100.6</v>
      </c>
      <c r="H4374" s="5">
        <v>100.3</v>
      </c>
      <c r="I4374" s="5">
        <v>0</v>
      </c>
      <c r="J4374" s="5">
        <v>0</v>
      </c>
      <c r="K4374" s="5">
        <v>0</v>
      </c>
    </row>
    <row r="4375" spans="1:11" x14ac:dyDescent="0.25">
      <c r="A4375" s="5">
        <f>4368</f>
      </c>
      <c r="B4375" s="5" t="s">
        <v>4383</v>
      </c>
      <c r="C4375" s="5">
        <v>101.1</v>
      </c>
      <c r="D4375" s="5">
        <v>0.1</v>
      </c>
      <c r="E4375" s="5">
        <v>101.3</v>
      </c>
      <c r="F4375" s="5">
        <v>201.8</v>
      </c>
      <c r="G4375" s="5">
        <v>100.7</v>
      </c>
      <c r="H4375" s="5">
        <v>100.6</v>
      </c>
      <c r="I4375" s="5">
        <v>0</v>
      </c>
      <c r="J4375" s="5">
        <v>0</v>
      </c>
      <c r="K4375" s="5">
        <v>0</v>
      </c>
    </row>
    <row r="4376" spans="1:11" x14ac:dyDescent="0.25">
      <c r="A4376" s="5">
        <f>4369</f>
      </c>
      <c r="B4376" s="5" t="s">
        <v>4384</v>
      </c>
      <c r="C4376" s="5">
        <v>101.1</v>
      </c>
      <c r="D4376" s="5">
        <v>0.1</v>
      </c>
      <c r="E4376" s="5">
        <v>101.3</v>
      </c>
      <c r="F4376" s="5">
        <v>201.8</v>
      </c>
      <c r="G4376" s="5">
        <v>100.7</v>
      </c>
      <c r="H4376" s="5">
        <v>100.6</v>
      </c>
      <c r="I4376" s="5">
        <v>0</v>
      </c>
      <c r="J4376" s="5">
        <v>0</v>
      </c>
      <c r="K4376" s="5">
        <v>0</v>
      </c>
    </row>
    <row r="4377" spans="1:11" x14ac:dyDescent="0.25">
      <c r="A4377" s="5">
        <f>4370</f>
      </c>
      <c r="B4377" s="5" t="s">
        <v>4385</v>
      </c>
      <c r="C4377" s="5">
        <v>101.3</v>
      </c>
      <c r="D4377" s="5">
        <v>0.1</v>
      </c>
      <c r="E4377" s="5">
        <v>101.5</v>
      </c>
      <c r="F4377" s="5">
        <v>202.5</v>
      </c>
      <c r="G4377" s="5">
        <v>101</v>
      </c>
      <c r="H4377" s="5">
        <v>100.8</v>
      </c>
      <c r="I4377" s="5">
        <v>0</v>
      </c>
      <c r="J4377" s="5">
        <v>0</v>
      </c>
      <c r="K4377" s="5">
        <v>0</v>
      </c>
    </row>
    <row r="4378" spans="1:11" x14ac:dyDescent="0.25">
      <c r="A4378" s="5">
        <f>4371</f>
      </c>
      <c r="B4378" s="5" t="s">
        <v>4386</v>
      </c>
      <c r="C4378" s="5">
        <v>101.3</v>
      </c>
      <c r="D4378" s="5">
        <v>0.1</v>
      </c>
      <c r="E4378" s="5">
        <v>101.5</v>
      </c>
      <c r="F4378" s="5">
        <v>202.5</v>
      </c>
      <c r="G4378" s="5">
        <v>101</v>
      </c>
      <c r="H4378" s="5">
        <v>100.8</v>
      </c>
      <c r="I4378" s="5">
        <v>0</v>
      </c>
      <c r="J4378" s="5">
        <v>0</v>
      </c>
      <c r="K4378" s="5">
        <v>0</v>
      </c>
    </row>
    <row r="4379" spans="1:11" x14ac:dyDescent="0.25">
      <c r="A4379" s="5">
        <f>4372</f>
      </c>
      <c r="B4379" s="5" t="s">
        <v>4387</v>
      </c>
      <c r="C4379" s="5">
        <v>100.8</v>
      </c>
      <c r="D4379" s="5">
        <v>0.1</v>
      </c>
      <c r="E4379" s="5">
        <v>100.9</v>
      </c>
      <c r="F4379" s="5">
        <v>201.5</v>
      </c>
      <c r="G4379" s="5">
        <v>100.5</v>
      </c>
      <c r="H4379" s="5">
        <v>100.3</v>
      </c>
      <c r="I4379" s="5">
        <v>0</v>
      </c>
      <c r="J4379" s="5">
        <v>0</v>
      </c>
      <c r="K4379" s="5">
        <v>0</v>
      </c>
    </row>
    <row r="4380" spans="1:11" x14ac:dyDescent="0.25">
      <c r="A4380" s="5">
        <f>4373</f>
      </c>
      <c r="B4380" s="5" t="s">
        <v>4388</v>
      </c>
      <c r="C4380" s="5">
        <v>100.8</v>
      </c>
      <c r="D4380" s="5">
        <v>0.1</v>
      </c>
      <c r="E4380" s="5">
        <v>100.9</v>
      </c>
      <c r="F4380" s="5">
        <v>201.5</v>
      </c>
      <c r="G4380" s="5">
        <v>100.5</v>
      </c>
      <c r="H4380" s="5">
        <v>100.3</v>
      </c>
      <c r="I4380" s="5">
        <v>0</v>
      </c>
      <c r="J4380" s="5">
        <v>0</v>
      </c>
      <c r="K4380" s="5">
        <v>0</v>
      </c>
    </row>
    <row r="4381" spans="1:11" x14ac:dyDescent="0.25">
      <c r="A4381" s="5">
        <f>4374</f>
      </c>
      <c r="B4381" s="5" t="s">
        <v>4389</v>
      </c>
      <c r="C4381" s="5">
        <v>100.8</v>
      </c>
      <c r="D4381" s="5">
        <v>0.1</v>
      </c>
      <c r="E4381" s="5">
        <v>100.9</v>
      </c>
      <c r="F4381" s="5">
        <v>201.5</v>
      </c>
      <c r="G4381" s="5">
        <v>100.5</v>
      </c>
      <c r="H4381" s="5">
        <v>100.3</v>
      </c>
      <c r="I4381" s="5">
        <v>0</v>
      </c>
      <c r="J4381" s="5">
        <v>0</v>
      </c>
      <c r="K4381" s="5">
        <v>0</v>
      </c>
    </row>
    <row r="4382" spans="1:11" x14ac:dyDescent="0.25">
      <c r="A4382" s="5">
        <f>4375</f>
      </c>
      <c r="B4382" s="5" t="s">
        <v>4390</v>
      </c>
      <c r="C4382" s="5">
        <v>100.8</v>
      </c>
      <c r="D4382" s="5">
        <v>0.1</v>
      </c>
      <c r="E4382" s="5">
        <v>100.9</v>
      </c>
      <c r="F4382" s="5">
        <v>201.5</v>
      </c>
      <c r="G4382" s="5">
        <v>100.5</v>
      </c>
      <c r="H4382" s="5">
        <v>100.3</v>
      </c>
      <c r="I4382" s="5">
        <v>0</v>
      </c>
      <c r="J4382" s="5">
        <v>0</v>
      </c>
      <c r="K4382" s="5">
        <v>0</v>
      </c>
    </row>
    <row r="4383" spans="1:11" x14ac:dyDescent="0.25">
      <c r="A4383" s="5">
        <f>4376</f>
      </c>
      <c r="B4383" s="5" t="s">
        <v>4391</v>
      </c>
      <c r="C4383" s="5">
        <v>101.5</v>
      </c>
      <c r="D4383" s="5">
        <v>0.1</v>
      </c>
      <c r="E4383" s="5">
        <v>101.6</v>
      </c>
      <c r="F4383" s="5">
        <v>202.8</v>
      </c>
      <c r="G4383" s="5">
        <v>101.2</v>
      </c>
      <c r="H4383" s="5">
        <v>101</v>
      </c>
      <c r="I4383" s="5">
        <v>0</v>
      </c>
      <c r="J4383" s="5">
        <v>0</v>
      </c>
      <c r="K4383" s="5">
        <v>0</v>
      </c>
    </row>
    <row r="4384" spans="1:11" x14ac:dyDescent="0.25">
      <c r="A4384" s="5">
        <f>4377</f>
      </c>
      <c r="B4384" s="5" t="s">
        <v>4392</v>
      </c>
      <c r="C4384" s="5">
        <v>101.5</v>
      </c>
      <c r="D4384" s="5">
        <v>0.1</v>
      </c>
      <c r="E4384" s="5">
        <v>101.6</v>
      </c>
      <c r="F4384" s="5">
        <v>202.8</v>
      </c>
      <c r="G4384" s="5">
        <v>101.2</v>
      </c>
      <c r="H4384" s="5">
        <v>101</v>
      </c>
      <c r="I4384" s="5">
        <v>0</v>
      </c>
      <c r="J4384" s="5">
        <v>0</v>
      </c>
      <c r="K4384" s="5">
        <v>0</v>
      </c>
    </row>
    <row r="4385" spans="1:11" x14ac:dyDescent="0.25">
      <c r="A4385" s="5">
        <f>4378</f>
      </c>
      <c r="B4385" s="5" t="s">
        <v>4393</v>
      </c>
      <c r="C4385" s="5">
        <v>100.9</v>
      </c>
      <c r="D4385" s="5">
        <v>0.1</v>
      </c>
      <c r="E4385" s="5">
        <v>101.1</v>
      </c>
      <c r="F4385" s="5">
        <v>201.7</v>
      </c>
      <c r="G4385" s="5">
        <v>100.6</v>
      </c>
      <c r="H4385" s="5">
        <v>100.5</v>
      </c>
      <c r="I4385" s="5">
        <v>0</v>
      </c>
      <c r="J4385" s="5">
        <v>0</v>
      </c>
      <c r="K4385" s="5">
        <v>0</v>
      </c>
    </row>
    <row r="4386" spans="1:11" x14ac:dyDescent="0.25">
      <c r="A4386" s="5">
        <f>4379</f>
      </c>
      <c r="B4386" s="5" t="s">
        <v>4394</v>
      </c>
      <c r="C4386" s="5">
        <v>100.9</v>
      </c>
      <c r="D4386" s="5">
        <v>0.1</v>
      </c>
      <c r="E4386" s="5">
        <v>101.1</v>
      </c>
      <c r="F4386" s="5">
        <v>201.7</v>
      </c>
      <c r="G4386" s="5">
        <v>100.6</v>
      </c>
      <c r="H4386" s="5">
        <v>100.5</v>
      </c>
      <c r="I4386" s="5">
        <v>0</v>
      </c>
      <c r="J4386" s="5">
        <v>0</v>
      </c>
      <c r="K4386" s="5">
        <v>0</v>
      </c>
    </row>
    <row r="4387" spans="1:11" x14ac:dyDescent="0.25">
      <c r="A4387" s="5">
        <f>4380</f>
      </c>
      <c r="B4387" s="5" t="s">
        <v>4395</v>
      </c>
      <c r="C4387" s="5">
        <v>101.1</v>
      </c>
      <c r="D4387" s="5">
        <v>0.1</v>
      </c>
      <c r="E4387" s="5">
        <v>101.2</v>
      </c>
      <c r="F4387" s="5">
        <v>202</v>
      </c>
      <c r="G4387" s="5">
        <v>100.8</v>
      </c>
      <c r="H4387" s="5">
        <v>100.6</v>
      </c>
      <c r="I4387" s="5">
        <v>0</v>
      </c>
      <c r="J4387" s="5">
        <v>0</v>
      </c>
      <c r="K4387" s="5">
        <v>0</v>
      </c>
    </row>
    <row r="4388" spans="1:11" x14ac:dyDescent="0.25">
      <c r="A4388" s="5">
        <f>4381</f>
      </c>
      <c r="B4388" s="5" t="s">
        <v>4396</v>
      </c>
      <c r="C4388" s="5">
        <v>101.1</v>
      </c>
      <c r="D4388" s="5">
        <v>0.1</v>
      </c>
      <c r="E4388" s="5">
        <v>101.2</v>
      </c>
      <c r="F4388" s="5">
        <v>202</v>
      </c>
      <c r="G4388" s="5">
        <v>100.8</v>
      </c>
      <c r="H4388" s="5">
        <v>100.6</v>
      </c>
      <c r="I4388" s="5">
        <v>0</v>
      </c>
      <c r="J4388" s="5">
        <v>0</v>
      </c>
      <c r="K4388" s="5">
        <v>0</v>
      </c>
    </row>
    <row r="4389" spans="1:11" x14ac:dyDescent="0.25">
      <c r="A4389" s="5">
        <f>4382</f>
      </c>
      <c r="B4389" s="5" t="s">
        <v>4397</v>
      </c>
      <c r="C4389" s="5">
        <v>100.7</v>
      </c>
      <c r="D4389" s="5">
        <v>0.1</v>
      </c>
      <c r="E4389" s="5">
        <v>100.8</v>
      </c>
      <c r="F4389" s="5">
        <v>201.3</v>
      </c>
      <c r="G4389" s="5">
        <v>100.4</v>
      </c>
      <c r="H4389" s="5">
        <v>100.2</v>
      </c>
      <c r="I4389" s="5">
        <v>0</v>
      </c>
      <c r="J4389" s="5">
        <v>0</v>
      </c>
      <c r="K4389" s="5">
        <v>0</v>
      </c>
    </row>
    <row r="4390" spans="1:11" x14ac:dyDescent="0.25">
      <c r="A4390" s="5">
        <f>4383</f>
      </c>
      <c r="B4390" s="5" t="s">
        <v>4398</v>
      </c>
      <c r="C4390" s="5">
        <v>100.7</v>
      </c>
      <c r="D4390" s="5">
        <v>0.1</v>
      </c>
      <c r="E4390" s="5">
        <v>100.8</v>
      </c>
      <c r="F4390" s="5">
        <v>201.3</v>
      </c>
      <c r="G4390" s="5">
        <v>100.4</v>
      </c>
      <c r="H4390" s="5">
        <v>100.2</v>
      </c>
      <c r="I4390" s="5">
        <v>0</v>
      </c>
      <c r="J4390" s="5">
        <v>0</v>
      </c>
      <c r="K4390" s="5">
        <v>0</v>
      </c>
    </row>
    <row r="4391" spans="1:11" x14ac:dyDescent="0.25">
      <c r="A4391" s="5">
        <f>4384</f>
      </c>
      <c r="B4391" s="5" t="s">
        <v>4399</v>
      </c>
      <c r="C4391" s="5">
        <v>100.7</v>
      </c>
      <c r="D4391" s="5">
        <v>0.1</v>
      </c>
      <c r="E4391" s="5">
        <v>100.8</v>
      </c>
      <c r="F4391" s="5">
        <v>201.3</v>
      </c>
      <c r="G4391" s="5">
        <v>100.4</v>
      </c>
      <c r="H4391" s="5">
        <v>100.2</v>
      </c>
      <c r="I4391" s="5">
        <v>0</v>
      </c>
      <c r="J4391" s="5">
        <v>0</v>
      </c>
      <c r="K4391" s="5">
        <v>0</v>
      </c>
    </row>
    <row r="4392" spans="1:11" x14ac:dyDescent="0.25">
      <c r="A4392" s="5">
        <f>4385</f>
      </c>
      <c r="B4392" s="5" t="s">
        <v>4400</v>
      </c>
      <c r="C4392" s="5">
        <v>100.7</v>
      </c>
      <c r="D4392" s="5">
        <v>0.1</v>
      </c>
      <c r="E4392" s="5">
        <v>100.8</v>
      </c>
      <c r="F4392" s="5">
        <v>201.3</v>
      </c>
      <c r="G4392" s="5">
        <v>100.4</v>
      </c>
      <c r="H4392" s="5">
        <v>100.2</v>
      </c>
      <c r="I4392" s="5">
        <v>0</v>
      </c>
      <c r="J4392" s="5">
        <v>0</v>
      </c>
      <c r="K4392" s="5">
        <v>0</v>
      </c>
    </row>
    <row r="4393" spans="1:11" x14ac:dyDescent="0.25">
      <c r="A4393" s="5">
        <f>4386</f>
      </c>
      <c r="B4393" s="5" t="s">
        <v>4401</v>
      </c>
      <c r="C4393" s="5">
        <v>102.9</v>
      </c>
      <c r="D4393" s="5">
        <v>0.1</v>
      </c>
      <c r="E4393" s="5">
        <v>103.1</v>
      </c>
      <c r="F4393" s="5">
        <v>205.3</v>
      </c>
      <c r="G4393" s="5">
        <v>102.4</v>
      </c>
      <c r="H4393" s="5">
        <v>102.2</v>
      </c>
      <c r="I4393" s="5">
        <v>0</v>
      </c>
      <c r="J4393" s="5">
        <v>0</v>
      </c>
      <c r="K4393" s="5">
        <v>0</v>
      </c>
    </row>
    <row r="4394" spans="1:11" x14ac:dyDescent="0.25">
      <c r="A4394" s="5">
        <f>4387</f>
      </c>
      <c r="B4394" s="5" t="s">
        <v>4402</v>
      </c>
      <c r="C4394" s="5">
        <v>102.9</v>
      </c>
      <c r="D4394" s="5">
        <v>0.1</v>
      </c>
      <c r="E4394" s="5">
        <v>103.1</v>
      </c>
      <c r="F4394" s="5">
        <v>205.3</v>
      </c>
      <c r="G4394" s="5">
        <v>102.4</v>
      </c>
      <c r="H4394" s="5">
        <v>102.2</v>
      </c>
      <c r="I4394" s="5">
        <v>0</v>
      </c>
      <c r="J4394" s="5">
        <v>0</v>
      </c>
      <c r="K4394" s="5">
        <v>0</v>
      </c>
    </row>
    <row r="4395" spans="1:11" x14ac:dyDescent="0.25">
      <c r="A4395" s="5">
        <f>4388</f>
      </c>
      <c r="B4395" s="5" t="s">
        <v>4403</v>
      </c>
      <c r="C4395" s="5">
        <v>102.7</v>
      </c>
      <c r="D4395" s="5">
        <v>0.1</v>
      </c>
      <c r="E4395" s="5">
        <v>102.8</v>
      </c>
      <c r="F4395" s="5">
        <v>205.4</v>
      </c>
      <c r="G4395" s="5">
        <v>102.4</v>
      </c>
      <c r="H4395" s="5">
        <v>102.3</v>
      </c>
      <c r="I4395" s="5">
        <v>0</v>
      </c>
      <c r="J4395" s="5">
        <v>0</v>
      </c>
      <c r="K4395" s="5">
        <v>0</v>
      </c>
    </row>
    <row r="4396" spans="1:11" x14ac:dyDescent="0.25">
      <c r="A4396" s="5">
        <f>4389</f>
      </c>
      <c r="B4396" s="5" t="s">
        <v>4404</v>
      </c>
      <c r="C4396" s="5">
        <v>102.7</v>
      </c>
      <c r="D4396" s="5">
        <v>0.1</v>
      </c>
      <c r="E4396" s="5">
        <v>102.8</v>
      </c>
      <c r="F4396" s="5">
        <v>205.4</v>
      </c>
      <c r="G4396" s="5">
        <v>102.4</v>
      </c>
      <c r="H4396" s="5">
        <v>102.3</v>
      </c>
      <c r="I4396" s="5">
        <v>0</v>
      </c>
      <c r="J4396" s="5">
        <v>0</v>
      </c>
      <c r="K4396" s="5">
        <v>0</v>
      </c>
    </row>
    <row r="4397" spans="1:11" x14ac:dyDescent="0.25">
      <c r="A4397" s="5">
        <f>4390</f>
      </c>
      <c r="B4397" s="5" t="s">
        <v>4405</v>
      </c>
      <c r="C4397" s="5">
        <v>102.5</v>
      </c>
      <c r="D4397" s="5">
        <v>0.1</v>
      </c>
      <c r="E4397" s="5">
        <v>102.7</v>
      </c>
      <c r="F4397" s="5">
        <v>205</v>
      </c>
      <c r="G4397" s="5">
        <v>102.3</v>
      </c>
      <c r="H4397" s="5">
        <v>102.1</v>
      </c>
      <c r="I4397" s="5">
        <v>0</v>
      </c>
      <c r="J4397" s="5">
        <v>0</v>
      </c>
      <c r="K4397" s="5">
        <v>0</v>
      </c>
    </row>
    <row r="4398" spans="1:11" x14ac:dyDescent="0.25">
      <c r="A4398" s="5">
        <f>4391</f>
      </c>
      <c r="B4398" s="5" t="s">
        <v>4406</v>
      </c>
      <c r="C4398" s="5">
        <v>102.5</v>
      </c>
      <c r="D4398" s="5">
        <v>0.1</v>
      </c>
      <c r="E4398" s="5">
        <v>102.7</v>
      </c>
      <c r="F4398" s="5">
        <v>205</v>
      </c>
      <c r="G4398" s="5">
        <v>102.3</v>
      </c>
      <c r="H4398" s="5">
        <v>102.1</v>
      </c>
      <c r="I4398" s="5">
        <v>0</v>
      </c>
      <c r="J4398" s="5">
        <v>0</v>
      </c>
      <c r="K4398" s="5">
        <v>0</v>
      </c>
    </row>
    <row r="4399" spans="1:11" x14ac:dyDescent="0.25">
      <c r="A4399" s="5">
        <f>4392</f>
      </c>
      <c r="B4399" s="5" t="s">
        <v>4407</v>
      </c>
      <c r="C4399" s="5">
        <v>102.9</v>
      </c>
      <c r="D4399" s="5">
        <v>0.1</v>
      </c>
      <c r="E4399" s="5">
        <v>103.1</v>
      </c>
      <c r="F4399" s="5">
        <v>205.1</v>
      </c>
      <c r="G4399" s="5">
        <v>102.3</v>
      </c>
      <c r="H4399" s="5">
        <v>102.2</v>
      </c>
      <c r="I4399" s="5">
        <v>0</v>
      </c>
      <c r="J4399" s="5">
        <v>0</v>
      </c>
      <c r="K4399" s="5">
        <v>0</v>
      </c>
    </row>
    <row r="4400" spans="1:11" x14ac:dyDescent="0.25">
      <c r="A4400" s="5">
        <f>4393</f>
      </c>
      <c r="B4400" s="5" t="s">
        <v>4408</v>
      </c>
      <c r="C4400" s="5">
        <v>102.9</v>
      </c>
      <c r="D4400" s="5">
        <v>0.1</v>
      </c>
      <c r="E4400" s="5">
        <v>103.1</v>
      </c>
      <c r="F4400" s="5">
        <v>205.1</v>
      </c>
      <c r="G4400" s="5">
        <v>102.3</v>
      </c>
      <c r="H4400" s="5">
        <v>102.2</v>
      </c>
      <c r="I4400" s="5">
        <v>0</v>
      </c>
      <c r="J4400" s="5">
        <v>0</v>
      </c>
      <c r="K4400" s="5">
        <v>0</v>
      </c>
    </row>
    <row r="4401" spans="1:11" x14ac:dyDescent="0.25">
      <c r="A4401" s="5">
        <f>4394</f>
      </c>
      <c r="B4401" s="5" t="s">
        <v>4409</v>
      </c>
      <c r="C4401" s="5">
        <v>102.9</v>
      </c>
      <c r="D4401" s="5">
        <v>0.1</v>
      </c>
      <c r="E4401" s="5">
        <v>103.1</v>
      </c>
      <c r="F4401" s="5">
        <v>205.1</v>
      </c>
      <c r="G4401" s="5">
        <v>102.3</v>
      </c>
      <c r="H4401" s="5">
        <v>102.2</v>
      </c>
      <c r="I4401" s="5">
        <v>0</v>
      </c>
      <c r="J4401" s="5">
        <v>0</v>
      </c>
      <c r="K4401" s="5">
        <v>0</v>
      </c>
    </row>
    <row r="4402" spans="1:11" x14ac:dyDescent="0.25">
      <c r="A4402" s="5">
        <f>4395</f>
      </c>
      <c r="B4402" s="5" t="s">
        <v>4410</v>
      </c>
      <c r="C4402" s="5">
        <v>102.9</v>
      </c>
      <c r="D4402" s="5">
        <v>0.1</v>
      </c>
      <c r="E4402" s="5">
        <v>103.1</v>
      </c>
      <c r="F4402" s="5">
        <v>205.1</v>
      </c>
      <c r="G4402" s="5">
        <v>102.3</v>
      </c>
      <c r="H4402" s="5">
        <v>102.2</v>
      </c>
      <c r="I4402" s="5">
        <v>0</v>
      </c>
      <c r="J4402" s="5">
        <v>0</v>
      </c>
      <c r="K4402" s="5">
        <v>0</v>
      </c>
    </row>
    <row r="4403" spans="1:11" x14ac:dyDescent="0.25">
      <c r="A4403" s="5">
        <f>4396</f>
      </c>
      <c r="B4403" s="5" t="s">
        <v>4411</v>
      </c>
      <c r="C4403" s="5">
        <v>103.5</v>
      </c>
      <c r="D4403" s="5">
        <v>0.1</v>
      </c>
      <c r="E4403" s="5">
        <v>103.7</v>
      </c>
      <c r="F4403" s="5">
        <v>206.5</v>
      </c>
      <c r="G4403" s="5">
        <v>103</v>
      </c>
      <c r="H4403" s="5">
        <v>102.9</v>
      </c>
      <c r="I4403" s="5">
        <v>0</v>
      </c>
      <c r="J4403" s="5">
        <v>0</v>
      </c>
      <c r="K4403" s="5">
        <v>0</v>
      </c>
    </row>
    <row r="4404" spans="1:11" x14ac:dyDescent="0.25">
      <c r="A4404" s="5">
        <f>4397</f>
      </c>
      <c r="B4404" s="5" t="s">
        <v>4412</v>
      </c>
      <c r="C4404" s="5">
        <v>103.5</v>
      </c>
      <c r="D4404" s="5">
        <v>0.1</v>
      </c>
      <c r="E4404" s="5">
        <v>103.7</v>
      </c>
      <c r="F4404" s="5">
        <v>206.5</v>
      </c>
      <c r="G4404" s="5">
        <v>103</v>
      </c>
      <c r="H4404" s="5">
        <v>102.9</v>
      </c>
      <c r="I4404" s="5">
        <v>0</v>
      </c>
      <c r="J4404" s="5">
        <v>0</v>
      </c>
      <c r="K4404" s="5">
        <v>0</v>
      </c>
    </row>
    <row r="4405" spans="1:11" x14ac:dyDescent="0.25">
      <c r="A4405" s="5">
        <f>4398</f>
      </c>
      <c r="B4405" s="5" t="s">
        <v>4413</v>
      </c>
      <c r="C4405" s="5">
        <v>104.5</v>
      </c>
      <c r="D4405" s="5">
        <v>0.1</v>
      </c>
      <c r="E4405" s="5">
        <v>104.6</v>
      </c>
      <c r="F4405" s="5">
        <v>208.8</v>
      </c>
      <c r="G4405" s="5">
        <v>104.1</v>
      </c>
      <c r="H4405" s="5">
        <v>104</v>
      </c>
      <c r="I4405" s="5">
        <v>0</v>
      </c>
      <c r="J4405" s="5">
        <v>0</v>
      </c>
      <c r="K4405" s="5">
        <v>0</v>
      </c>
    </row>
    <row r="4406" spans="1:11" x14ac:dyDescent="0.25">
      <c r="A4406" s="5">
        <f>4399</f>
      </c>
      <c r="B4406" s="5" t="s">
        <v>4414</v>
      </c>
      <c r="C4406" s="5">
        <v>104.5</v>
      </c>
      <c r="D4406" s="5">
        <v>0.1</v>
      </c>
      <c r="E4406" s="5">
        <v>104.6</v>
      </c>
      <c r="F4406" s="5">
        <v>208.8</v>
      </c>
      <c r="G4406" s="5">
        <v>104.1</v>
      </c>
      <c r="H4406" s="5">
        <v>104</v>
      </c>
      <c r="I4406" s="5">
        <v>0</v>
      </c>
      <c r="J4406" s="5">
        <v>0</v>
      </c>
      <c r="K4406" s="5">
        <v>0</v>
      </c>
    </row>
    <row r="4407" spans="1:11" x14ac:dyDescent="0.25">
      <c r="A4407" s="5">
        <f>4400</f>
      </c>
      <c r="B4407" s="5" t="s">
        <v>4415</v>
      </c>
      <c r="C4407" s="5">
        <v>104.3</v>
      </c>
      <c r="D4407" s="5">
        <v>0.1</v>
      </c>
      <c r="E4407" s="5">
        <v>104.4</v>
      </c>
      <c r="F4407" s="5">
        <v>207.8</v>
      </c>
      <c r="G4407" s="5">
        <v>103.7</v>
      </c>
      <c r="H4407" s="5">
        <v>103.5</v>
      </c>
      <c r="I4407" s="5">
        <v>0</v>
      </c>
      <c r="J4407" s="5">
        <v>0</v>
      </c>
      <c r="K4407" s="5">
        <v>0</v>
      </c>
    </row>
    <row r="4408" spans="1:11" x14ac:dyDescent="0.25">
      <c r="A4408" s="5">
        <f>4401</f>
      </c>
      <c r="B4408" s="5" t="s">
        <v>4416</v>
      </c>
      <c r="C4408" s="5">
        <v>104.3</v>
      </c>
      <c r="D4408" s="5">
        <v>0.1</v>
      </c>
      <c r="E4408" s="5">
        <v>104.4</v>
      </c>
      <c r="F4408" s="5">
        <v>207.8</v>
      </c>
      <c r="G4408" s="5">
        <v>103.7</v>
      </c>
      <c r="H4408" s="5">
        <v>103.5</v>
      </c>
      <c r="I4408" s="5">
        <v>0</v>
      </c>
      <c r="J4408" s="5">
        <v>0</v>
      </c>
      <c r="K4408" s="5">
        <v>0</v>
      </c>
    </row>
    <row r="4409" spans="1:11" x14ac:dyDescent="0.25">
      <c r="A4409" s="5">
        <f>4402</f>
      </c>
      <c r="B4409" s="5" t="s">
        <v>4417</v>
      </c>
      <c r="C4409" s="5">
        <v>103.6</v>
      </c>
      <c r="D4409" s="5">
        <v>0.1</v>
      </c>
      <c r="E4409" s="5">
        <v>103.7</v>
      </c>
      <c r="F4409" s="5">
        <v>206.9</v>
      </c>
      <c r="G4409" s="5">
        <v>103.2</v>
      </c>
      <c r="H4409" s="5">
        <v>103.1</v>
      </c>
      <c r="I4409" s="5">
        <v>0</v>
      </c>
      <c r="J4409" s="5">
        <v>0</v>
      </c>
      <c r="K4409" s="5">
        <v>0</v>
      </c>
    </row>
    <row r="4410" spans="1:11" x14ac:dyDescent="0.25">
      <c r="A4410" s="5">
        <f>4403</f>
      </c>
      <c r="B4410" s="5" t="s">
        <v>4418</v>
      </c>
      <c r="C4410" s="5">
        <v>103.6</v>
      </c>
      <c r="D4410" s="5">
        <v>0.1</v>
      </c>
      <c r="E4410" s="5">
        <v>103.7</v>
      </c>
      <c r="F4410" s="5">
        <v>206.9</v>
      </c>
      <c r="G4410" s="5">
        <v>103.2</v>
      </c>
      <c r="H4410" s="5">
        <v>103.1</v>
      </c>
      <c r="I4410" s="5">
        <v>0</v>
      </c>
      <c r="J4410" s="5">
        <v>0</v>
      </c>
      <c r="K4410" s="5">
        <v>0</v>
      </c>
    </row>
    <row r="4411" spans="1:11" x14ac:dyDescent="0.25">
      <c r="A4411" s="5">
        <f>4404</f>
      </c>
      <c r="B4411" s="5" t="s">
        <v>4419</v>
      </c>
      <c r="C4411" s="5">
        <v>103.6</v>
      </c>
      <c r="D4411" s="5">
        <v>0.1</v>
      </c>
      <c r="E4411" s="5">
        <v>103.7</v>
      </c>
      <c r="F4411" s="5">
        <v>206.9</v>
      </c>
      <c r="G4411" s="5">
        <v>103.2</v>
      </c>
      <c r="H4411" s="5">
        <v>103.1</v>
      </c>
      <c r="I4411" s="5">
        <v>0</v>
      </c>
      <c r="J4411" s="5">
        <v>0</v>
      </c>
      <c r="K4411" s="5">
        <v>0</v>
      </c>
    </row>
    <row r="4412" spans="1:11" x14ac:dyDescent="0.25">
      <c r="A4412" s="5">
        <f>4405</f>
      </c>
      <c r="B4412" s="5" t="s">
        <v>4420</v>
      </c>
      <c r="C4412" s="5">
        <v>103.6</v>
      </c>
      <c r="D4412" s="5">
        <v>0.1</v>
      </c>
      <c r="E4412" s="5">
        <v>103.7</v>
      </c>
      <c r="F4412" s="5">
        <v>206.9</v>
      </c>
      <c r="G4412" s="5">
        <v>103.2</v>
      </c>
      <c r="H4412" s="5">
        <v>103.1</v>
      </c>
      <c r="I4412" s="5">
        <v>0</v>
      </c>
      <c r="J4412" s="5">
        <v>0</v>
      </c>
      <c r="K4412" s="5">
        <v>0</v>
      </c>
    </row>
    <row r="4413" spans="1:11" x14ac:dyDescent="0.25">
      <c r="A4413" s="5">
        <f>4406</f>
      </c>
      <c r="B4413" s="5" t="s">
        <v>4421</v>
      </c>
      <c r="C4413" s="5">
        <v>103.7</v>
      </c>
      <c r="D4413" s="5">
        <v>0.1</v>
      </c>
      <c r="E4413" s="5">
        <v>103.9</v>
      </c>
      <c r="F4413" s="5">
        <v>207</v>
      </c>
      <c r="G4413" s="5">
        <v>103.3</v>
      </c>
      <c r="H4413" s="5">
        <v>103.1</v>
      </c>
      <c r="I4413" s="5">
        <v>0</v>
      </c>
      <c r="J4413" s="5">
        <v>0</v>
      </c>
      <c r="K4413" s="5">
        <v>0</v>
      </c>
    </row>
    <row r="4414" spans="1:11" x14ac:dyDescent="0.25">
      <c r="A4414" s="5">
        <f>4407</f>
      </c>
      <c r="B4414" s="5" t="s">
        <v>4422</v>
      </c>
      <c r="C4414" s="5">
        <v>103.7</v>
      </c>
      <c r="D4414" s="5">
        <v>0.1</v>
      </c>
      <c r="E4414" s="5">
        <v>103.9</v>
      </c>
      <c r="F4414" s="5">
        <v>207</v>
      </c>
      <c r="G4414" s="5">
        <v>103.3</v>
      </c>
      <c r="H4414" s="5">
        <v>103.1</v>
      </c>
      <c r="I4414" s="5">
        <v>0</v>
      </c>
      <c r="J4414" s="5">
        <v>0</v>
      </c>
      <c r="K4414" s="5">
        <v>0</v>
      </c>
    </row>
    <row r="4415" spans="1:11" x14ac:dyDescent="0.25">
      <c r="A4415" s="5">
        <f>4408</f>
      </c>
      <c r="B4415" s="5" t="s">
        <v>4423</v>
      </c>
      <c r="C4415" s="5">
        <v>103.9</v>
      </c>
      <c r="D4415" s="5">
        <v>0.1</v>
      </c>
      <c r="E4415" s="5">
        <v>104</v>
      </c>
      <c r="F4415" s="5">
        <v>207.2</v>
      </c>
      <c r="G4415" s="5">
        <v>103.4</v>
      </c>
      <c r="H4415" s="5">
        <v>103.3</v>
      </c>
      <c r="I4415" s="5">
        <v>0</v>
      </c>
      <c r="J4415" s="5">
        <v>0</v>
      </c>
      <c r="K4415" s="5">
        <v>0</v>
      </c>
    </row>
    <row r="4416" spans="1:11" x14ac:dyDescent="0.25">
      <c r="A4416" s="5">
        <f>4409</f>
      </c>
      <c r="B4416" s="5" t="s">
        <v>4424</v>
      </c>
      <c r="C4416" s="5">
        <v>103.9</v>
      </c>
      <c r="D4416" s="5">
        <v>0.1</v>
      </c>
      <c r="E4416" s="5">
        <v>104</v>
      </c>
      <c r="F4416" s="5">
        <v>207.2</v>
      </c>
      <c r="G4416" s="5">
        <v>103.4</v>
      </c>
      <c r="H4416" s="5">
        <v>103.3</v>
      </c>
      <c r="I4416" s="5">
        <v>0</v>
      </c>
      <c r="J4416" s="5">
        <v>0</v>
      </c>
      <c r="K4416" s="5">
        <v>0</v>
      </c>
    </row>
    <row r="4417" spans="1:11" x14ac:dyDescent="0.25">
      <c r="A4417" s="5">
        <f>4410</f>
      </c>
      <c r="B4417" s="5" t="s">
        <v>4425</v>
      </c>
      <c r="C4417" s="5">
        <v>103.5</v>
      </c>
      <c r="D4417" s="5">
        <v>0.1</v>
      </c>
      <c r="E4417" s="5">
        <v>103.7</v>
      </c>
      <c r="F4417" s="5">
        <v>207.7</v>
      </c>
      <c r="G4417" s="5">
        <v>103.6</v>
      </c>
      <c r="H4417" s="5">
        <v>103.5</v>
      </c>
      <c r="I4417" s="5">
        <v>0</v>
      </c>
      <c r="J4417" s="5">
        <v>0</v>
      </c>
      <c r="K4417" s="5">
        <v>0</v>
      </c>
    </row>
    <row r="4418" spans="1:11" x14ac:dyDescent="0.25">
      <c r="A4418" s="5">
        <f>4411</f>
      </c>
      <c r="B4418" s="5" t="s">
        <v>4426</v>
      </c>
      <c r="C4418" s="5">
        <v>103.5</v>
      </c>
      <c r="D4418" s="5">
        <v>0.1</v>
      </c>
      <c r="E4418" s="5">
        <v>103.7</v>
      </c>
      <c r="F4418" s="5">
        <v>207.7</v>
      </c>
      <c r="G4418" s="5">
        <v>103.6</v>
      </c>
      <c r="H4418" s="5">
        <v>103.5</v>
      </c>
      <c r="I4418" s="5">
        <v>0</v>
      </c>
      <c r="J4418" s="5">
        <v>0</v>
      </c>
      <c r="K4418" s="5">
        <v>0</v>
      </c>
    </row>
    <row r="4419" spans="1:11" x14ac:dyDescent="0.25">
      <c r="A4419" s="5">
        <f>4412</f>
      </c>
      <c r="B4419" s="5" t="s">
        <v>4427</v>
      </c>
      <c r="C4419" s="5">
        <v>103.4</v>
      </c>
      <c r="D4419" s="5">
        <v>0.1</v>
      </c>
      <c r="E4419" s="5">
        <v>103.5</v>
      </c>
      <c r="F4419" s="5">
        <v>207.5</v>
      </c>
      <c r="G4419" s="5">
        <v>103.5</v>
      </c>
      <c r="H4419" s="5">
        <v>103.3</v>
      </c>
      <c r="I4419" s="5">
        <v>0</v>
      </c>
      <c r="J4419" s="5">
        <v>0</v>
      </c>
      <c r="K4419" s="5">
        <v>0</v>
      </c>
    </row>
    <row r="4420" spans="1:11" x14ac:dyDescent="0.25">
      <c r="A4420" s="5">
        <f>4413</f>
      </c>
      <c r="B4420" s="5" t="s">
        <v>4428</v>
      </c>
      <c r="C4420" s="5">
        <v>103.4</v>
      </c>
      <c r="D4420" s="5">
        <v>0.1</v>
      </c>
      <c r="E4420" s="5">
        <v>103.5</v>
      </c>
      <c r="F4420" s="5">
        <v>207.5</v>
      </c>
      <c r="G4420" s="5">
        <v>103.5</v>
      </c>
      <c r="H4420" s="5">
        <v>103.3</v>
      </c>
      <c r="I4420" s="5">
        <v>0</v>
      </c>
      <c r="J4420" s="5">
        <v>0</v>
      </c>
      <c r="K4420" s="5">
        <v>0</v>
      </c>
    </row>
    <row r="4421" spans="1:11" x14ac:dyDescent="0.25">
      <c r="A4421" s="5">
        <f>4414</f>
      </c>
      <c r="B4421" s="5" t="s">
        <v>4429</v>
      </c>
      <c r="C4421" s="5">
        <v>103.4</v>
      </c>
      <c r="D4421" s="5">
        <v>0.1</v>
      </c>
      <c r="E4421" s="5">
        <v>103.5</v>
      </c>
      <c r="F4421" s="5">
        <v>207.5</v>
      </c>
      <c r="G4421" s="5">
        <v>103.5</v>
      </c>
      <c r="H4421" s="5">
        <v>103.3</v>
      </c>
      <c r="I4421" s="5">
        <v>0</v>
      </c>
      <c r="J4421" s="5">
        <v>0</v>
      </c>
      <c r="K4421" s="5">
        <v>0</v>
      </c>
    </row>
    <row r="4422" spans="1:11" x14ac:dyDescent="0.25">
      <c r="A4422" s="5">
        <f>4415</f>
      </c>
      <c r="B4422" s="5" t="s">
        <v>4430</v>
      </c>
      <c r="C4422" s="5">
        <v>103.4</v>
      </c>
      <c r="D4422" s="5">
        <v>0.1</v>
      </c>
      <c r="E4422" s="5">
        <v>103.5</v>
      </c>
      <c r="F4422" s="5">
        <v>207.5</v>
      </c>
      <c r="G4422" s="5">
        <v>103.5</v>
      </c>
      <c r="H4422" s="5">
        <v>103.3</v>
      </c>
      <c r="I4422" s="5">
        <v>0</v>
      </c>
      <c r="J4422" s="5">
        <v>0</v>
      </c>
      <c r="K4422" s="5">
        <v>0</v>
      </c>
    </row>
    <row r="4423" spans="1:11" x14ac:dyDescent="0.25">
      <c r="A4423" s="5">
        <f>4416</f>
      </c>
      <c r="B4423" s="5" t="s">
        <v>4431</v>
      </c>
      <c r="C4423" s="5">
        <v>103.1</v>
      </c>
      <c r="D4423" s="5">
        <v>0.1</v>
      </c>
      <c r="E4423" s="5">
        <v>103.3</v>
      </c>
      <c r="F4423" s="5">
        <v>206.4</v>
      </c>
      <c r="G4423" s="5">
        <v>102.9</v>
      </c>
      <c r="H4423" s="5">
        <v>102.8</v>
      </c>
      <c r="I4423" s="5">
        <v>0</v>
      </c>
      <c r="J4423" s="5">
        <v>0</v>
      </c>
      <c r="K4423" s="5">
        <v>0</v>
      </c>
    </row>
    <row r="4424" spans="1:11" x14ac:dyDescent="0.25">
      <c r="A4424" s="5">
        <f>4417</f>
      </c>
      <c r="B4424" s="5" t="s">
        <v>4432</v>
      </c>
      <c r="C4424" s="5">
        <v>103.1</v>
      </c>
      <c r="D4424" s="5">
        <v>0.1</v>
      </c>
      <c r="E4424" s="5">
        <v>103.3</v>
      </c>
      <c r="F4424" s="5">
        <v>206.4</v>
      </c>
      <c r="G4424" s="5">
        <v>102.9</v>
      </c>
      <c r="H4424" s="5">
        <v>102.8</v>
      </c>
      <c r="I4424" s="5">
        <v>0</v>
      </c>
      <c r="J4424" s="5">
        <v>0</v>
      </c>
      <c r="K4424" s="5">
        <v>0</v>
      </c>
    </row>
    <row r="4425" spans="1:11" x14ac:dyDescent="0.25">
      <c r="A4425" s="5">
        <f>4418</f>
      </c>
      <c r="B4425" s="5" t="s">
        <v>4433</v>
      </c>
      <c r="C4425" s="5">
        <v>103.8</v>
      </c>
      <c r="D4425" s="5">
        <v>0.1</v>
      </c>
      <c r="E4425" s="5">
        <v>103.9</v>
      </c>
      <c r="F4425" s="5">
        <v>207</v>
      </c>
      <c r="G4425" s="5">
        <v>103.3</v>
      </c>
      <c r="H4425" s="5">
        <v>103.2</v>
      </c>
      <c r="I4425" s="5">
        <v>0</v>
      </c>
      <c r="J4425" s="5">
        <v>0</v>
      </c>
      <c r="K4425" s="5">
        <v>0</v>
      </c>
    </row>
    <row r="4426" spans="1:11" x14ac:dyDescent="0.25">
      <c r="A4426" s="5">
        <f>4419</f>
      </c>
      <c r="B4426" s="5" t="s">
        <v>4434</v>
      </c>
      <c r="C4426" s="5">
        <v>103.8</v>
      </c>
      <c r="D4426" s="5">
        <v>0.1</v>
      </c>
      <c r="E4426" s="5">
        <v>103.9</v>
      </c>
      <c r="F4426" s="5">
        <v>207</v>
      </c>
      <c r="G4426" s="5">
        <v>103.3</v>
      </c>
      <c r="H4426" s="5">
        <v>103.2</v>
      </c>
      <c r="I4426" s="5">
        <v>0</v>
      </c>
      <c r="J4426" s="5">
        <v>0</v>
      </c>
      <c r="K4426" s="5">
        <v>0</v>
      </c>
    </row>
    <row r="4427" spans="1:11" x14ac:dyDescent="0.25">
      <c r="A4427" s="5">
        <f>4420</f>
      </c>
      <c r="B4427" s="5" t="s">
        <v>4435</v>
      </c>
      <c r="C4427" s="5">
        <v>103.6</v>
      </c>
      <c r="D4427" s="5">
        <v>0.1</v>
      </c>
      <c r="E4427" s="5">
        <v>103.7</v>
      </c>
      <c r="F4427" s="5">
        <v>207.2</v>
      </c>
      <c r="G4427" s="5">
        <v>103.4</v>
      </c>
      <c r="H4427" s="5">
        <v>103.2</v>
      </c>
      <c r="I4427" s="5">
        <v>0</v>
      </c>
      <c r="J4427" s="5">
        <v>0</v>
      </c>
      <c r="K4427" s="5">
        <v>0</v>
      </c>
    </row>
    <row r="4428" spans="1:11" x14ac:dyDescent="0.25">
      <c r="A4428" s="5">
        <f>4421</f>
      </c>
      <c r="B4428" s="5" t="s">
        <v>4436</v>
      </c>
      <c r="C4428" s="5">
        <v>103.6</v>
      </c>
      <c r="D4428" s="5">
        <v>0.1</v>
      </c>
      <c r="E4428" s="5">
        <v>103.7</v>
      </c>
      <c r="F4428" s="5">
        <v>207.2</v>
      </c>
      <c r="G4428" s="5">
        <v>103.4</v>
      </c>
      <c r="H4428" s="5">
        <v>103.2</v>
      </c>
      <c r="I4428" s="5">
        <v>0</v>
      </c>
      <c r="J4428" s="5">
        <v>0</v>
      </c>
      <c r="K4428" s="5">
        <v>0</v>
      </c>
    </row>
    <row r="4429" spans="1:11" x14ac:dyDescent="0.25">
      <c r="A4429" s="5">
        <f>4422</f>
      </c>
      <c r="B4429" s="5" t="s">
        <v>4437</v>
      </c>
      <c r="C4429" s="5">
        <v>103.6</v>
      </c>
      <c r="D4429" s="5">
        <v>0.1</v>
      </c>
      <c r="E4429" s="5">
        <v>103.7</v>
      </c>
      <c r="F4429" s="5">
        <v>206.9</v>
      </c>
      <c r="G4429" s="5">
        <v>103.2</v>
      </c>
      <c r="H4429" s="5">
        <v>103.1</v>
      </c>
      <c r="I4429" s="5">
        <v>0</v>
      </c>
      <c r="J4429" s="5">
        <v>0</v>
      </c>
      <c r="K4429" s="5">
        <v>0</v>
      </c>
    </row>
    <row r="4430" spans="1:11" x14ac:dyDescent="0.25">
      <c r="A4430" s="5">
        <f>4423</f>
      </c>
      <c r="B4430" s="5" t="s">
        <v>4438</v>
      </c>
      <c r="C4430" s="5">
        <v>103.6</v>
      </c>
      <c r="D4430" s="5">
        <v>0.1</v>
      </c>
      <c r="E4430" s="5">
        <v>103.7</v>
      </c>
      <c r="F4430" s="5">
        <v>206.9</v>
      </c>
      <c r="G4430" s="5">
        <v>103.2</v>
      </c>
      <c r="H4430" s="5">
        <v>103.1</v>
      </c>
      <c r="I4430" s="5">
        <v>0</v>
      </c>
      <c r="J4430" s="5">
        <v>0</v>
      </c>
      <c r="K4430" s="5">
        <v>0</v>
      </c>
    </row>
    <row r="4431" spans="1:11" x14ac:dyDescent="0.25">
      <c r="A4431" s="5">
        <f>4424</f>
      </c>
      <c r="B4431" s="5" t="s">
        <v>4439</v>
      </c>
      <c r="C4431" s="5">
        <v>103.6</v>
      </c>
      <c r="D4431" s="5">
        <v>0.1</v>
      </c>
      <c r="E4431" s="5">
        <v>103.7</v>
      </c>
      <c r="F4431" s="5">
        <v>206.9</v>
      </c>
      <c r="G4431" s="5">
        <v>103.2</v>
      </c>
      <c r="H4431" s="5">
        <v>103.1</v>
      </c>
      <c r="I4431" s="5">
        <v>0</v>
      </c>
      <c r="J4431" s="5">
        <v>0</v>
      </c>
      <c r="K4431" s="5">
        <v>0</v>
      </c>
    </row>
    <row r="4432" spans="1:11" x14ac:dyDescent="0.25">
      <c r="A4432" s="5">
        <f>4425</f>
      </c>
      <c r="B4432" s="5" t="s">
        <v>4440</v>
      </c>
      <c r="C4432" s="5">
        <v>103.6</v>
      </c>
      <c r="D4432" s="5">
        <v>0.1</v>
      </c>
      <c r="E4432" s="5">
        <v>103.7</v>
      </c>
      <c r="F4432" s="5">
        <v>206.9</v>
      </c>
      <c r="G4432" s="5">
        <v>103.2</v>
      </c>
      <c r="H4432" s="5">
        <v>103.1</v>
      </c>
      <c r="I4432" s="5">
        <v>0</v>
      </c>
      <c r="J4432" s="5">
        <v>0</v>
      </c>
      <c r="K4432" s="5">
        <v>0</v>
      </c>
    </row>
    <row r="4433" spans="1:11" x14ac:dyDescent="0.25">
      <c r="A4433" s="5">
        <f>4426</f>
      </c>
      <c r="B4433" s="5" t="s">
        <v>4441</v>
      </c>
      <c r="C4433" s="5">
        <v>104</v>
      </c>
      <c r="D4433" s="5">
        <v>0.1</v>
      </c>
      <c r="E4433" s="5">
        <v>104.2</v>
      </c>
      <c r="F4433" s="5">
        <v>207.8</v>
      </c>
      <c r="G4433" s="5">
        <v>103.7</v>
      </c>
      <c r="H4433" s="5">
        <v>103.6</v>
      </c>
      <c r="I4433" s="5">
        <v>0</v>
      </c>
      <c r="J4433" s="5">
        <v>0</v>
      </c>
      <c r="K4433" s="5">
        <v>0</v>
      </c>
    </row>
    <row r="4434" spans="1:11" x14ac:dyDescent="0.25">
      <c r="A4434" s="5">
        <f>4427</f>
      </c>
      <c r="B4434" s="5" t="s">
        <v>4442</v>
      </c>
      <c r="C4434" s="5">
        <v>104</v>
      </c>
      <c r="D4434" s="5">
        <v>0.1</v>
      </c>
      <c r="E4434" s="5">
        <v>104.2</v>
      </c>
      <c r="F4434" s="5">
        <v>207.8</v>
      </c>
      <c r="G4434" s="5">
        <v>103.7</v>
      </c>
      <c r="H4434" s="5">
        <v>103.6</v>
      </c>
      <c r="I4434" s="5">
        <v>0</v>
      </c>
      <c r="J4434" s="5">
        <v>0</v>
      </c>
      <c r="K4434" s="5">
        <v>0</v>
      </c>
    </row>
    <row r="4435" spans="1:11" x14ac:dyDescent="0.25">
      <c r="A4435" s="5">
        <f>4428</f>
      </c>
      <c r="B4435" s="5" t="s">
        <v>4443</v>
      </c>
      <c r="C4435" s="5">
        <v>103.4</v>
      </c>
      <c r="D4435" s="5">
        <v>0.1</v>
      </c>
      <c r="E4435" s="5">
        <v>103.6</v>
      </c>
      <c r="F4435" s="5">
        <v>207.1</v>
      </c>
      <c r="G4435" s="5">
        <v>103.3</v>
      </c>
      <c r="H4435" s="5">
        <v>103.1</v>
      </c>
      <c r="I4435" s="5">
        <v>0</v>
      </c>
      <c r="J4435" s="5">
        <v>0</v>
      </c>
      <c r="K4435" s="5">
        <v>0</v>
      </c>
    </row>
    <row r="4436" spans="1:11" x14ac:dyDescent="0.25">
      <c r="A4436" s="5">
        <f>4429</f>
      </c>
      <c r="B4436" s="5" t="s">
        <v>4444</v>
      </c>
      <c r="C4436" s="5">
        <v>103.4</v>
      </c>
      <c r="D4436" s="5">
        <v>0.1</v>
      </c>
      <c r="E4436" s="5">
        <v>103.6</v>
      </c>
      <c r="F4436" s="5">
        <v>207.1</v>
      </c>
      <c r="G4436" s="5">
        <v>103.3</v>
      </c>
      <c r="H4436" s="5">
        <v>103.1</v>
      </c>
      <c r="I4436" s="5">
        <v>0</v>
      </c>
      <c r="J4436" s="5">
        <v>0</v>
      </c>
      <c r="K4436" s="5">
        <v>0</v>
      </c>
    </row>
    <row r="4437" spans="1:11" x14ac:dyDescent="0.25">
      <c r="A4437" s="5">
        <f>4430</f>
      </c>
      <c r="B4437" s="5" t="s">
        <v>4445</v>
      </c>
      <c r="C4437" s="5">
        <v>103.5</v>
      </c>
      <c r="D4437" s="5">
        <v>0.1</v>
      </c>
      <c r="E4437" s="5">
        <v>103.7</v>
      </c>
      <c r="F4437" s="5">
        <v>206.5</v>
      </c>
      <c r="G4437" s="5">
        <v>103</v>
      </c>
      <c r="H4437" s="5">
        <v>102.9</v>
      </c>
      <c r="I4437" s="5">
        <v>0</v>
      </c>
      <c r="J4437" s="5">
        <v>0</v>
      </c>
      <c r="K4437" s="5">
        <v>0</v>
      </c>
    </row>
    <row r="4438" spans="1:11" x14ac:dyDescent="0.25">
      <c r="A4438" s="5">
        <f>4431</f>
      </c>
      <c r="B4438" s="5" t="s">
        <v>4446</v>
      </c>
      <c r="C4438" s="5">
        <v>103.5</v>
      </c>
      <c r="D4438" s="5">
        <v>0.1</v>
      </c>
      <c r="E4438" s="5">
        <v>103.7</v>
      </c>
      <c r="F4438" s="5">
        <v>206.5</v>
      </c>
      <c r="G4438" s="5">
        <v>103</v>
      </c>
      <c r="H4438" s="5">
        <v>102.9</v>
      </c>
      <c r="I4438" s="5">
        <v>0</v>
      </c>
      <c r="J4438" s="5">
        <v>0</v>
      </c>
      <c r="K4438" s="5">
        <v>0</v>
      </c>
    </row>
    <row r="4439" spans="1:11" x14ac:dyDescent="0.25">
      <c r="A4439" s="5">
        <f>4432</f>
      </c>
      <c r="B4439" s="5" t="s">
        <v>4447</v>
      </c>
      <c r="C4439" s="5">
        <v>103.6</v>
      </c>
      <c r="D4439" s="5">
        <v>0.1</v>
      </c>
      <c r="E4439" s="5">
        <v>103.7</v>
      </c>
      <c r="F4439" s="5">
        <v>208.4</v>
      </c>
      <c r="G4439" s="5">
        <v>104</v>
      </c>
      <c r="H4439" s="5">
        <v>103.8</v>
      </c>
      <c r="I4439" s="5">
        <v>0</v>
      </c>
      <c r="J4439" s="5">
        <v>0</v>
      </c>
      <c r="K4439" s="5">
        <v>0</v>
      </c>
    </row>
    <row r="4440" spans="1:11" x14ac:dyDescent="0.25">
      <c r="A4440" s="5">
        <f>4433</f>
      </c>
      <c r="B4440" s="5" t="s">
        <v>4448</v>
      </c>
      <c r="C4440" s="5">
        <v>103.6</v>
      </c>
      <c r="D4440" s="5">
        <v>0.1</v>
      </c>
      <c r="E4440" s="5">
        <v>103.7</v>
      </c>
      <c r="F4440" s="5">
        <v>208.4</v>
      </c>
      <c r="G4440" s="5">
        <v>104</v>
      </c>
      <c r="H4440" s="5">
        <v>103.8</v>
      </c>
      <c r="I4440" s="5">
        <v>0</v>
      </c>
      <c r="J4440" s="5">
        <v>0</v>
      </c>
      <c r="K4440" s="5">
        <v>0</v>
      </c>
    </row>
    <row r="4441" spans="1:11" x14ac:dyDescent="0.25">
      <c r="A4441" s="5">
        <f>4434</f>
      </c>
      <c r="B4441" s="5" t="s">
        <v>4449</v>
      </c>
      <c r="C4441" s="5">
        <v>103.6</v>
      </c>
      <c r="D4441" s="5">
        <v>0.1</v>
      </c>
      <c r="E4441" s="5">
        <v>103.7</v>
      </c>
      <c r="F4441" s="5">
        <v>208.4</v>
      </c>
      <c r="G4441" s="5">
        <v>104</v>
      </c>
      <c r="H4441" s="5">
        <v>103.8</v>
      </c>
      <c r="I4441" s="5">
        <v>0</v>
      </c>
      <c r="J4441" s="5">
        <v>0</v>
      </c>
      <c r="K4441" s="5">
        <v>0</v>
      </c>
    </row>
    <row r="4442" spans="1:11" x14ac:dyDescent="0.25">
      <c r="A4442" s="5">
        <f>4435</f>
      </c>
      <c r="B4442" s="5" t="s">
        <v>4450</v>
      </c>
      <c r="C4442" s="5">
        <v>103.6</v>
      </c>
      <c r="D4442" s="5">
        <v>0.1</v>
      </c>
      <c r="E4442" s="5">
        <v>103.7</v>
      </c>
      <c r="F4442" s="5">
        <v>208.4</v>
      </c>
      <c r="G4442" s="5">
        <v>104</v>
      </c>
      <c r="H4442" s="5">
        <v>103.8</v>
      </c>
      <c r="I4442" s="5">
        <v>0</v>
      </c>
      <c r="J4442" s="5">
        <v>0</v>
      </c>
      <c r="K4442" s="5">
        <v>0</v>
      </c>
    </row>
    <row r="4443" spans="1:11" x14ac:dyDescent="0.25">
      <c r="A4443" s="5">
        <f>4436</f>
      </c>
      <c r="B4443" s="5" t="s">
        <v>4451</v>
      </c>
      <c r="C4443" s="5">
        <v>103.3</v>
      </c>
      <c r="D4443" s="5">
        <v>0.1</v>
      </c>
      <c r="E4443" s="5">
        <v>103.4</v>
      </c>
      <c r="F4443" s="5">
        <v>206.4</v>
      </c>
      <c r="G4443" s="5">
        <v>102.9</v>
      </c>
      <c r="H4443" s="5">
        <v>102.7</v>
      </c>
      <c r="I4443" s="5">
        <v>0</v>
      </c>
      <c r="J4443" s="5">
        <v>0</v>
      </c>
      <c r="K4443" s="5">
        <v>0</v>
      </c>
    </row>
    <row r="4444" spans="1:11" x14ac:dyDescent="0.25">
      <c r="A4444" s="5">
        <f>4437</f>
      </c>
      <c r="B4444" s="5" t="s">
        <v>4452</v>
      </c>
      <c r="C4444" s="5">
        <v>103.3</v>
      </c>
      <c r="D4444" s="5">
        <v>0.1</v>
      </c>
      <c r="E4444" s="5">
        <v>103.4</v>
      </c>
      <c r="F4444" s="5">
        <v>206.4</v>
      </c>
      <c r="G4444" s="5">
        <v>102.9</v>
      </c>
      <c r="H4444" s="5">
        <v>102.7</v>
      </c>
      <c r="I4444" s="5">
        <v>0</v>
      </c>
      <c r="J4444" s="5">
        <v>0</v>
      </c>
      <c r="K4444" s="5">
        <v>0</v>
      </c>
    </row>
    <row r="4445" spans="1:11" x14ac:dyDescent="0.25">
      <c r="A4445" s="5">
        <f>4438</f>
      </c>
      <c r="B4445" s="5" t="s">
        <v>4453</v>
      </c>
      <c r="C4445" s="5">
        <v>103.6</v>
      </c>
      <c r="D4445" s="5">
        <v>0.1</v>
      </c>
      <c r="E4445" s="5">
        <v>103.7</v>
      </c>
      <c r="F4445" s="5">
        <v>207.1</v>
      </c>
      <c r="G4445" s="5">
        <v>103.3</v>
      </c>
      <c r="H4445" s="5">
        <v>103.1</v>
      </c>
      <c r="I4445" s="5">
        <v>0</v>
      </c>
      <c r="J4445" s="5">
        <v>0</v>
      </c>
      <c r="K4445" s="5">
        <v>0</v>
      </c>
    </row>
    <row r="4446" spans="1:11" x14ac:dyDescent="0.25">
      <c r="A4446" s="5">
        <f>4439</f>
      </c>
      <c r="B4446" s="5" t="s">
        <v>4454</v>
      </c>
      <c r="C4446" s="5">
        <v>103.6</v>
      </c>
      <c r="D4446" s="5">
        <v>0.1</v>
      </c>
      <c r="E4446" s="5">
        <v>103.7</v>
      </c>
      <c r="F4446" s="5">
        <v>207.1</v>
      </c>
      <c r="G4446" s="5">
        <v>103.3</v>
      </c>
      <c r="H4446" s="5">
        <v>103.1</v>
      </c>
      <c r="I4446" s="5">
        <v>0</v>
      </c>
      <c r="J4446" s="5">
        <v>0</v>
      </c>
      <c r="K4446" s="5">
        <v>0</v>
      </c>
    </row>
    <row r="4447" spans="1:11" x14ac:dyDescent="0.25">
      <c r="A4447" s="5">
        <f>4440</f>
      </c>
      <c r="B4447" s="5" t="s">
        <v>4455</v>
      </c>
      <c r="C4447" s="5">
        <v>103.2</v>
      </c>
      <c r="D4447" s="5">
        <v>0.1</v>
      </c>
      <c r="E4447" s="5">
        <v>103.4</v>
      </c>
      <c r="F4447" s="5">
        <v>206.4</v>
      </c>
      <c r="G4447" s="5">
        <v>103</v>
      </c>
      <c r="H4447" s="5">
        <v>102.8</v>
      </c>
      <c r="I4447" s="5">
        <v>0</v>
      </c>
      <c r="J4447" s="5">
        <v>0</v>
      </c>
      <c r="K4447" s="5">
        <v>0</v>
      </c>
    </row>
    <row r="4448" spans="1:11" x14ac:dyDescent="0.25">
      <c r="A4448" s="5">
        <f>4441</f>
      </c>
      <c r="B4448" s="5" t="s">
        <v>4456</v>
      </c>
      <c r="C4448" s="5">
        <v>103.2</v>
      </c>
      <c r="D4448" s="5">
        <v>0.1</v>
      </c>
      <c r="E4448" s="5">
        <v>103.4</v>
      </c>
      <c r="F4448" s="5">
        <v>206.4</v>
      </c>
      <c r="G4448" s="5">
        <v>103</v>
      </c>
      <c r="H4448" s="5">
        <v>102.8</v>
      </c>
      <c r="I4448" s="5">
        <v>0</v>
      </c>
      <c r="J4448" s="5">
        <v>0</v>
      </c>
      <c r="K4448" s="5">
        <v>0</v>
      </c>
    </row>
    <row r="4449" spans="1:11" x14ac:dyDescent="0.25">
      <c r="A4449" s="5">
        <f>4442</f>
      </c>
      <c r="B4449" s="5" t="s">
        <v>4457</v>
      </c>
      <c r="C4449" s="5">
        <v>104.2</v>
      </c>
      <c r="D4449" s="5">
        <v>0.1</v>
      </c>
      <c r="E4449" s="5">
        <v>104.3</v>
      </c>
      <c r="F4449" s="5">
        <v>208.2</v>
      </c>
      <c r="G4449" s="5">
        <v>103.9</v>
      </c>
      <c r="H4449" s="5">
        <v>103.7</v>
      </c>
      <c r="I4449" s="5">
        <v>0</v>
      </c>
      <c r="J4449" s="5">
        <v>0</v>
      </c>
      <c r="K4449" s="5">
        <v>0</v>
      </c>
    </row>
    <row r="4450" spans="1:11" x14ac:dyDescent="0.25">
      <c r="A4450" s="5">
        <f>4443</f>
      </c>
      <c r="B4450" s="5" t="s">
        <v>4458</v>
      </c>
      <c r="C4450" s="5">
        <v>104.2</v>
      </c>
      <c r="D4450" s="5">
        <v>0.1</v>
      </c>
      <c r="E4450" s="5">
        <v>104.3</v>
      </c>
      <c r="F4450" s="5">
        <v>208.2</v>
      </c>
      <c r="G4450" s="5">
        <v>103.9</v>
      </c>
      <c r="H4450" s="5">
        <v>103.7</v>
      </c>
      <c r="I4450" s="5">
        <v>0</v>
      </c>
      <c r="J4450" s="5">
        <v>0</v>
      </c>
      <c r="K4450" s="5">
        <v>0</v>
      </c>
    </row>
    <row r="4451" spans="1:11" x14ac:dyDescent="0.25">
      <c r="A4451" s="5">
        <f>4444</f>
      </c>
      <c r="B4451" s="5" t="s">
        <v>4459</v>
      </c>
      <c r="C4451" s="5">
        <v>104.2</v>
      </c>
      <c r="D4451" s="5">
        <v>0.1</v>
      </c>
      <c r="E4451" s="5">
        <v>104.3</v>
      </c>
      <c r="F4451" s="5">
        <v>208.2</v>
      </c>
      <c r="G4451" s="5">
        <v>103.9</v>
      </c>
      <c r="H4451" s="5">
        <v>103.7</v>
      </c>
      <c r="I4451" s="5">
        <v>0</v>
      </c>
      <c r="J4451" s="5">
        <v>0</v>
      </c>
      <c r="K4451" s="5">
        <v>0</v>
      </c>
    </row>
    <row r="4452" spans="1:11" x14ac:dyDescent="0.25">
      <c r="A4452" s="5">
        <f>4445</f>
      </c>
      <c r="B4452" s="5" t="s">
        <v>4460</v>
      </c>
      <c r="C4452" s="5">
        <v>104.2</v>
      </c>
      <c r="D4452" s="5">
        <v>0.1</v>
      </c>
      <c r="E4452" s="5">
        <v>104.3</v>
      </c>
      <c r="F4452" s="5">
        <v>208.2</v>
      </c>
      <c r="G4452" s="5">
        <v>103.9</v>
      </c>
      <c r="H4452" s="5">
        <v>103.7</v>
      </c>
      <c r="I4452" s="5">
        <v>0</v>
      </c>
      <c r="J4452" s="5">
        <v>0</v>
      </c>
      <c r="K4452" s="5">
        <v>0</v>
      </c>
    </row>
    <row r="4453" spans="1:11" x14ac:dyDescent="0.25">
      <c r="A4453" s="5">
        <f>4446</f>
      </c>
      <c r="B4453" s="5" t="s">
        <v>4461</v>
      </c>
      <c r="C4453" s="5">
        <v>103.7</v>
      </c>
      <c r="D4453" s="5">
        <v>0.1</v>
      </c>
      <c r="E4453" s="5">
        <v>103.9</v>
      </c>
      <c r="F4453" s="5">
        <v>206.9</v>
      </c>
      <c r="G4453" s="5">
        <v>103.2</v>
      </c>
      <c r="H4453" s="5">
        <v>103</v>
      </c>
      <c r="I4453" s="5">
        <v>0</v>
      </c>
      <c r="J4453" s="5">
        <v>0</v>
      </c>
      <c r="K4453" s="5">
        <v>0</v>
      </c>
    </row>
    <row r="4454" spans="1:11" x14ac:dyDescent="0.25">
      <c r="A4454" s="5">
        <f>4447</f>
      </c>
      <c r="B4454" s="5" t="s">
        <v>4462</v>
      </c>
      <c r="C4454" s="5">
        <v>103.7</v>
      </c>
      <c r="D4454" s="5">
        <v>0.1</v>
      </c>
      <c r="E4454" s="5">
        <v>103.9</v>
      </c>
      <c r="F4454" s="5">
        <v>206.9</v>
      </c>
      <c r="G4454" s="5">
        <v>103.2</v>
      </c>
      <c r="H4454" s="5">
        <v>103</v>
      </c>
      <c r="I4454" s="5">
        <v>0</v>
      </c>
      <c r="J4454" s="5">
        <v>0</v>
      </c>
      <c r="K4454" s="5">
        <v>0</v>
      </c>
    </row>
    <row r="4455" spans="1:11" x14ac:dyDescent="0.25">
      <c r="A4455" s="5">
        <f>4448</f>
      </c>
      <c r="B4455" s="5" t="s">
        <v>4463</v>
      </c>
      <c r="C4455" s="5">
        <v>103.4</v>
      </c>
      <c r="D4455" s="5">
        <v>0.1</v>
      </c>
      <c r="E4455" s="5">
        <v>103.6</v>
      </c>
      <c r="F4455" s="5">
        <v>206.7</v>
      </c>
      <c r="G4455" s="5">
        <v>103</v>
      </c>
      <c r="H4455" s="5">
        <v>102.9</v>
      </c>
      <c r="I4455" s="5">
        <v>0</v>
      </c>
      <c r="J4455" s="5">
        <v>0</v>
      </c>
      <c r="K4455" s="5">
        <v>0</v>
      </c>
    </row>
    <row r="4456" spans="1:11" x14ac:dyDescent="0.25">
      <c r="A4456" s="5">
        <f>4449</f>
      </c>
      <c r="B4456" s="5" t="s">
        <v>4464</v>
      </c>
      <c r="C4456" s="5">
        <v>103.4</v>
      </c>
      <c r="D4456" s="5">
        <v>0.1</v>
      </c>
      <c r="E4456" s="5">
        <v>103.6</v>
      </c>
      <c r="F4456" s="5">
        <v>206.7</v>
      </c>
      <c r="G4456" s="5">
        <v>103</v>
      </c>
      <c r="H4456" s="5">
        <v>102.9</v>
      </c>
      <c r="I4456" s="5">
        <v>0</v>
      </c>
      <c r="J4456" s="5">
        <v>0</v>
      </c>
      <c r="K4456" s="5">
        <v>0</v>
      </c>
    </row>
    <row r="4457" spans="1:11" x14ac:dyDescent="0.25">
      <c r="A4457" s="5">
        <f>4450</f>
      </c>
      <c r="B4457" s="5" t="s">
        <v>4465</v>
      </c>
      <c r="C4457" s="5">
        <v>100.8</v>
      </c>
      <c r="D4457" s="5">
        <v>0.1</v>
      </c>
      <c r="E4457" s="5">
        <v>101</v>
      </c>
      <c r="F4457" s="5">
        <v>201.9</v>
      </c>
      <c r="G4457" s="5">
        <v>100.7</v>
      </c>
      <c r="H4457" s="5">
        <v>100.5</v>
      </c>
      <c r="I4457" s="5">
        <v>0</v>
      </c>
      <c r="J4457" s="5">
        <v>0</v>
      </c>
      <c r="K4457" s="5">
        <v>0</v>
      </c>
    </row>
    <row r="4458" spans="1:11" x14ac:dyDescent="0.25">
      <c r="A4458" s="5">
        <f>4451</f>
      </c>
      <c r="B4458" s="5" t="s">
        <v>4466</v>
      </c>
      <c r="C4458" s="5">
        <v>100.8</v>
      </c>
      <c r="D4458" s="5">
        <v>0.1</v>
      </c>
      <c r="E4458" s="5">
        <v>101</v>
      </c>
      <c r="F4458" s="5">
        <v>201.9</v>
      </c>
      <c r="G4458" s="5">
        <v>100.7</v>
      </c>
      <c r="H4458" s="5">
        <v>100.5</v>
      </c>
      <c r="I4458" s="5">
        <v>0</v>
      </c>
      <c r="J4458" s="5">
        <v>0</v>
      </c>
      <c r="K4458" s="5">
        <v>0</v>
      </c>
    </row>
    <row r="4459" spans="1:11" x14ac:dyDescent="0.25">
      <c r="A4459" s="5">
        <f>4452</f>
      </c>
      <c r="B4459" s="5" t="s">
        <v>4467</v>
      </c>
      <c r="C4459" s="5">
        <v>100.6</v>
      </c>
      <c r="D4459" s="5">
        <v>0.1</v>
      </c>
      <c r="E4459" s="5">
        <v>100.8</v>
      </c>
      <c r="F4459" s="5">
        <v>201.2</v>
      </c>
      <c r="G4459" s="5">
        <v>100.4</v>
      </c>
      <c r="H4459" s="5">
        <v>100.3</v>
      </c>
      <c r="I4459" s="5">
        <v>0</v>
      </c>
      <c r="J4459" s="5">
        <v>0</v>
      </c>
      <c r="K4459" s="5">
        <v>0</v>
      </c>
    </row>
    <row r="4460" spans="1:11" x14ac:dyDescent="0.25">
      <c r="A4460" s="5">
        <f>4453</f>
      </c>
      <c r="B4460" s="5" t="s">
        <v>4468</v>
      </c>
      <c r="C4460" s="5">
        <v>100.6</v>
      </c>
      <c r="D4460" s="5">
        <v>0.1</v>
      </c>
      <c r="E4460" s="5">
        <v>100.8</v>
      </c>
      <c r="F4460" s="5">
        <v>201.2</v>
      </c>
      <c r="G4460" s="5">
        <v>100.4</v>
      </c>
      <c r="H4460" s="5">
        <v>100.3</v>
      </c>
      <c r="I4460" s="5">
        <v>0</v>
      </c>
      <c r="J4460" s="5">
        <v>0</v>
      </c>
      <c r="K4460" s="5">
        <v>0</v>
      </c>
    </row>
    <row r="4461" spans="1:11" x14ac:dyDescent="0.25">
      <c r="A4461" s="5">
        <f>4454</f>
      </c>
      <c r="B4461" s="5" t="s">
        <v>4469</v>
      </c>
      <c r="C4461" s="5">
        <v>100.6</v>
      </c>
      <c r="D4461" s="5">
        <v>0.1</v>
      </c>
      <c r="E4461" s="5">
        <v>100.8</v>
      </c>
      <c r="F4461" s="5">
        <v>201.2</v>
      </c>
      <c r="G4461" s="5">
        <v>100.4</v>
      </c>
      <c r="H4461" s="5">
        <v>100.3</v>
      </c>
      <c r="I4461" s="5">
        <v>0</v>
      </c>
      <c r="J4461" s="5">
        <v>0</v>
      </c>
      <c r="K4461" s="5">
        <v>0</v>
      </c>
    </row>
    <row r="4462" spans="1:11" x14ac:dyDescent="0.25">
      <c r="A4462" s="5">
        <f>4455</f>
      </c>
      <c r="B4462" s="5" t="s">
        <v>4470</v>
      </c>
      <c r="C4462" s="5">
        <v>101.8</v>
      </c>
      <c r="D4462" s="5">
        <v>0.1</v>
      </c>
      <c r="E4462" s="5">
        <v>101.9</v>
      </c>
      <c r="F4462" s="5">
        <v>202.6</v>
      </c>
      <c r="G4462" s="5">
        <v>101.1</v>
      </c>
      <c r="H4462" s="5">
        <v>101</v>
      </c>
      <c r="I4462" s="5">
        <v>0</v>
      </c>
      <c r="J4462" s="5">
        <v>0</v>
      </c>
      <c r="K4462" s="5">
        <v>0</v>
      </c>
    </row>
    <row r="4463" spans="1:11" x14ac:dyDescent="0.25">
      <c r="A4463" s="5">
        <f>4456</f>
      </c>
      <c r="B4463" s="5" t="s">
        <v>4471</v>
      </c>
      <c r="C4463" s="5">
        <v>101.8</v>
      </c>
      <c r="D4463" s="5">
        <v>0.1</v>
      </c>
      <c r="E4463" s="5">
        <v>101.9</v>
      </c>
      <c r="F4463" s="5">
        <v>202.6</v>
      </c>
      <c r="G4463" s="5">
        <v>101.1</v>
      </c>
      <c r="H4463" s="5">
        <v>101</v>
      </c>
      <c r="I4463" s="5">
        <v>0</v>
      </c>
      <c r="J4463" s="5">
        <v>0</v>
      </c>
      <c r="K4463" s="5">
        <v>0</v>
      </c>
    </row>
    <row r="4464" spans="1:11" x14ac:dyDescent="0.25">
      <c r="A4464" s="5">
        <f>4457</f>
      </c>
      <c r="B4464" s="5" t="s">
        <v>4472</v>
      </c>
      <c r="C4464" s="5">
        <v>101.1</v>
      </c>
      <c r="D4464" s="5">
        <v>0.1</v>
      </c>
      <c r="E4464" s="5">
        <v>101.3</v>
      </c>
      <c r="F4464" s="5">
        <v>202.1</v>
      </c>
      <c r="G4464" s="5">
        <v>100.8</v>
      </c>
      <c r="H4464" s="5">
        <v>100.7</v>
      </c>
      <c r="I4464" s="5">
        <v>0</v>
      </c>
      <c r="J4464" s="5">
        <v>0</v>
      </c>
      <c r="K4464" s="5">
        <v>0</v>
      </c>
    </row>
    <row r="4465" spans="1:11" x14ac:dyDescent="0.25">
      <c r="A4465" s="5">
        <f>4458</f>
      </c>
      <c r="B4465" s="5" t="s">
        <v>4473</v>
      </c>
      <c r="C4465" s="5">
        <v>101.1</v>
      </c>
      <c r="D4465" s="5">
        <v>0.1</v>
      </c>
      <c r="E4465" s="5">
        <v>101.3</v>
      </c>
      <c r="F4465" s="5">
        <v>202.1</v>
      </c>
      <c r="G4465" s="5">
        <v>100.8</v>
      </c>
      <c r="H4465" s="5">
        <v>100.7</v>
      </c>
      <c r="I4465" s="5">
        <v>0</v>
      </c>
      <c r="J4465" s="5">
        <v>0</v>
      </c>
      <c r="K4465" s="5">
        <v>0</v>
      </c>
    </row>
    <row r="4466" spans="1:11" x14ac:dyDescent="0.25">
      <c r="A4466" s="5">
        <f>4459</f>
      </c>
      <c r="B4466" s="5" t="s">
        <v>4474</v>
      </c>
      <c r="C4466" s="5">
        <v>101.2</v>
      </c>
      <c r="D4466" s="5">
        <v>0.1</v>
      </c>
      <c r="E4466" s="5">
        <v>101.3</v>
      </c>
      <c r="F4466" s="5">
        <v>201.9</v>
      </c>
      <c r="G4466" s="5">
        <v>100.7</v>
      </c>
      <c r="H4466" s="5">
        <v>100.6</v>
      </c>
      <c r="I4466" s="5">
        <v>0</v>
      </c>
      <c r="J4466" s="5">
        <v>0</v>
      </c>
      <c r="K4466" s="5">
        <v>0</v>
      </c>
    </row>
    <row r="4467" spans="1:11" x14ac:dyDescent="0.25">
      <c r="A4467" s="5">
        <f>4460</f>
      </c>
      <c r="B4467" s="5" t="s">
        <v>4475</v>
      </c>
      <c r="C4467" s="5">
        <v>101.2</v>
      </c>
      <c r="D4467" s="5">
        <v>0.1</v>
      </c>
      <c r="E4467" s="5">
        <v>101.3</v>
      </c>
      <c r="F4467" s="5">
        <v>201.9</v>
      </c>
      <c r="G4467" s="5">
        <v>100.7</v>
      </c>
      <c r="H4467" s="5">
        <v>100.6</v>
      </c>
      <c r="I4467" s="5">
        <v>0</v>
      </c>
      <c r="J4467" s="5">
        <v>0</v>
      </c>
      <c r="K4467" s="5">
        <v>0</v>
      </c>
    </row>
    <row r="4468" spans="1:11" x14ac:dyDescent="0.25">
      <c r="A4468" s="5">
        <f>4461</f>
      </c>
      <c r="B4468" s="5" t="s">
        <v>4476</v>
      </c>
      <c r="C4468" s="5">
        <v>101.2</v>
      </c>
      <c r="D4468" s="5">
        <v>0.1</v>
      </c>
      <c r="E4468" s="5">
        <v>100.9</v>
      </c>
      <c r="F4468" s="5">
        <v>201.2</v>
      </c>
      <c r="G4468" s="5">
        <v>100.4</v>
      </c>
      <c r="H4468" s="5">
        <v>100.2</v>
      </c>
      <c r="I4468" s="5">
        <v>0</v>
      </c>
      <c r="J4468" s="5">
        <v>0</v>
      </c>
      <c r="K4468" s="5">
        <v>0</v>
      </c>
    </row>
    <row r="4469" spans="1:11" x14ac:dyDescent="0.25">
      <c r="A4469" s="5">
        <f>4462</f>
      </c>
      <c r="B4469" s="5" t="s">
        <v>4477</v>
      </c>
      <c r="C4469" s="5">
        <v>100.8</v>
      </c>
      <c r="D4469" s="5">
        <v>0.1</v>
      </c>
      <c r="E4469" s="5">
        <v>100.9</v>
      </c>
      <c r="F4469" s="5">
        <v>201.2</v>
      </c>
      <c r="G4469" s="5">
        <v>100.4</v>
      </c>
      <c r="H4469" s="5">
        <v>100.2</v>
      </c>
      <c r="I4469" s="5">
        <v>0</v>
      </c>
      <c r="J4469" s="5">
        <v>0</v>
      </c>
      <c r="K4469" s="5">
        <v>0</v>
      </c>
    </row>
    <row r="4470" spans="1:11" x14ac:dyDescent="0.25">
      <c r="A4470" s="5">
        <f>4463</f>
      </c>
      <c r="B4470" s="5" t="s">
        <v>4478</v>
      </c>
      <c r="C4470" s="5">
        <v>100.8</v>
      </c>
      <c r="D4470" s="5">
        <v>0.1</v>
      </c>
      <c r="E4470" s="5">
        <v>100.9</v>
      </c>
      <c r="F4470" s="5">
        <v>201.2</v>
      </c>
      <c r="G4470" s="5">
        <v>100.4</v>
      </c>
      <c r="H4470" s="5">
        <v>100.2</v>
      </c>
      <c r="I4470" s="5">
        <v>0</v>
      </c>
      <c r="J4470" s="5">
        <v>0</v>
      </c>
      <c r="K4470" s="5">
        <v>0</v>
      </c>
    </row>
    <row r="4471" spans="1:11" x14ac:dyDescent="0.25">
      <c r="A4471" s="5">
        <f>4464</f>
      </c>
      <c r="B4471" s="5" t="s">
        <v>4479</v>
      </c>
      <c r="C4471" s="5">
        <v>100.8</v>
      </c>
      <c r="D4471" s="5">
        <v>0.1</v>
      </c>
      <c r="E4471" s="5">
        <v>100.9</v>
      </c>
      <c r="F4471" s="5">
        <v>201.2</v>
      </c>
      <c r="G4471" s="5">
        <v>100.4</v>
      </c>
      <c r="H4471" s="5">
        <v>100.2</v>
      </c>
      <c r="I4471" s="5">
        <v>0</v>
      </c>
      <c r="J4471" s="5">
        <v>0</v>
      </c>
      <c r="K4471" s="5">
        <v>0</v>
      </c>
    </row>
    <row r="4472" spans="1:11" x14ac:dyDescent="0.25">
      <c r="A4472" s="5">
        <f>4465</f>
      </c>
      <c r="B4472" s="5" t="s">
        <v>4480</v>
      </c>
      <c r="C4472" s="5">
        <v>101.4</v>
      </c>
      <c r="D4472" s="5">
        <v>0.1</v>
      </c>
      <c r="E4472" s="5">
        <v>101.5</v>
      </c>
      <c r="F4472" s="5">
        <v>202.4</v>
      </c>
      <c r="G4472" s="5">
        <v>100.9</v>
      </c>
      <c r="H4472" s="5">
        <v>100.2</v>
      </c>
      <c r="I4472" s="5">
        <v>0</v>
      </c>
      <c r="J4472" s="5">
        <v>0</v>
      </c>
      <c r="K4472" s="5">
        <v>0</v>
      </c>
    </row>
    <row r="4473" spans="1:11" x14ac:dyDescent="0.25">
      <c r="A4473" s="5">
        <f>4466</f>
      </c>
      <c r="B4473" s="5" t="s">
        <v>4481</v>
      </c>
      <c r="C4473" s="5">
        <v>101.4</v>
      </c>
      <c r="D4473" s="5">
        <v>0.1</v>
      </c>
      <c r="E4473" s="5">
        <v>101.5</v>
      </c>
      <c r="F4473" s="5">
        <v>202.4</v>
      </c>
      <c r="G4473" s="5">
        <v>100.9</v>
      </c>
      <c r="H4473" s="5">
        <v>100.8</v>
      </c>
      <c r="I4473" s="5">
        <v>0</v>
      </c>
      <c r="J4473" s="5">
        <v>0</v>
      </c>
      <c r="K4473" s="5">
        <v>0</v>
      </c>
    </row>
    <row r="4474" spans="1:11" x14ac:dyDescent="0.25">
      <c r="A4474" s="5">
        <f>4467</f>
      </c>
      <c r="B4474" s="5" t="s">
        <v>4482</v>
      </c>
      <c r="C4474" s="5">
        <v>101.8</v>
      </c>
      <c r="D4474" s="5">
        <v>0.1</v>
      </c>
      <c r="E4474" s="5">
        <v>102</v>
      </c>
      <c r="F4474" s="5">
        <v>203.3</v>
      </c>
      <c r="G4474" s="5">
        <v>101.3</v>
      </c>
      <c r="H4474" s="5">
        <v>100.8</v>
      </c>
      <c r="I4474" s="5">
        <v>0</v>
      </c>
      <c r="J4474" s="5">
        <v>0</v>
      </c>
      <c r="K4474" s="5">
        <v>0</v>
      </c>
    </row>
    <row r="4475" spans="1:11" x14ac:dyDescent="0.25">
      <c r="A4475" s="5">
        <f>4468</f>
      </c>
      <c r="B4475" s="5" t="s">
        <v>4483</v>
      </c>
      <c r="C4475" s="5">
        <v>101.8</v>
      </c>
      <c r="D4475" s="5">
        <v>0.1</v>
      </c>
      <c r="E4475" s="5">
        <v>102</v>
      </c>
      <c r="F4475" s="5">
        <v>203.3</v>
      </c>
      <c r="G4475" s="5">
        <v>101.3</v>
      </c>
      <c r="H4475" s="5">
        <v>100.5</v>
      </c>
      <c r="I4475" s="5">
        <v>0</v>
      </c>
      <c r="J4475" s="5">
        <v>0</v>
      </c>
      <c r="K4475" s="5">
        <v>0</v>
      </c>
    </row>
    <row r="4476" spans="1:11" x14ac:dyDescent="0.25">
      <c r="A4476" s="5">
        <f>4469</f>
      </c>
      <c r="B4476" s="5" t="s">
        <v>4484</v>
      </c>
      <c r="C4476" s="5">
        <v>101.5</v>
      </c>
      <c r="D4476" s="5">
        <v>0.1</v>
      </c>
      <c r="E4476" s="5">
        <v>102</v>
      </c>
      <c r="F4476" s="5">
        <v>203.3</v>
      </c>
      <c r="G4476" s="5">
        <v>101.3</v>
      </c>
      <c r="H4476" s="5">
        <v>100.5</v>
      </c>
      <c r="I4476" s="5">
        <v>0</v>
      </c>
      <c r="J4476" s="5">
        <v>0</v>
      </c>
      <c r="K4476" s="5">
        <v>0</v>
      </c>
    </row>
    <row r="4477" spans="1:11" x14ac:dyDescent="0.25">
      <c r="A4477" s="5">
        <f>4470</f>
      </c>
      <c r="B4477" s="5" t="s">
        <v>4485</v>
      </c>
      <c r="C4477" s="5">
        <v>101.5</v>
      </c>
      <c r="D4477" s="5">
        <v>0.1</v>
      </c>
      <c r="E4477" s="5">
        <v>101.7</v>
      </c>
      <c r="F4477" s="5">
        <v>202.8</v>
      </c>
      <c r="G4477" s="5">
        <v>101.2</v>
      </c>
      <c r="H4477" s="5">
        <v>101</v>
      </c>
      <c r="I4477" s="5">
        <v>0</v>
      </c>
      <c r="J4477" s="5">
        <v>0</v>
      </c>
      <c r="K4477" s="5">
        <v>0</v>
      </c>
    </row>
    <row r="4478" spans="1:11" x14ac:dyDescent="0.25">
      <c r="A4478" s="5">
        <f>4471</f>
      </c>
      <c r="B4478" s="5" t="s">
        <v>4486</v>
      </c>
      <c r="C4478" s="5">
        <v>101.5</v>
      </c>
      <c r="D4478" s="5">
        <v>0.1</v>
      </c>
      <c r="E4478" s="5">
        <v>101.7</v>
      </c>
      <c r="F4478" s="5">
        <v>202.8</v>
      </c>
      <c r="G4478" s="5">
        <v>101.2</v>
      </c>
      <c r="H4478" s="5">
        <v>101</v>
      </c>
      <c r="I4478" s="5">
        <v>0</v>
      </c>
      <c r="J4478" s="5">
        <v>0</v>
      </c>
      <c r="K4478" s="5">
        <v>0</v>
      </c>
    </row>
    <row r="4479" spans="1:11" x14ac:dyDescent="0.25">
      <c r="A4479" s="5">
        <f>4472</f>
      </c>
      <c r="B4479" s="5" t="s">
        <v>4487</v>
      </c>
      <c r="C4479" s="5">
        <v>100.8</v>
      </c>
      <c r="D4479" s="5">
        <v>0.1</v>
      </c>
      <c r="E4479" s="5">
        <v>101</v>
      </c>
      <c r="F4479" s="5">
        <v>201.8</v>
      </c>
      <c r="G4479" s="5">
        <v>100.7</v>
      </c>
      <c r="H4479" s="5">
        <v>100.5</v>
      </c>
      <c r="I4479" s="5">
        <v>0</v>
      </c>
      <c r="J4479" s="5">
        <v>0</v>
      </c>
      <c r="K4479" s="5">
        <v>0</v>
      </c>
    </row>
    <row r="4480" spans="1:11" x14ac:dyDescent="0.25">
      <c r="A4480" s="5">
        <f>4473</f>
      </c>
      <c r="B4480" s="5" t="s">
        <v>4488</v>
      </c>
      <c r="C4480" s="5">
        <v>100.8</v>
      </c>
      <c r="D4480" s="5">
        <v>0.1</v>
      </c>
      <c r="E4480" s="5">
        <v>101</v>
      </c>
      <c r="F4480" s="5">
        <v>201.8</v>
      </c>
      <c r="G4480" s="5">
        <v>100.7</v>
      </c>
      <c r="H4480" s="5">
        <v>100.5</v>
      </c>
      <c r="I4480" s="5">
        <v>0</v>
      </c>
      <c r="J4480" s="5">
        <v>0</v>
      </c>
      <c r="K4480" s="5">
        <v>0</v>
      </c>
    </row>
    <row r="4481" spans="1:11" x14ac:dyDescent="0.25">
      <c r="A4481" s="5">
        <f>4474</f>
      </c>
      <c r="B4481" s="5" t="s">
        <v>4489</v>
      </c>
      <c r="C4481" s="5">
        <v>100.8</v>
      </c>
      <c r="D4481" s="5">
        <v>0.1</v>
      </c>
      <c r="E4481" s="5">
        <v>101</v>
      </c>
      <c r="F4481" s="5">
        <v>201.8</v>
      </c>
      <c r="G4481" s="5">
        <v>100.7</v>
      </c>
      <c r="H4481" s="5">
        <v>100.5</v>
      </c>
      <c r="I4481" s="5">
        <v>0</v>
      </c>
      <c r="J4481" s="5">
        <v>0</v>
      </c>
      <c r="K4481" s="5">
        <v>0</v>
      </c>
    </row>
    <row r="4482" spans="1:11" x14ac:dyDescent="0.25">
      <c r="A4482" s="5">
        <f>4475</f>
      </c>
      <c r="B4482" s="5" t="s">
        <v>4490</v>
      </c>
      <c r="C4482" s="5">
        <v>100.8</v>
      </c>
      <c r="D4482" s="5">
        <v>0.1</v>
      </c>
      <c r="E4482" s="5">
        <v>101</v>
      </c>
      <c r="F4482" s="5">
        <v>201.8</v>
      </c>
      <c r="G4482" s="5">
        <v>100.7</v>
      </c>
      <c r="H4482" s="5">
        <v>100.5</v>
      </c>
      <c r="I4482" s="5">
        <v>0</v>
      </c>
      <c r="J4482" s="5">
        <v>0</v>
      </c>
      <c r="K4482" s="5">
        <v>0</v>
      </c>
    </row>
    <row r="4483" spans="1:11" x14ac:dyDescent="0.25">
      <c r="A4483" s="5">
        <f>4476</f>
      </c>
      <c r="B4483" s="5" t="s">
        <v>4491</v>
      </c>
      <c r="C4483" s="5">
        <v>100.6</v>
      </c>
      <c r="D4483" s="5">
        <v>0.1</v>
      </c>
      <c r="E4483" s="5">
        <v>100.8</v>
      </c>
      <c r="F4483" s="5">
        <v>201</v>
      </c>
      <c r="G4483" s="5">
        <v>100.2</v>
      </c>
      <c r="H4483" s="5">
        <v>100</v>
      </c>
      <c r="I4483" s="5">
        <v>0</v>
      </c>
      <c r="J4483" s="5">
        <v>0</v>
      </c>
      <c r="K4483" s="5">
        <v>0</v>
      </c>
    </row>
    <row r="4484" spans="1:11" x14ac:dyDescent="0.25">
      <c r="A4484" s="5">
        <f>4477</f>
      </c>
      <c r="B4484" s="5" t="s">
        <v>4492</v>
      </c>
      <c r="C4484" s="5">
        <v>100.6</v>
      </c>
      <c r="D4484" s="5">
        <v>0.1</v>
      </c>
      <c r="E4484" s="5">
        <v>100.8</v>
      </c>
      <c r="F4484" s="5">
        <v>201</v>
      </c>
      <c r="G4484" s="5">
        <v>100.2</v>
      </c>
      <c r="H4484" s="5">
        <v>100</v>
      </c>
      <c r="I4484" s="5">
        <v>0</v>
      </c>
      <c r="J4484" s="5">
        <v>0</v>
      </c>
      <c r="K4484" s="5">
        <v>0</v>
      </c>
    </row>
    <row r="4485" spans="1:11" x14ac:dyDescent="0.25">
      <c r="A4485" s="5">
        <f>4478</f>
      </c>
      <c r="B4485" s="5" t="s">
        <v>4493</v>
      </c>
      <c r="C4485" s="5">
        <v>101</v>
      </c>
      <c r="D4485" s="5">
        <v>0.1</v>
      </c>
      <c r="E4485" s="5">
        <v>101.1</v>
      </c>
      <c r="F4485" s="5">
        <v>200.9</v>
      </c>
      <c r="G4485" s="5">
        <v>100.2</v>
      </c>
      <c r="H4485" s="5">
        <v>100</v>
      </c>
      <c r="I4485" s="5">
        <v>0</v>
      </c>
      <c r="J4485" s="5">
        <v>0</v>
      </c>
      <c r="K4485" s="5">
        <v>0</v>
      </c>
    </row>
    <row r="4486" spans="1:11" x14ac:dyDescent="0.25">
      <c r="A4486" s="5">
        <f>4479</f>
      </c>
      <c r="B4486" s="5" t="s">
        <v>4494</v>
      </c>
      <c r="C4486" s="5">
        <v>101</v>
      </c>
      <c r="D4486" s="5">
        <v>0.1</v>
      </c>
      <c r="E4486" s="5">
        <v>101.1</v>
      </c>
      <c r="F4486" s="5">
        <v>200.9</v>
      </c>
      <c r="G4486" s="5">
        <v>100.2</v>
      </c>
      <c r="H4486" s="5">
        <v>100</v>
      </c>
      <c r="I4486" s="5">
        <v>0</v>
      </c>
      <c r="J4486" s="5">
        <v>0</v>
      </c>
      <c r="K4486" s="5">
        <v>0</v>
      </c>
    </row>
    <row r="4487" spans="1:11" x14ac:dyDescent="0.25">
      <c r="A4487" s="5">
        <f>4480</f>
      </c>
      <c r="B4487" s="5" t="s">
        <v>4495</v>
      </c>
      <c r="C4487" s="5">
        <v>101.5</v>
      </c>
      <c r="D4487" s="5">
        <v>0.1</v>
      </c>
      <c r="E4487" s="5">
        <v>101.7</v>
      </c>
      <c r="F4487" s="5">
        <v>202.6</v>
      </c>
      <c r="G4487" s="5">
        <v>101.1</v>
      </c>
      <c r="H4487" s="5">
        <v>100.9</v>
      </c>
      <c r="I4487" s="5">
        <v>0</v>
      </c>
      <c r="J4487" s="5">
        <v>0</v>
      </c>
      <c r="K4487" s="5">
        <v>0</v>
      </c>
    </row>
    <row r="4488" spans="1:11" x14ac:dyDescent="0.25">
      <c r="A4488" s="5">
        <f>4481</f>
      </c>
      <c r="B4488" s="5" t="s">
        <v>4496</v>
      </c>
      <c r="C4488" s="5">
        <v>101.5</v>
      </c>
      <c r="D4488" s="5">
        <v>0.1</v>
      </c>
      <c r="E4488" s="5">
        <v>101.7</v>
      </c>
      <c r="F4488" s="5">
        <v>202.6</v>
      </c>
      <c r="G4488" s="5">
        <v>101.1</v>
      </c>
      <c r="H4488" s="5">
        <v>100.9</v>
      </c>
      <c r="I4488" s="5">
        <v>0</v>
      </c>
      <c r="J4488" s="5">
        <v>0</v>
      </c>
      <c r="K4488" s="5">
        <v>0</v>
      </c>
    </row>
    <row r="4489" spans="1:11" x14ac:dyDescent="0.25">
      <c r="A4489" s="5">
        <f>4482</f>
      </c>
      <c r="B4489" s="5" t="s">
        <v>4497</v>
      </c>
      <c r="C4489" s="5">
        <v>101</v>
      </c>
      <c r="D4489" s="5">
        <v>0.1</v>
      </c>
      <c r="E4489" s="5">
        <v>101.1</v>
      </c>
      <c r="F4489" s="5">
        <v>202.7</v>
      </c>
      <c r="G4489" s="5">
        <v>101.1</v>
      </c>
      <c r="H4489" s="5">
        <v>101</v>
      </c>
      <c r="I4489" s="5">
        <v>0</v>
      </c>
      <c r="J4489" s="5">
        <v>0</v>
      </c>
      <c r="K4489" s="5">
        <v>0</v>
      </c>
    </row>
    <row r="4490" spans="1:11" x14ac:dyDescent="0.25">
      <c r="A4490" s="5">
        <f>4483</f>
      </c>
      <c r="B4490" s="5" t="s">
        <v>4498</v>
      </c>
      <c r="C4490" s="5">
        <v>101</v>
      </c>
      <c r="D4490" s="5">
        <v>0.1</v>
      </c>
      <c r="E4490" s="5">
        <v>101.1</v>
      </c>
      <c r="F4490" s="5">
        <v>202.7</v>
      </c>
      <c r="G4490" s="5">
        <v>101.1</v>
      </c>
      <c r="H4490" s="5">
        <v>101</v>
      </c>
      <c r="I4490" s="5">
        <v>0</v>
      </c>
      <c r="J4490" s="5">
        <v>0</v>
      </c>
      <c r="K4490" s="5">
        <v>0</v>
      </c>
    </row>
    <row r="4491" spans="1:11" x14ac:dyDescent="0.25">
      <c r="A4491" s="5">
        <f>4484</f>
      </c>
      <c r="B4491" s="5" t="s">
        <v>4499</v>
      </c>
      <c r="C4491" s="5">
        <v>101</v>
      </c>
      <c r="D4491" s="5">
        <v>0.1</v>
      </c>
      <c r="E4491" s="5">
        <v>101.1</v>
      </c>
      <c r="F4491" s="5">
        <v>202.7</v>
      </c>
      <c r="G4491" s="5">
        <v>101.1</v>
      </c>
      <c r="H4491" s="5">
        <v>101</v>
      </c>
      <c r="I4491" s="5">
        <v>0</v>
      </c>
      <c r="J4491" s="5">
        <v>0</v>
      </c>
      <c r="K4491" s="5">
        <v>0</v>
      </c>
    </row>
    <row r="4492" spans="1:11" x14ac:dyDescent="0.25">
      <c r="A4492" s="5">
        <f>4485</f>
      </c>
      <c r="B4492" s="5" t="s">
        <v>4500</v>
      </c>
      <c r="C4492" s="5">
        <v>101</v>
      </c>
      <c r="D4492" s="5">
        <v>0.1</v>
      </c>
      <c r="E4492" s="5">
        <v>101.1</v>
      </c>
      <c r="F4492" s="5">
        <v>202.1</v>
      </c>
      <c r="G4492" s="5">
        <v>100.9</v>
      </c>
      <c r="H4492" s="5">
        <v>100.7</v>
      </c>
      <c r="I4492" s="5">
        <v>0</v>
      </c>
      <c r="J4492" s="5">
        <v>0</v>
      </c>
      <c r="K4492" s="5">
        <v>0</v>
      </c>
    </row>
    <row r="4493" spans="1:11" x14ac:dyDescent="0.25">
      <c r="A4493" s="5">
        <f>4486</f>
      </c>
      <c r="B4493" s="5" t="s">
        <v>4501</v>
      </c>
      <c r="C4493" s="5">
        <v>101</v>
      </c>
      <c r="D4493" s="5">
        <v>0.1</v>
      </c>
      <c r="E4493" s="5">
        <v>101.1</v>
      </c>
      <c r="F4493" s="5">
        <v>202.1</v>
      </c>
      <c r="G4493" s="5">
        <v>100.9</v>
      </c>
      <c r="H4493" s="5">
        <v>100.7</v>
      </c>
      <c r="I4493" s="5">
        <v>0</v>
      </c>
      <c r="J4493" s="5">
        <v>0</v>
      </c>
      <c r="K4493" s="5">
        <v>0</v>
      </c>
    </row>
    <row r="4494" spans="1:11" x14ac:dyDescent="0.25">
      <c r="A4494" s="5">
        <f>4487</f>
      </c>
      <c r="B4494" s="5" t="s">
        <v>4502</v>
      </c>
      <c r="C4494" s="5">
        <v>99.9</v>
      </c>
      <c r="D4494" s="5">
        <v>0.1</v>
      </c>
      <c r="E4494" s="5">
        <v>100.1</v>
      </c>
      <c r="F4494" s="5">
        <v>200.8</v>
      </c>
      <c r="G4494" s="5">
        <v>100.1</v>
      </c>
      <c r="H4494" s="5">
        <v>99.9</v>
      </c>
      <c r="I4494" s="5">
        <v>0</v>
      </c>
      <c r="J4494" s="5">
        <v>0</v>
      </c>
      <c r="K4494" s="5">
        <v>0</v>
      </c>
    </row>
    <row r="4495" spans="1:11" x14ac:dyDescent="0.25">
      <c r="A4495" s="5">
        <f>4488</f>
      </c>
      <c r="B4495" s="5" t="s">
        <v>4503</v>
      </c>
      <c r="C4495" s="5">
        <v>99.9</v>
      </c>
      <c r="D4495" s="5">
        <v>0.1</v>
      </c>
      <c r="E4495" s="5">
        <v>100.1</v>
      </c>
      <c r="F4495" s="5">
        <v>200.8</v>
      </c>
      <c r="G4495" s="5">
        <v>100.1</v>
      </c>
      <c r="H4495" s="5">
        <v>99.9</v>
      </c>
      <c r="I4495" s="5">
        <v>0</v>
      </c>
      <c r="J4495" s="5">
        <v>0</v>
      </c>
      <c r="K4495" s="5">
        <v>0</v>
      </c>
    </row>
    <row r="4496" spans="1:11" x14ac:dyDescent="0.25">
      <c r="A4496" s="5">
        <f>4489</f>
      </c>
      <c r="B4496" s="5" t="s">
        <v>4504</v>
      </c>
      <c r="C4496" s="5">
        <v>101</v>
      </c>
      <c r="D4496" s="5">
        <v>0.1</v>
      </c>
      <c r="E4496" s="5">
        <v>101.1</v>
      </c>
      <c r="F4496" s="5">
        <v>201.7</v>
      </c>
      <c r="G4496" s="5">
        <v>100.6</v>
      </c>
      <c r="H4496" s="5">
        <v>100.5</v>
      </c>
      <c r="I4496" s="5">
        <v>0</v>
      </c>
      <c r="J4496" s="5">
        <v>0</v>
      </c>
      <c r="K4496" s="5">
        <v>0</v>
      </c>
    </row>
    <row r="4497" spans="1:11" x14ac:dyDescent="0.25">
      <c r="A4497" s="5">
        <f>4490</f>
      </c>
      <c r="B4497" s="5" t="s">
        <v>4505</v>
      </c>
      <c r="C4497" s="5">
        <v>101</v>
      </c>
      <c r="D4497" s="5">
        <v>0.1</v>
      </c>
      <c r="E4497" s="5">
        <v>101.1</v>
      </c>
      <c r="F4497" s="5">
        <v>201.7</v>
      </c>
      <c r="G4497" s="5">
        <v>100.6</v>
      </c>
      <c r="H4497" s="5">
        <v>100.5</v>
      </c>
      <c r="I4497" s="5">
        <v>0</v>
      </c>
      <c r="J4497" s="5">
        <v>0</v>
      </c>
      <c r="K4497" s="5">
        <v>0</v>
      </c>
    </row>
    <row r="4498" spans="1:11" x14ac:dyDescent="0.25">
      <c r="A4498" s="5">
        <f>4491</f>
      </c>
      <c r="B4498" s="5" t="s">
        <v>4506</v>
      </c>
      <c r="C4498" s="5">
        <v>101.4</v>
      </c>
      <c r="D4498" s="5">
        <v>0.1</v>
      </c>
      <c r="E4498" s="5">
        <v>101.5</v>
      </c>
      <c r="F4498" s="5">
        <v>201.9</v>
      </c>
      <c r="G4498" s="5">
        <v>100.7</v>
      </c>
      <c r="H4498" s="5">
        <v>100.6</v>
      </c>
      <c r="I4498" s="5">
        <v>0</v>
      </c>
      <c r="J4498" s="5">
        <v>0</v>
      </c>
      <c r="K4498" s="5">
        <v>0</v>
      </c>
    </row>
    <row r="4499" spans="1:11" x14ac:dyDescent="0.25">
      <c r="A4499" s="5">
        <f>4492</f>
      </c>
      <c r="B4499" s="5" t="s">
        <v>4507</v>
      </c>
      <c r="C4499" s="5">
        <v>101.4</v>
      </c>
      <c r="D4499" s="5">
        <v>0.1</v>
      </c>
      <c r="E4499" s="5">
        <v>101.5</v>
      </c>
      <c r="F4499" s="5">
        <v>201.9</v>
      </c>
      <c r="G4499" s="5">
        <v>100.7</v>
      </c>
      <c r="H4499" s="5">
        <v>100.6</v>
      </c>
      <c r="I4499" s="5">
        <v>0</v>
      </c>
      <c r="J4499" s="5">
        <v>0</v>
      </c>
      <c r="K4499" s="5">
        <v>0</v>
      </c>
    </row>
    <row r="4500" spans="1:11" x14ac:dyDescent="0.25">
      <c r="A4500" s="5">
        <f>4493</f>
      </c>
      <c r="B4500" s="5" t="s">
        <v>4508</v>
      </c>
      <c r="C4500" s="5">
        <v>101.4</v>
      </c>
      <c r="D4500" s="5">
        <v>0.1</v>
      </c>
      <c r="E4500" s="5">
        <v>101.5</v>
      </c>
      <c r="F4500" s="5">
        <v>201.9</v>
      </c>
      <c r="G4500" s="5">
        <v>100.7</v>
      </c>
      <c r="H4500" s="5">
        <v>100.6</v>
      </c>
      <c r="I4500" s="5">
        <v>0</v>
      </c>
      <c r="J4500" s="5">
        <v>0</v>
      </c>
      <c r="K4500" s="5">
        <v>0</v>
      </c>
    </row>
    <row r="4501" spans="1:11" x14ac:dyDescent="0.25">
      <c r="A4501" s="5">
        <f>4494</f>
      </c>
      <c r="B4501" s="5" t="s">
        <v>4509</v>
      </c>
      <c r="C4501" s="5">
        <v>101.4</v>
      </c>
      <c r="D4501" s="5">
        <v>0.1</v>
      </c>
      <c r="E4501" s="5">
        <v>101.5</v>
      </c>
      <c r="F4501" s="5">
        <v>201.9</v>
      </c>
      <c r="G4501" s="5">
        <v>100.7</v>
      </c>
      <c r="H4501" s="5">
        <v>100.6</v>
      </c>
      <c r="I4501" s="5">
        <v>0</v>
      </c>
      <c r="J4501" s="5">
        <v>0</v>
      </c>
      <c r="K4501" s="5">
        <v>0</v>
      </c>
    </row>
    <row r="4502" spans="1:11" x14ac:dyDescent="0.25">
      <c r="A4502" s="5">
        <f>4495</f>
      </c>
      <c r="B4502" s="5" t="s">
        <v>4510</v>
      </c>
      <c r="C4502" s="5">
        <v>101</v>
      </c>
      <c r="D4502" s="5">
        <v>0.1</v>
      </c>
      <c r="E4502" s="5">
        <v>101.1</v>
      </c>
      <c r="F4502" s="5">
        <v>201.8</v>
      </c>
      <c r="G4502" s="5">
        <v>100.6</v>
      </c>
      <c r="H4502" s="5">
        <v>100.4</v>
      </c>
      <c r="I4502" s="5">
        <v>0</v>
      </c>
      <c r="J4502" s="5">
        <v>0</v>
      </c>
      <c r="K4502" s="5">
        <v>0</v>
      </c>
    </row>
    <row r="4503" spans="1:11" x14ac:dyDescent="0.25">
      <c r="A4503" s="5">
        <f>4496</f>
      </c>
      <c r="B4503" s="5" t="s">
        <v>4511</v>
      </c>
      <c r="C4503" s="5">
        <v>101</v>
      </c>
      <c r="D4503" s="5">
        <v>0.1</v>
      </c>
      <c r="E4503" s="5">
        <v>101.1</v>
      </c>
      <c r="F4503" s="5">
        <v>201.8</v>
      </c>
      <c r="G4503" s="5">
        <v>100.6</v>
      </c>
      <c r="H4503" s="5">
        <v>100.4</v>
      </c>
      <c r="I4503" s="5">
        <v>0</v>
      </c>
      <c r="J4503" s="5">
        <v>0</v>
      </c>
      <c r="K4503" s="5">
        <v>0</v>
      </c>
    </row>
    <row r="4504" spans="1:11" x14ac:dyDescent="0.25">
      <c r="A4504" s="5">
        <f>4497</f>
      </c>
      <c r="B4504" s="5" t="s">
        <v>4512</v>
      </c>
      <c r="C4504" s="5">
        <v>101</v>
      </c>
      <c r="D4504" s="5">
        <v>0.1</v>
      </c>
      <c r="E4504" s="5">
        <v>101.1</v>
      </c>
      <c r="F4504" s="5">
        <v>201.8</v>
      </c>
      <c r="G4504" s="5">
        <v>100.6</v>
      </c>
      <c r="H4504" s="5">
        <v>100.4</v>
      </c>
      <c r="I4504" s="5">
        <v>0</v>
      </c>
      <c r="J4504" s="5">
        <v>0</v>
      </c>
      <c r="K4504" s="5">
        <v>0</v>
      </c>
    </row>
    <row r="4505" spans="1:11" x14ac:dyDescent="0.25">
      <c r="A4505" s="5">
        <f>4498</f>
      </c>
      <c r="B4505" s="5" t="s">
        <v>4513</v>
      </c>
      <c r="C4505" s="5">
        <v>101</v>
      </c>
      <c r="D4505" s="5">
        <v>0.1</v>
      </c>
      <c r="E4505" s="5">
        <v>101.1</v>
      </c>
      <c r="F4505" s="5">
        <v>201.8</v>
      </c>
      <c r="G4505" s="5">
        <v>100.6</v>
      </c>
      <c r="H4505" s="5">
        <v>100.4</v>
      </c>
      <c r="I4505" s="5">
        <v>0</v>
      </c>
      <c r="J4505" s="5">
        <v>0</v>
      </c>
      <c r="K4505" s="5">
        <v>0</v>
      </c>
    </row>
    <row r="4506" spans="1:11" x14ac:dyDescent="0.25">
      <c r="A4506" s="5">
        <f>4499</f>
      </c>
      <c r="B4506" s="5" t="s">
        <v>4514</v>
      </c>
      <c r="C4506" s="5">
        <v>101.6</v>
      </c>
      <c r="D4506" s="5">
        <v>0.1</v>
      </c>
      <c r="E4506" s="5">
        <v>101.8</v>
      </c>
      <c r="F4506" s="5">
        <v>201.7</v>
      </c>
      <c r="G4506" s="5">
        <v>100.6</v>
      </c>
      <c r="H4506" s="5">
        <v>100.5</v>
      </c>
      <c r="I4506" s="5">
        <v>0</v>
      </c>
      <c r="J4506" s="5">
        <v>0</v>
      </c>
      <c r="K4506" s="5">
        <v>0</v>
      </c>
    </row>
    <row r="4507" spans="1:11" x14ac:dyDescent="0.25">
      <c r="A4507" s="5">
        <f>4500</f>
      </c>
      <c r="B4507" s="5" t="s">
        <v>4515</v>
      </c>
      <c r="C4507" s="5">
        <v>101.6</v>
      </c>
      <c r="D4507" s="5">
        <v>0.1</v>
      </c>
      <c r="E4507" s="5">
        <v>101.8</v>
      </c>
      <c r="F4507" s="5">
        <v>201.7</v>
      </c>
      <c r="G4507" s="5">
        <v>100.6</v>
      </c>
      <c r="H4507" s="5">
        <v>100.5</v>
      </c>
      <c r="I4507" s="5">
        <v>0</v>
      </c>
      <c r="J4507" s="5">
        <v>0</v>
      </c>
      <c r="K4507" s="5">
        <v>0</v>
      </c>
    </row>
    <row r="4508" spans="1:11" x14ac:dyDescent="0.25">
      <c r="A4508" s="5">
        <f>4501</f>
      </c>
      <c r="B4508" s="5" t="s">
        <v>4516</v>
      </c>
      <c r="C4508" s="5">
        <v>100.6</v>
      </c>
      <c r="D4508" s="5">
        <v>0.1</v>
      </c>
      <c r="E4508" s="5">
        <v>100.8</v>
      </c>
      <c r="F4508" s="5">
        <v>201.4</v>
      </c>
      <c r="G4508" s="5">
        <v>100.4</v>
      </c>
      <c r="H4508" s="5">
        <v>100.3</v>
      </c>
      <c r="I4508" s="5">
        <v>0</v>
      </c>
      <c r="J4508" s="5">
        <v>0</v>
      </c>
      <c r="K4508" s="5">
        <v>0</v>
      </c>
    </row>
    <row r="4509" spans="1:11" x14ac:dyDescent="0.25">
      <c r="A4509" s="5">
        <f>4502</f>
      </c>
      <c r="B4509" s="5" t="s">
        <v>4517</v>
      </c>
      <c r="C4509" s="5">
        <v>100.6</v>
      </c>
      <c r="D4509" s="5">
        <v>0.1</v>
      </c>
      <c r="E4509" s="5">
        <v>100.8</v>
      </c>
      <c r="F4509" s="5">
        <v>201.4</v>
      </c>
      <c r="G4509" s="5">
        <v>100.4</v>
      </c>
      <c r="H4509" s="5">
        <v>100.3</v>
      </c>
      <c r="I4509" s="5">
        <v>0</v>
      </c>
      <c r="J4509" s="5">
        <v>0</v>
      </c>
      <c r="K4509" s="5">
        <v>0</v>
      </c>
    </row>
    <row r="4510" spans="1:11" x14ac:dyDescent="0.25">
      <c r="A4510" s="5">
        <f>4503</f>
      </c>
      <c r="B4510" s="5" t="s">
        <v>4518</v>
      </c>
      <c r="C4510" s="5">
        <v>100.6</v>
      </c>
      <c r="D4510" s="5">
        <v>0.1</v>
      </c>
      <c r="E4510" s="5">
        <v>100.8</v>
      </c>
      <c r="F4510" s="5">
        <v>201.4</v>
      </c>
      <c r="G4510" s="5">
        <v>100.4</v>
      </c>
      <c r="H4510" s="5">
        <v>100.3</v>
      </c>
      <c r="I4510" s="5">
        <v>0</v>
      </c>
      <c r="J4510" s="5">
        <v>0</v>
      </c>
      <c r="K4510" s="5">
        <v>0</v>
      </c>
    </row>
    <row r="4511" spans="1:11" x14ac:dyDescent="0.25">
      <c r="A4511" s="5">
        <f>4504</f>
      </c>
      <c r="B4511" s="5" t="s">
        <v>4519</v>
      </c>
      <c r="C4511" s="5">
        <v>100.6</v>
      </c>
      <c r="D4511" s="5">
        <v>0.1</v>
      </c>
      <c r="E4511" s="5">
        <v>100.8</v>
      </c>
      <c r="F4511" s="5">
        <v>201.4</v>
      </c>
      <c r="G4511" s="5">
        <v>100.4</v>
      </c>
      <c r="H4511" s="5">
        <v>100.3</v>
      </c>
      <c r="I4511" s="5">
        <v>0</v>
      </c>
      <c r="J4511" s="5">
        <v>0</v>
      </c>
      <c r="K4511" s="5">
        <v>0</v>
      </c>
    </row>
    <row r="4512" spans="1:11" x14ac:dyDescent="0.25">
      <c r="A4512" s="5">
        <f>4505</f>
      </c>
      <c r="B4512" s="5" t="s">
        <v>4520</v>
      </c>
      <c r="C4512" s="5">
        <v>101.1</v>
      </c>
      <c r="D4512" s="5">
        <v>0.1</v>
      </c>
      <c r="E4512" s="5">
        <v>101.3</v>
      </c>
      <c r="F4512" s="5">
        <v>201.7</v>
      </c>
      <c r="G4512" s="5">
        <v>100.7</v>
      </c>
      <c r="H4512" s="5">
        <v>100.5</v>
      </c>
      <c r="I4512" s="5">
        <v>0</v>
      </c>
      <c r="J4512" s="5">
        <v>0</v>
      </c>
      <c r="K4512" s="5">
        <v>0</v>
      </c>
    </row>
    <row r="4513" spans="1:11" x14ac:dyDescent="0.25">
      <c r="A4513" s="5">
        <f>4506</f>
      </c>
      <c r="B4513" s="5" t="s">
        <v>4521</v>
      </c>
      <c r="C4513" s="5">
        <v>101.1</v>
      </c>
      <c r="D4513" s="5">
        <v>0.1</v>
      </c>
      <c r="E4513" s="5">
        <v>101.3</v>
      </c>
      <c r="F4513" s="5">
        <v>201.7</v>
      </c>
      <c r="G4513" s="5">
        <v>100.7</v>
      </c>
      <c r="H4513" s="5">
        <v>100.5</v>
      </c>
      <c r="I4513" s="5">
        <v>0</v>
      </c>
      <c r="J4513" s="5">
        <v>0</v>
      </c>
      <c r="K4513" s="5">
        <v>0</v>
      </c>
    </row>
    <row r="4514" spans="1:11" x14ac:dyDescent="0.25">
      <c r="A4514" s="5">
        <f>4507</f>
      </c>
      <c r="B4514" s="5" t="s">
        <v>4522</v>
      </c>
      <c r="C4514" s="5">
        <v>101.3</v>
      </c>
      <c r="D4514" s="5">
        <v>0.1</v>
      </c>
      <c r="E4514" s="5">
        <v>101.4</v>
      </c>
      <c r="F4514" s="5">
        <v>202.2</v>
      </c>
      <c r="G4514" s="5">
        <v>100.9</v>
      </c>
      <c r="H4514" s="5">
        <v>100.7</v>
      </c>
      <c r="I4514" s="5">
        <v>0</v>
      </c>
      <c r="J4514" s="5">
        <v>0</v>
      </c>
      <c r="K4514" s="5">
        <v>0</v>
      </c>
    </row>
    <row r="4515" spans="1:11" x14ac:dyDescent="0.25">
      <c r="A4515" s="5">
        <f>4508</f>
      </c>
      <c r="B4515" s="5" t="s">
        <v>4523</v>
      </c>
      <c r="C4515" s="5">
        <v>101.3</v>
      </c>
      <c r="D4515" s="5">
        <v>0.1</v>
      </c>
      <c r="E4515" s="5">
        <v>101.4</v>
      </c>
      <c r="F4515" s="5">
        <v>202.2</v>
      </c>
      <c r="G4515" s="5">
        <v>100.9</v>
      </c>
      <c r="H4515" s="5">
        <v>100.7</v>
      </c>
      <c r="I4515" s="5">
        <v>0</v>
      </c>
      <c r="J4515" s="5">
        <v>0</v>
      </c>
      <c r="K4515" s="5">
        <v>0</v>
      </c>
    </row>
    <row r="4516" spans="1:11" x14ac:dyDescent="0.25">
      <c r="A4516" s="5">
        <f>4509</f>
      </c>
      <c r="B4516" s="5" t="s">
        <v>4524</v>
      </c>
      <c r="C4516" s="5">
        <v>100.3</v>
      </c>
      <c r="D4516" s="5">
        <v>0.1</v>
      </c>
      <c r="E4516" s="5">
        <v>100.4</v>
      </c>
      <c r="F4516" s="5">
        <v>200.1</v>
      </c>
      <c r="G4516" s="5">
        <v>99.8</v>
      </c>
      <c r="H4516" s="5">
        <v>99.7</v>
      </c>
      <c r="I4516" s="5">
        <v>0</v>
      </c>
      <c r="J4516" s="5">
        <v>0</v>
      </c>
      <c r="K4516" s="5">
        <v>0</v>
      </c>
    </row>
    <row r="4517" spans="1:11" x14ac:dyDescent="0.25">
      <c r="A4517" s="5">
        <f>4510</f>
      </c>
      <c r="B4517" s="5" t="s">
        <v>4525</v>
      </c>
      <c r="C4517" s="5">
        <v>100.3</v>
      </c>
      <c r="D4517" s="5">
        <v>0.1</v>
      </c>
      <c r="E4517" s="5">
        <v>100.4</v>
      </c>
      <c r="F4517" s="5">
        <v>200.1</v>
      </c>
      <c r="G4517" s="5">
        <v>99.8</v>
      </c>
      <c r="H4517" s="5">
        <v>99.7</v>
      </c>
      <c r="I4517" s="5">
        <v>0</v>
      </c>
      <c r="J4517" s="5">
        <v>0</v>
      </c>
      <c r="K4517" s="5">
        <v>0</v>
      </c>
    </row>
    <row r="4518" spans="1:11" x14ac:dyDescent="0.25">
      <c r="A4518" s="5">
        <f>4511</f>
      </c>
      <c r="B4518" s="5" t="s">
        <v>4526</v>
      </c>
      <c r="C4518" s="5">
        <v>101</v>
      </c>
      <c r="D4518" s="5">
        <v>0.1</v>
      </c>
      <c r="E4518" s="5">
        <v>101.1</v>
      </c>
      <c r="F4518" s="5">
        <v>201.6</v>
      </c>
      <c r="G4518" s="5">
        <v>100.5</v>
      </c>
      <c r="H4518" s="5">
        <v>100.4</v>
      </c>
      <c r="I4518" s="5">
        <v>0</v>
      </c>
      <c r="J4518" s="5">
        <v>0</v>
      </c>
      <c r="K4518" s="5">
        <v>0</v>
      </c>
    </row>
    <row r="4519" spans="1:11" x14ac:dyDescent="0.25">
      <c r="A4519" s="5">
        <f>4512</f>
      </c>
      <c r="B4519" s="5" t="s">
        <v>4527</v>
      </c>
      <c r="C4519" s="5">
        <v>101</v>
      </c>
      <c r="D4519" s="5">
        <v>0.1</v>
      </c>
      <c r="E4519" s="5">
        <v>101.1</v>
      </c>
      <c r="F4519" s="5">
        <v>201.6</v>
      </c>
      <c r="G4519" s="5">
        <v>100.5</v>
      </c>
      <c r="H4519" s="5">
        <v>100.4</v>
      </c>
      <c r="I4519" s="5">
        <v>0</v>
      </c>
      <c r="J4519" s="5">
        <v>0</v>
      </c>
      <c r="K4519" s="5">
        <v>0</v>
      </c>
    </row>
    <row r="4520" spans="1:11" x14ac:dyDescent="0.25">
      <c r="A4520" s="5">
        <f>4513</f>
      </c>
      <c r="B4520" s="5" t="s">
        <v>4528</v>
      </c>
      <c r="C4520" s="5">
        <v>101</v>
      </c>
      <c r="D4520" s="5">
        <v>0.1</v>
      </c>
      <c r="E4520" s="5">
        <v>101.1</v>
      </c>
      <c r="F4520" s="5">
        <v>201.6</v>
      </c>
      <c r="G4520" s="5">
        <v>100.5</v>
      </c>
      <c r="H4520" s="5">
        <v>100.4</v>
      </c>
      <c r="I4520" s="5">
        <v>0</v>
      </c>
      <c r="J4520" s="5">
        <v>0</v>
      </c>
      <c r="K4520" s="5">
        <v>0</v>
      </c>
    </row>
    <row r="4521" spans="1:11" x14ac:dyDescent="0.25">
      <c r="A4521" s="5">
        <f>4514</f>
      </c>
      <c r="B4521" s="5" t="s">
        <v>4529</v>
      </c>
      <c r="C4521" s="5">
        <v>101</v>
      </c>
      <c r="D4521" s="5">
        <v>0.1</v>
      </c>
      <c r="E4521" s="5">
        <v>101.1</v>
      </c>
      <c r="F4521" s="5">
        <v>201.6</v>
      </c>
      <c r="G4521" s="5">
        <v>100.5</v>
      </c>
      <c r="H4521" s="5">
        <v>100.4</v>
      </c>
      <c r="I4521" s="5">
        <v>0</v>
      </c>
      <c r="J4521" s="5">
        <v>0</v>
      </c>
      <c r="K4521" s="5">
        <v>0</v>
      </c>
    </row>
    <row r="4522" spans="1:11" x14ac:dyDescent="0.25">
      <c r="A4522" s="5">
        <f>4515</f>
      </c>
      <c r="B4522" s="5" t="s">
        <v>4530</v>
      </c>
      <c r="C4522" s="5">
        <v>100.6</v>
      </c>
      <c r="D4522" s="5">
        <v>0.1</v>
      </c>
      <c r="E4522" s="5">
        <v>100.8</v>
      </c>
      <c r="F4522" s="5">
        <v>201.5</v>
      </c>
      <c r="G4522" s="5">
        <v>100.5</v>
      </c>
      <c r="H4522" s="5">
        <v>100.3</v>
      </c>
      <c r="I4522" s="5">
        <v>0</v>
      </c>
      <c r="J4522" s="5">
        <v>0</v>
      </c>
      <c r="K4522" s="5">
        <v>0</v>
      </c>
    </row>
    <row r="4523" spans="1:11" x14ac:dyDescent="0.25">
      <c r="A4523" s="5">
        <f>4516</f>
      </c>
      <c r="B4523" s="5" t="s">
        <v>4531</v>
      </c>
      <c r="C4523" s="5">
        <v>100.6</v>
      </c>
      <c r="D4523" s="5">
        <v>0.1</v>
      </c>
      <c r="E4523" s="5">
        <v>100.8</v>
      </c>
      <c r="F4523" s="5">
        <v>201.5</v>
      </c>
      <c r="G4523" s="5">
        <v>100.5</v>
      </c>
      <c r="H4523" s="5">
        <v>100.3</v>
      </c>
      <c r="I4523" s="5">
        <v>0</v>
      </c>
      <c r="J4523" s="5">
        <v>0</v>
      </c>
      <c r="K4523" s="5">
        <v>0</v>
      </c>
    </row>
    <row r="4524" spans="1:11" x14ac:dyDescent="0.25">
      <c r="A4524" s="5">
        <f>4517</f>
      </c>
      <c r="B4524" s="5" t="s">
        <v>4532</v>
      </c>
      <c r="C4524" s="5">
        <v>100.3</v>
      </c>
      <c r="D4524" s="5">
        <v>0.1</v>
      </c>
      <c r="E4524" s="5">
        <v>100.5</v>
      </c>
      <c r="F4524" s="5">
        <v>201.3</v>
      </c>
      <c r="G4524" s="5">
        <v>100.4</v>
      </c>
      <c r="H4524" s="5">
        <v>100.2</v>
      </c>
      <c r="I4524" s="5">
        <v>0</v>
      </c>
      <c r="J4524" s="5">
        <v>0</v>
      </c>
      <c r="K4524" s="5">
        <v>0</v>
      </c>
    </row>
    <row r="4525" spans="1:11" x14ac:dyDescent="0.25">
      <c r="A4525" s="5">
        <f>4518</f>
      </c>
      <c r="B4525" s="5" t="s">
        <v>4533</v>
      </c>
      <c r="C4525" s="5">
        <v>100.3</v>
      </c>
      <c r="D4525" s="5">
        <v>0.1</v>
      </c>
      <c r="E4525" s="5">
        <v>100.5</v>
      </c>
      <c r="F4525" s="5">
        <v>201.3</v>
      </c>
      <c r="G4525" s="5">
        <v>100.4</v>
      </c>
      <c r="H4525" s="5">
        <v>100.2</v>
      </c>
      <c r="I4525" s="5">
        <v>0</v>
      </c>
      <c r="J4525" s="5">
        <v>0</v>
      </c>
      <c r="K4525" s="5">
        <v>0</v>
      </c>
    </row>
    <row r="4526" spans="1:11" x14ac:dyDescent="0.25">
      <c r="A4526" s="5">
        <f>4519</f>
      </c>
      <c r="B4526" s="5" t="s">
        <v>4534</v>
      </c>
      <c r="C4526" s="5">
        <v>100</v>
      </c>
      <c r="D4526" s="5">
        <v>0.1</v>
      </c>
      <c r="E4526" s="5">
        <v>100.2</v>
      </c>
      <c r="F4526" s="5">
        <v>201.1</v>
      </c>
      <c r="G4526" s="5">
        <v>100.3</v>
      </c>
      <c r="H4526" s="5">
        <v>100.1</v>
      </c>
      <c r="I4526" s="5">
        <v>0</v>
      </c>
      <c r="J4526" s="5">
        <v>0</v>
      </c>
      <c r="K4526" s="5">
        <v>0</v>
      </c>
    </row>
    <row r="4527" spans="1:11" x14ac:dyDescent="0.25">
      <c r="A4527" s="5">
        <f>4520</f>
      </c>
      <c r="B4527" s="5" t="s">
        <v>4535</v>
      </c>
      <c r="C4527" s="5">
        <v>100</v>
      </c>
      <c r="D4527" s="5">
        <v>0.1</v>
      </c>
      <c r="E4527" s="5">
        <v>100.2</v>
      </c>
      <c r="F4527" s="5">
        <v>201.1</v>
      </c>
      <c r="G4527" s="5">
        <v>100.3</v>
      </c>
      <c r="H4527" s="5">
        <v>100.1</v>
      </c>
      <c r="I4527" s="5">
        <v>0</v>
      </c>
      <c r="J4527" s="5">
        <v>0</v>
      </c>
      <c r="K4527" s="5">
        <v>0</v>
      </c>
    </row>
    <row r="4528" spans="1:11" x14ac:dyDescent="0.25">
      <c r="A4528" s="5">
        <f>4521</f>
      </c>
      <c r="B4528" s="5" t="s">
        <v>4536</v>
      </c>
      <c r="C4528" s="5">
        <v>100.8</v>
      </c>
      <c r="D4528" s="5">
        <v>0.1</v>
      </c>
      <c r="E4528" s="5">
        <v>101</v>
      </c>
      <c r="F4528" s="5">
        <v>201.1</v>
      </c>
      <c r="G4528" s="5">
        <v>100.3</v>
      </c>
      <c r="H4528" s="5">
        <v>100.2</v>
      </c>
      <c r="I4528" s="5">
        <v>0</v>
      </c>
      <c r="J4528" s="5">
        <v>0</v>
      </c>
      <c r="K4528" s="5">
        <v>0</v>
      </c>
    </row>
    <row r="4529" spans="1:11" x14ac:dyDescent="0.25">
      <c r="A4529" s="5">
        <f>4522</f>
      </c>
      <c r="B4529" s="5" t="s">
        <v>4537</v>
      </c>
      <c r="C4529" s="5">
        <v>100.8</v>
      </c>
      <c r="D4529" s="5">
        <v>0.1</v>
      </c>
      <c r="E4529" s="5">
        <v>101</v>
      </c>
      <c r="F4529" s="5">
        <v>201.1</v>
      </c>
      <c r="G4529" s="5">
        <v>100.3</v>
      </c>
      <c r="H4529" s="5">
        <v>100.2</v>
      </c>
      <c r="I4529" s="5">
        <v>0</v>
      </c>
      <c r="J4529" s="5">
        <v>0</v>
      </c>
      <c r="K4529" s="5">
        <v>0</v>
      </c>
    </row>
    <row r="4530" spans="1:11" x14ac:dyDescent="0.25">
      <c r="A4530" s="5">
        <f>4523</f>
      </c>
      <c r="B4530" s="5" t="s">
        <v>4538</v>
      </c>
      <c r="C4530" s="5">
        <v>100.8</v>
      </c>
      <c r="D4530" s="5">
        <v>0.1</v>
      </c>
      <c r="E4530" s="5">
        <v>101</v>
      </c>
      <c r="F4530" s="5">
        <v>201.1</v>
      </c>
      <c r="G4530" s="5">
        <v>100.3</v>
      </c>
      <c r="H4530" s="5">
        <v>100.2</v>
      </c>
      <c r="I4530" s="5">
        <v>0</v>
      </c>
      <c r="J4530" s="5">
        <v>0</v>
      </c>
      <c r="K4530" s="5">
        <v>0</v>
      </c>
    </row>
    <row r="4531" spans="1:11" x14ac:dyDescent="0.25">
      <c r="A4531" s="5">
        <f>4524</f>
      </c>
      <c r="B4531" s="5" t="s">
        <v>4539</v>
      </c>
      <c r="C4531" s="5">
        <v>100.8</v>
      </c>
      <c r="D4531" s="5">
        <v>0.1</v>
      </c>
      <c r="E4531" s="5">
        <v>101</v>
      </c>
      <c r="F4531" s="5">
        <v>201.1</v>
      </c>
      <c r="G4531" s="5">
        <v>100.3</v>
      </c>
      <c r="H4531" s="5">
        <v>100.2</v>
      </c>
      <c r="I4531" s="5">
        <v>0</v>
      </c>
      <c r="J4531" s="5">
        <v>0</v>
      </c>
      <c r="K4531" s="5">
        <v>0</v>
      </c>
    </row>
    <row r="4532" spans="1:11" x14ac:dyDescent="0.25">
      <c r="A4532" s="5">
        <f>4525</f>
      </c>
      <c r="B4532" s="5" t="s">
        <v>4540</v>
      </c>
      <c r="C4532" s="5">
        <v>100.5</v>
      </c>
      <c r="D4532" s="5">
        <v>0.1</v>
      </c>
      <c r="E4532" s="5">
        <v>100.6</v>
      </c>
      <c r="F4532" s="5">
        <v>201.1</v>
      </c>
      <c r="G4532" s="5">
        <v>100.3</v>
      </c>
      <c r="H4532" s="5">
        <v>100.2</v>
      </c>
      <c r="I4532" s="5">
        <v>0</v>
      </c>
      <c r="J4532" s="5">
        <v>0</v>
      </c>
      <c r="K4532" s="5">
        <v>0</v>
      </c>
    </row>
    <row r="4533" spans="1:11" x14ac:dyDescent="0.25">
      <c r="A4533" s="5">
        <f>4526</f>
      </c>
      <c r="B4533" s="5" t="s">
        <v>4541</v>
      </c>
      <c r="C4533" s="5">
        <v>100.5</v>
      </c>
      <c r="D4533" s="5">
        <v>0.1</v>
      </c>
      <c r="E4533" s="5">
        <v>100.6</v>
      </c>
      <c r="F4533" s="5">
        <v>201.1</v>
      </c>
      <c r="G4533" s="5">
        <v>100.3</v>
      </c>
      <c r="H4533" s="5">
        <v>100.2</v>
      </c>
      <c r="I4533" s="5">
        <v>0</v>
      </c>
      <c r="J4533" s="5">
        <v>0</v>
      </c>
      <c r="K4533" s="5">
        <v>0</v>
      </c>
    </row>
    <row r="4534" spans="1:11" x14ac:dyDescent="0.25">
      <c r="A4534" s="5">
        <f>4527</f>
      </c>
      <c r="B4534" s="5" t="s">
        <v>4542</v>
      </c>
      <c r="C4534" s="5">
        <v>101.2</v>
      </c>
      <c r="D4534" s="5">
        <v>0.1</v>
      </c>
      <c r="E4534" s="5">
        <v>101.4</v>
      </c>
      <c r="F4534" s="5">
        <v>201.1</v>
      </c>
      <c r="G4534" s="5">
        <v>100.3</v>
      </c>
      <c r="H4534" s="5">
        <v>100.2</v>
      </c>
      <c r="I4534" s="5">
        <v>0</v>
      </c>
      <c r="J4534" s="5">
        <v>0</v>
      </c>
      <c r="K4534" s="5">
        <v>0</v>
      </c>
    </row>
    <row r="4535" spans="1:11" x14ac:dyDescent="0.25">
      <c r="A4535" s="5">
        <f>4528</f>
      </c>
      <c r="B4535" s="5" t="s">
        <v>4543</v>
      </c>
      <c r="C4535" s="5">
        <v>101.2</v>
      </c>
      <c r="D4535" s="5">
        <v>0.1</v>
      </c>
      <c r="E4535" s="5">
        <v>101.4</v>
      </c>
      <c r="F4535" s="5">
        <v>201.1</v>
      </c>
      <c r="G4535" s="5">
        <v>100.3</v>
      </c>
      <c r="H4535" s="5">
        <v>100.2</v>
      </c>
      <c r="I4535" s="5">
        <v>0</v>
      </c>
      <c r="J4535" s="5">
        <v>0</v>
      </c>
      <c r="K4535" s="5">
        <v>0</v>
      </c>
    </row>
    <row r="4536" spans="1:11" x14ac:dyDescent="0.25">
      <c r="A4536" s="5">
        <f>4529</f>
      </c>
      <c r="B4536" s="5" t="s">
        <v>4544</v>
      </c>
      <c r="C4536" s="5">
        <v>101.1</v>
      </c>
      <c r="D4536" s="5">
        <v>0.1</v>
      </c>
      <c r="E4536" s="5">
        <v>101.2</v>
      </c>
      <c r="F4536" s="5">
        <v>201.5</v>
      </c>
      <c r="G4536" s="5">
        <v>100.5</v>
      </c>
      <c r="H4536" s="5">
        <v>100.4</v>
      </c>
      <c r="I4536" s="5">
        <v>0</v>
      </c>
      <c r="J4536" s="5">
        <v>0</v>
      </c>
      <c r="K4536" s="5">
        <v>0</v>
      </c>
    </row>
    <row r="4537" spans="1:11" x14ac:dyDescent="0.25">
      <c r="A4537" s="5">
        <f>4530</f>
      </c>
      <c r="B4537" s="5" t="s">
        <v>4545</v>
      </c>
      <c r="C4537" s="5">
        <v>101.1</v>
      </c>
      <c r="D4537" s="5">
        <v>0.1</v>
      </c>
      <c r="E4537" s="5">
        <v>101.2</v>
      </c>
      <c r="F4537" s="5">
        <v>201.5</v>
      </c>
      <c r="G4537" s="5">
        <v>100.5</v>
      </c>
      <c r="H4537" s="5">
        <v>100.4</v>
      </c>
      <c r="I4537" s="5">
        <v>0</v>
      </c>
      <c r="J4537" s="5">
        <v>0</v>
      </c>
      <c r="K4537" s="5">
        <v>0</v>
      </c>
    </row>
    <row r="4538" spans="1:11" x14ac:dyDescent="0.25">
      <c r="A4538" s="5">
        <f>4531</f>
      </c>
      <c r="B4538" s="5" t="s">
        <v>4546</v>
      </c>
      <c r="C4538" s="5">
        <v>100.4</v>
      </c>
      <c r="D4538" s="5">
        <v>0.1</v>
      </c>
      <c r="E4538" s="5">
        <v>100.5</v>
      </c>
      <c r="F4538" s="5">
        <v>200.9</v>
      </c>
      <c r="G4538" s="5">
        <v>100.2</v>
      </c>
      <c r="H4538" s="5">
        <v>100.1</v>
      </c>
      <c r="I4538" s="5">
        <v>0</v>
      </c>
      <c r="J4538" s="5">
        <v>0</v>
      </c>
      <c r="K4538" s="5">
        <v>0</v>
      </c>
    </row>
    <row r="4539" spans="1:11" x14ac:dyDescent="0.25">
      <c r="A4539" s="5">
        <f>4532</f>
      </c>
      <c r="B4539" s="5" t="s">
        <v>4547</v>
      </c>
      <c r="C4539" s="5">
        <v>100.4</v>
      </c>
      <c r="D4539" s="5">
        <v>0.1</v>
      </c>
      <c r="E4539" s="5">
        <v>100.5</v>
      </c>
      <c r="F4539" s="5">
        <v>200.9</v>
      </c>
      <c r="G4539" s="5">
        <v>100.2</v>
      </c>
      <c r="H4539" s="5">
        <v>100.1</v>
      </c>
      <c r="I4539" s="5">
        <v>0</v>
      </c>
      <c r="J4539" s="5">
        <v>0</v>
      </c>
      <c r="K4539" s="5">
        <v>0</v>
      </c>
    </row>
    <row r="4540" spans="1:11" x14ac:dyDescent="0.25">
      <c r="A4540" s="5">
        <f>4533</f>
      </c>
      <c r="B4540" s="5" t="s">
        <v>4548</v>
      </c>
      <c r="C4540" s="5">
        <v>100.4</v>
      </c>
      <c r="D4540" s="5">
        <v>0.1</v>
      </c>
      <c r="E4540" s="5">
        <v>100.5</v>
      </c>
      <c r="F4540" s="5">
        <v>200.9</v>
      </c>
      <c r="G4540" s="5">
        <v>100.2</v>
      </c>
      <c r="H4540" s="5">
        <v>100.1</v>
      </c>
      <c r="I4540" s="5">
        <v>0</v>
      </c>
      <c r="J4540" s="5">
        <v>0</v>
      </c>
      <c r="K4540" s="5">
        <v>0</v>
      </c>
    </row>
    <row r="4541" spans="1:11" x14ac:dyDescent="0.25">
      <c r="A4541" s="5">
        <f>4534</f>
      </c>
      <c r="B4541" s="5" t="s">
        <v>4549</v>
      </c>
      <c r="C4541" s="5">
        <v>100.4</v>
      </c>
      <c r="D4541" s="5">
        <v>0.1</v>
      </c>
      <c r="E4541" s="5">
        <v>100.5</v>
      </c>
      <c r="F4541" s="5">
        <v>200.9</v>
      </c>
      <c r="G4541" s="5">
        <v>100.2</v>
      </c>
      <c r="H4541" s="5">
        <v>100.1</v>
      </c>
      <c r="I4541" s="5">
        <v>0</v>
      </c>
      <c r="J4541" s="5">
        <v>0</v>
      </c>
      <c r="K4541" s="5">
        <v>0</v>
      </c>
    </row>
    <row r="4542" spans="1:11" x14ac:dyDescent="0.25">
      <c r="A4542" s="5">
        <f>4535</f>
      </c>
      <c r="B4542" s="5" t="s">
        <v>4550</v>
      </c>
      <c r="C4542" s="5">
        <v>100.7</v>
      </c>
      <c r="D4542" s="5">
        <v>0.1</v>
      </c>
      <c r="E4542" s="5">
        <v>100.8</v>
      </c>
      <c r="F4542" s="5">
        <v>202.4</v>
      </c>
      <c r="G4542" s="5">
        <v>101</v>
      </c>
      <c r="H4542" s="5">
        <v>100.9</v>
      </c>
      <c r="I4542" s="5">
        <v>0</v>
      </c>
      <c r="J4542" s="5">
        <v>0</v>
      </c>
      <c r="K4542" s="5">
        <v>0</v>
      </c>
    </row>
    <row r="4543" spans="1:11" x14ac:dyDescent="0.25">
      <c r="A4543" s="5">
        <f>4536</f>
      </c>
      <c r="B4543" s="5" t="s">
        <v>4551</v>
      </c>
      <c r="C4543" s="5">
        <v>100.7</v>
      </c>
      <c r="D4543" s="5">
        <v>0.1</v>
      </c>
      <c r="E4543" s="5">
        <v>100.8</v>
      </c>
      <c r="F4543" s="5">
        <v>202.4</v>
      </c>
      <c r="G4543" s="5">
        <v>101</v>
      </c>
      <c r="H4543" s="5">
        <v>100.9</v>
      </c>
      <c r="I4543" s="5">
        <v>0</v>
      </c>
      <c r="J4543" s="5">
        <v>0</v>
      </c>
      <c r="K4543" s="5">
        <v>0</v>
      </c>
    </row>
    <row r="4544" spans="1:11" x14ac:dyDescent="0.25">
      <c r="A4544" s="5">
        <f>4537</f>
      </c>
      <c r="B4544" s="5" t="s">
        <v>4552</v>
      </c>
      <c r="C4544" s="5">
        <v>101.5</v>
      </c>
      <c r="D4544" s="5">
        <v>0.1</v>
      </c>
      <c r="E4544" s="5">
        <v>101.6</v>
      </c>
      <c r="F4544" s="5">
        <v>202.5</v>
      </c>
      <c r="G4544" s="5">
        <v>101</v>
      </c>
      <c r="H4544" s="5">
        <v>100.9</v>
      </c>
      <c r="I4544" s="5">
        <v>0</v>
      </c>
      <c r="J4544" s="5">
        <v>0</v>
      </c>
      <c r="K4544" s="5">
        <v>0</v>
      </c>
    </row>
    <row r="4545" spans="1:11" x14ac:dyDescent="0.25">
      <c r="A4545" s="5">
        <f>4538</f>
      </c>
      <c r="B4545" s="5" t="s">
        <v>4553</v>
      </c>
      <c r="C4545" s="5">
        <v>101.5</v>
      </c>
      <c r="D4545" s="5">
        <v>0.1</v>
      </c>
      <c r="E4545" s="5">
        <v>101.6</v>
      </c>
      <c r="F4545" s="5">
        <v>202.5</v>
      </c>
      <c r="G4545" s="5">
        <v>101</v>
      </c>
      <c r="H4545" s="5">
        <v>100.9</v>
      </c>
      <c r="I4545" s="5">
        <v>0</v>
      </c>
      <c r="J4545" s="5">
        <v>0</v>
      </c>
      <c r="K4545" s="5">
        <v>0</v>
      </c>
    </row>
    <row r="4546" spans="1:11" x14ac:dyDescent="0.25">
      <c r="A4546" s="5">
        <f>4539</f>
      </c>
      <c r="B4546" s="5" t="s">
        <v>4554</v>
      </c>
      <c r="C4546" s="5">
        <v>101.6</v>
      </c>
      <c r="D4546" s="5">
        <v>0.1</v>
      </c>
      <c r="E4546" s="5">
        <v>101.8</v>
      </c>
      <c r="F4546" s="5">
        <v>201</v>
      </c>
      <c r="G4546" s="5">
        <v>100.2</v>
      </c>
      <c r="H4546" s="5">
        <v>100.1</v>
      </c>
      <c r="I4546" s="5">
        <v>0</v>
      </c>
      <c r="J4546" s="5">
        <v>0</v>
      </c>
      <c r="K4546" s="5">
        <v>0</v>
      </c>
    </row>
    <row r="4547" spans="1:11" x14ac:dyDescent="0.25">
      <c r="A4547" s="5">
        <f>4540</f>
      </c>
      <c r="B4547" s="5" t="s">
        <v>4555</v>
      </c>
      <c r="C4547" s="5">
        <v>101.6</v>
      </c>
      <c r="D4547" s="5">
        <v>0.1</v>
      </c>
      <c r="E4547" s="5">
        <v>101.8</v>
      </c>
      <c r="F4547" s="5">
        <v>201</v>
      </c>
      <c r="G4547" s="5">
        <v>100.2</v>
      </c>
      <c r="H4547" s="5">
        <v>100.1</v>
      </c>
      <c r="I4547" s="5">
        <v>0</v>
      </c>
      <c r="J4547" s="5">
        <v>0</v>
      </c>
      <c r="K4547" s="5">
        <v>0</v>
      </c>
    </row>
    <row r="4548" spans="1:11" x14ac:dyDescent="0.25">
      <c r="A4548" s="5">
        <f>4541</f>
      </c>
      <c r="B4548" s="5" t="s">
        <v>4556</v>
      </c>
      <c r="C4548" s="5">
        <v>100.8</v>
      </c>
      <c r="D4548" s="5">
        <v>0.1</v>
      </c>
      <c r="E4548" s="5">
        <v>101</v>
      </c>
      <c r="F4548" s="5">
        <v>200.1</v>
      </c>
      <c r="G4548" s="5">
        <v>99.8</v>
      </c>
      <c r="H4548" s="5">
        <v>99.7</v>
      </c>
      <c r="I4548" s="5">
        <v>0</v>
      </c>
      <c r="J4548" s="5">
        <v>0</v>
      </c>
      <c r="K4548" s="5">
        <v>0</v>
      </c>
    </row>
    <row r="4549" spans="1:11" x14ac:dyDescent="0.25">
      <c r="A4549" s="5">
        <f>4542</f>
      </c>
      <c r="B4549" s="5" t="s">
        <v>4557</v>
      </c>
      <c r="C4549" s="5">
        <v>100.8</v>
      </c>
      <c r="D4549" s="5">
        <v>0.1</v>
      </c>
      <c r="E4549" s="5">
        <v>101</v>
      </c>
      <c r="F4549" s="5">
        <v>200.1</v>
      </c>
      <c r="G4549" s="5">
        <v>99.8</v>
      </c>
      <c r="H4549" s="5">
        <v>99.7</v>
      </c>
      <c r="I4549" s="5">
        <v>0</v>
      </c>
      <c r="J4549" s="5">
        <v>0</v>
      </c>
      <c r="K4549" s="5">
        <v>0</v>
      </c>
    </row>
    <row r="4550" spans="1:11" x14ac:dyDescent="0.25">
      <c r="A4550" s="5">
        <f>4543</f>
      </c>
      <c r="B4550" s="5" t="s">
        <v>4558</v>
      </c>
      <c r="C4550" s="5">
        <v>100.8</v>
      </c>
      <c r="D4550" s="5">
        <v>0.1</v>
      </c>
      <c r="E4550" s="5">
        <v>101</v>
      </c>
      <c r="F4550" s="5">
        <v>200.1</v>
      </c>
      <c r="G4550" s="5">
        <v>99.8</v>
      </c>
      <c r="H4550" s="5">
        <v>99.7</v>
      </c>
      <c r="I4550" s="5">
        <v>0</v>
      </c>
      <c r="J4550" s="5">
        <v>0</v>
      </c>
      <c r="K4550" s="5">
        <v>0</v>
      </c>
    </row>
    <row r="4551" spans="1:11" x14ac:dyDescent="0.25">
      <c r="A4551" s="5">
        <f>4544</f>
      </c>
      <c r="B4551" s="5" t="s">
        <v>4559</v>
      </c>
      <c r="C4551" s="5">
        <v>100.8</v>
      </c>
      <c r="D4551" s="5">
        <v>0.1</v>
      </c>
      <c r="E4551" s="5">
        <v>101</v>
      </c>
      <c r="F4551" s="5">
        <v>200.1</v>
      </c>
      <c r="G4551" s="5">
        <v>99.8</v>
      </c>
      <c r="H4551" s="5">
        <v>99.7</v>
      </c>
      <c r="I4551" s="5">
        <v>0</v>
      </c>
      <c r="J4551" s="5">
        <v>0</v>
      </c>
      <c r="K4551" s="5">
        <v>0</v>
      </c>
    </row>
    <row r="4552" spans="1:11" x14ac:dyDescent="0.25">
      <c r="A4552" s="5">
        <f>4545</f>
      </c>
      <c r="B4552" s="5" t="s">
        <v>4560</v>
      </c>
      <c r="C4552" s="5">
        <v>100.8</v>
      </c>
      <c r="D4552" s="5">
        <v>0.1</v>
      </c>
      <c r="E4552" s="5">
        <v>101</v>
      </c>
      <c r="F4552" s="5">
        <v>201.1</v>
      </c>
      <c r="G4552" s="5">
        <v>100.3</v>
      </c>
      <c r="H4552" s="5">
        <v>100.2</v>
      </c>
      <c r="I4552" s="5">
        <v>0</v>
      </c>
      <c r="J4552" s="5">
        <v>0</v>
      </c>
      <c r="K4552" s="5">
        <v>0</v>
      </c>
    </row>
    <row r="4553" spans="1:11" x14ac:dyDescent="0.25">
      <c r="A4553" s="5">
        <f>4546</f>
      </c>
      <c r="B4553" s="5" t="s">
        <v>4561</v>
      </c>
      <c r="C4553" s="5">
        <v>100.8</v>
      </c>
      <c r="D4553" s="5">
        <v>0.1</v>
      </c>
      <c r="E4553" s="5">
        <v>101</v>
      </c>
      <c r="F4553" s="5">
        <v>201.1</v>
      </c>
      <c r="G4553" s="5">
        <v>100.3</v>
      </c>
      <c r="H4553" s="5">
        <v>100.2</v>
      </c>
      <c r="I4553" s="5">
        <v>0</v>
      </c>
      <c r="J4553" s="5">
        <v>0</v>
      </c>
      <c r="K4553" s="5">
        <v>0</v>
      </c>
    </row>
    <row r="4554" spans="1:11" x14ac:dyDescent="0.25">
      <c r="A4554" s="5">
        <f>4547</f>
      </c>
      <c r="B4554" s="5" t="s">
        <v>4562</v>
      </c>
      <c r="C4554" s="5">
        <v>100.7</v>
      </c>
      <c r="D4554" s="5">
        <v>0.1</v>
      </c>
      <c r="E4554" s="5">
        <v>100.8</v>
      </c>
      <c r="F4554" s="5">
        <v>201</v>
      </c>
      <c r="G4554" s="5">
        <v>100.3</v>
      </c>
      <c r="H4554" s="5">
        <v>100.2</v>
      </c>
      <c r="I4554" s="5">
        <v>0</v>
      </c>
      <c r="J4554" s="5">
        <v>0</v>
      </c>
      <c r="K4554" s="5">
        <v>0</v>
      </c>
    </row>
    <row r="4555" spans="1:11" x14ac:dyDescent="0.25">
      <c r="A4555" s="5">
        <f>4548</f>
      </c>
      <c r="B4555" s="5" t="s">
        <v>4563</v>
      </c>
      <c r="C4555" s="5">
        <v>100.7</v>
      </c>
      <c r="D4555" s="5">
        <v>0.1</v>
      </c>
      <c r="E4555" s="5">
        <v>100.8</v>
      </c>
      <c r="F4555" s="5">
        <v>201</v>
      </c>
      <c r="G4555" s="5">
        <v>100.3</v>
      </c>
      <c r="H4555" s="5">
        <v>100.2</v>
      </c>
      <c r="I4555" s="5">
        <v>0</v>
      </c>
      <c r="J4555" s="5">
        <v>0</v>
      </c>
      <c r="K4555" s="5">
        <v>0</v>
      </c>
    </row>
    <row r="4556" spans="1:11" x14ac:dyDescent="0.25">
      <c r="A4556" s="5">
        <f>4549</f>
      </c>
      <c r="B4556" s="5" t="s">
        <v>4564</v>
      </c>
      <c r="C4556" s="5">
        <v>100.3</v>
      </c>
      <c r="D4556" s="5">
        <v>0.1</v>
      </c>
      <c r="E4556" s="5">
        <v>100.5</v>
      </c>
      <c r="F4556" s="5">
        <v>200.4</v>
      </c>
      <c r="G4556" s="5">
        <v>100</v>
      </c>
      <c r="H4556" s="5">
        <v>99.9</v>
      </c>
      <c r="I4556" s="5">
        <v>0</v>
      </c>
      <c r="J4556" s="5">
        <v>0</v>
      </c>
      <c r="K4556" s="5">
        <v>0</v>
      </c>
    </row>
    <row r="4557" spans="1:11" x14ac:dyDescent="0.25">
      <c r="A4557" s="5">
        <f>4550</f>
      </c>
      <c r="B4557" s="5" t="s">
        <v>4565</v>
      </c>
      <c r="C4557" s="5">
        <v>100.3</v>
      </c>
      <c r="D4557" s="5">
        <v>0.1</v>
      </c>
      <c r="E4557" s="5">
        <v>100.5</v>
      </c>
      <c r="F4557" s="5">
        <v>200.4</v>
      </c>
      <c r="G4557" s="5">
        <v>100</v>
      </c>
      <c r="H4557" s="5">
        <v>99.9</v>
      </c>
      <c r="I4557" s="5">
        <v>0</v>
      </c>
      <c r="J4557" s="5">
        <v>0</v>
      </c>
      <c r="K4557" s="5">
        <v>0</v>
      </c>
    </row>
    <row r="4558" spans="1:11" x14ac:dyDescent="0.25">
      <c r="A4558" s="5">
        <f>4551</f>
      </c>
      <c r="B4558" s="5" t="s">
        <v>4566</v>
      </c>
      <c r="C4558" s="5">
        <v>99.9</v>
      </c>
      <c r="D4558" s="5">
        <v>0.1</v>
      </c>
      <c r="E4558" s="5">
        <v>100.1</v>
      </c>
      <c r="F4558" s="5">
        <v>199.8</v>
      </c>
      <c r="G4558" s="5">
        <v>99.7</v>
      </c>
      <c r="H4558" s="5">
        <v>99.5</v>
      </c>
      <c r="I4558" s="5">
        <v>0</v>
      </c>
      <c r="J4558" s="5">
        <v>0</v>
      </c>
      <c r="K4558" s="5">
        <v>0</v>
      </c>
    </row>
    <row r="4559" spans="1:11" x14ac:dyDescent="0.25">
      <c r="A4559" s="5">
        <f>4552</f>
      </c>
      <c r="B4559" s="5" t="s">
        <v>4567</v>
      </c>
      <c r="C4559" s="5">
        <v>99.9</v>
      </c>
      <c r="D4559" s="5">
        <v>0.1</v>
      </c>
      <c r="E4559" s="5">
        <v>100.1</v>
      </c>
      <c r="F4559" s="5">
        <v>199.8</v>
      </c>
      <c r="G4559" s="5">
        <v>99.7</v>
      </c>
      <c r="H4559" s="5">
        <v>99.5</v>
      </c>
      <c r="I4559" s="5">
        <v>0</v>
      </c>
      <c r="J4559" s="5">
        <v>0</v>
      </c>
      <c r="K4559" s="5">
        <v>0</v>
      </c>
    </row>
    <row r="4560" spans="1:11" x14ac:dyDescent="0.25">
      <c r="A4560" s="5">
        <f>4553</f>
      </c>
      <c r="B4560" s="5" t="s">
        <v>4568</v>
      </c>
      <c r="C4560" s="5">
        <v>99.9</v>
      </c>
      <c r="D4560" s="5">
        <v>0.1</v>
      </c>
      <c r="E4560" s="5">
        <v>100.1</v>
      </c>
      <c r="F4560" s="5">
        <v>199.8</v>
      </c>
      <c r="G4560" s="5">
        <v>99.7</v>
      </c>
      <c r="H4560" s="5">
        <v>99.5</v>
      </c>
      <c r="I4560" s="5">
        <v>0</v>
      </c>
      <c r="J4560" s="5">
        <v>0</v>
      </c>
      <c r="K4560" s="5">
        <v>0</v>
      </c>
    </row>
    <row r="4561" spans="1:11" x14ac:dyDescent="0.25">
      <c r="A4561" s="5">
        <f>4554</f>
      </c>
      <c r="B4561" s="5" t="s">
        <v>4569</v>
      </c>
      <c r="C4561" s="5">
        <v>99.9</v>
      </c>
      <c r="D4561" s="5">
        <v>0.1</v>
      </c>
      <c r="E4561" s="5">
        <v>100.1</v>
      </c>
      <c r="F4561" s="5">
        <v>199.8</v>
      </c>
      <c r="G4561" s="5">
        <v>99.7</v>
      </c>
      <c r="H4561" s="5">
        <v>99.5</v>
      </c>
      <c r="I4561" s="5">
        <v>0</v>
      </c>
      <c r="J4561" s="5">
        <v>0</v>
      </c>
      <c r="K4561" s="5">
        <v>0</v>
      </c>
    </row>
    <row r="4562" spans="1:11" x14ac:dyDescent="0.25">
      <c r="A4562" s="5">
        <f>4555</f>
      </c>
      <c r="B4562" s="5" t="s">
        <v>4570</v>
      </c>
      <c r="C4562" s="5">
        <v>101.9</v>
      </c>
      <c r="D4562" s="5">
        <v>0.1</v>
      </c>
      <c r="E4562" s="5">
        <v>102.1</v>
      </c>
      <c r="F4562" s="5">
        <v>204.3</v>
      </c>
      <c r="G4562" s="5">
        <v>102</v>
      </c>
      <c r="H4562" s="5">
        <v>101.8</v>
      </c>
      <c r="I4562" s="5">
        <v>0</v>
      </c>
      <c r="J4562" s="5">
        <v>0</v>
      </c>
      <c r="K4562" s="5">
        <v>0</v>
      </c>
    </row>
    <row r="4563" spans="1:11" x14ac:dyDescent="0.25">
      <c r="A4563" s="5">
        <f>4556</f>
      </c>
      <c r="B4563" s="5" t="s">
        <v>4571</v>
      </c>
      <c r="C4563" s="5">
        <v>101.9</v>
      </c>
      <c r="D4563" s="5">
        <v>0.1</v>
      </c>
      <c r="E4563" s="5">
        <v>102.1</v>
      </c>
      <c r="F4563" s="5">
        <v>204.3</v>
      </c>
      <c r="G4563" s="5">
        <v>102</v>
      </c>
      <c r="H4563" s="5">
        <v>101.8</v>
      </c>
      <c r="I4563" s="5">
        <v>0</v>
      </c>
      <c r="J4563" s="5">
        <v>0</v>
      </c>
      <c r="K4563" s="5">
        <v>0</v>
      </c>
    </row>
    <row r="4564" spans="1:11" x14ac:dyDescent="0.25">
      <c r="A4564" s="5">
        <f>4557</f>
      </c>
      <c r="B4564" s="5" t="s">
        <v>4572</v>
      </c>
      <c r="C4564" s="5">
        <v>102.4</v>
      </c>
      <c r="D4564" s="5">
        <v>0.1</v>
      </c>
      <c r="E4564" s="5">
        <v>102.6</v>
      </c>
      <c r="F4564" s="5">
        <v>204.7</v>
      </c>
      <c r="G4564" s="5">
        <v>102.1</v>
      </c>
      <c r="H4564" s="5">
        <v>101.9</v>
      </c>
      <c r="I4564" s="5">
        <v>0</v>
      </c>
      <c r="J4564" s="5">
        <v>0</v>
      </c>
      <c r="K4564" s="5">
        <v>0</v>
      </c>
    </row>
    <row r="4565" spans="1:11" x14ac:dyDescent="0.25">
      <c r="A4565" s="5">
        <f>4558</f>
      </c>
      <c r="B4565" s="5" t="s">
        <v>4573</v>
      </c>
      <c r="C4565" s="5">
        <v>102.4</v>
      </c>
      <c r="D4565" s="5">
        <v>0.1</v>
      </c>
      <c r="E4565" s="5">
        <v>102.6</v>
      </c>
      <c r="F4565" s="5">
        <v>204.7</v>
      </c>
      <c r="G4565" s="5">
        <v>102.1</v>
      </c>
      <c r="H4565" s="5">
        <v>101.9</v>
      </c>
      <c r="I4565" s="5">
        <v>0</v>
      </c>
      <c r="J4565" s="5">
        <v>0</v>
      </c>
      <c r="K4565" s="5">
        <v>0</v>
      </c>
    </row>
    <row r="4566" spans="1:11" x14ac:dyDescent="0.25">
      <c r="A4566" s="5">
        <f>4559</f>
      </c>
      <c r="B4566" s="5" t="s">
        <v>4574</v>
      </c>
      <c r="C4566" s="5">
        <v>102.4</v>
      </c>
      <c r="D4566" s="5">
        <v>0.1</v>
      </c>
      <c r="E4566" s="5">
        <v>102.6</v>
      </c>
      <c r="F4566" s="5">
        <v>205.2</v>
      </c>
      <c r="G4566" s="5">
        <v>102.3</v>
      </c>
      <c r="H4566" s="5">
        <v>102.1</v>
      </c>
      <c r="I4566" s="5">
        <v>0</v>
      </c>
      <c r="J4566" s="5">
        <v>0</v>
      </c>
      <c r="K4566" s="5">
        <v>0</v>
      </c>
    </row>
    <row r="4567" spans="1:11" x14ac:dyDescent="0.25">
      <c r="A4567" s="5">
        <f>4560</f>
      </c>
      <c r="B4567" s="5" t="s">
        <v>4575</v>
      </c>
      <c r="C4567" s="5">
        <v>102.4</v>
      </c>
      <c r="D4567" s="5">
        <v>0.1</v>
      </c>
      <c r="E4567" s="5">
        <v>102.6</v>
      </c>
      <c r="F4567" s="5">
        <v>205.2</v>
      </c>
      <c r="G4567" s="5">
        <v>102.3</v>
      </c>
      <c r="H4567" s="5">
        <v>102.1</v>
      </c>
      <c r="I4567" s="5">
        <v>0</v>
      </c>
      <c r="J4567" s="5">
        <v>0</v>
      </c>
      <c r="K4567" s="5">
        <v>0</v>
      </c>
    </row>
    <row r="4568" spans="1:11" x14ac:dyDescent="0.25">
      <c r="A4568" s="5">
        <f>4561</f>
      </c>
      <c r="B4568" s="5" t="s">
        <v>4576</v>
      </c>
      <c r="C4568" s="5">
        <v>99.9</v>
      </c>
      <c r="D4568" s="5">
        <v>0.1</v>
      </c>
      <c r="E4568" s="5">
        <v>100</v>
      </c>
      <c r="F4568" s="5">
        <v>198.8</v>
      </c>
      <c r="G4568" s="5">
        <v>99.1</v>
      </c>
      <c r="H4568" s="5">
        <v>99</v>
      </c>
      <c r="I4568" s="5">
        <v>0</v>
      </c>
      <c r="J4568" s="5">
        <v>0</v>
      </c>
      <c r="K4568" s="5">
        <v>0</v>
      </c>
    </row>
    <row r="4569" spans="1:11" x14ac:dyDescent="0.25">
      <c r="A4569" s="5">
        <f>4562</f>
      </c>
      <c r="B4569" s="5" t="s">
        <v>4577</v>
      </c>
      <c r="C4569" s="5">
        <v>99.9</v>
      </c>
      <c r="D4569" s="5">
        <v>0.1</v>
      </c>
      <c r="E4569" s="5">
        <v>100</v>
      </c>
      <c r="F4569" s="5">
        <v>198.8</v>
      </c>
      <c r="G4569" s="5">
        <v>99.1</v>
      </c>
      <c r="H4569" s="5">
        <v>99</v>
      </c>
      <c r="I4569" s="5">
        <v>0</v>
      </c>
      <c r="J4569" s="5">
        <v>0</v>
      </c>
      <c r="K4569" s="5">
        <v>0</v>
      </c>
    </row>
    <row r="4570" spans="1:11" x14ac:dyDescent="0.25">
      <c r="A4570" s="5">
        <f>4563</f>
      </c>
      <c r="B4570" s="5" t="s">
        <v>4578</v>
      </c>
      <c r="C4570" s="5">
        <v>99.9</v>
      </c>
      <c r="D4570" s="5">
        <v>0.1</v>
      </c>
      <c r="E4570" s="5">
        <v>100</v>
      </c>
      <c r="F4570" s="5">
        <v>198.8</v>
      </c>
      <c r="G4570" s="5">
        <v>99.1</v>
      </c>
      <c r="H4570" s="5">
        <v>99</v>
      </c>
      <c r="I4570" s="5">
        <v>0</v>
      </c>
      <c r="J4570" s="5">
        <v>0</v>
      </c>
      <c r="K4570" s="5">
        <v>0</v>
      </c>
    </row>
    <row r="4571" spans="1:11" x14ac:dyDescent="0.25">
      <c r="A4571" s="5">
        <f>4564</f>
      </c>
      <c r="B4571" s="5" t="s">
        <v>4579</v>
      </c>
      <c r="C4571" s="5">
        <v>99.9</v>
      </c>
      <c r="D4571" s="5">
        <v>0.1</v>
      </c>
      <c r="E4571" s="5">
        <v>100</v>
      </c>
      <c r="F4571" s="5">
        <v>198.8</v>
      </c>
      <c r="G4571" s="5">
        <v>99.1</v>
      </c>
      <c r="H4571" s="5">
        <v>99</v>
      </c>
      <c r="I4571" s="5">
        <v>0</v>
      </c>
      <c r="J4571" s="5">
        <v>0</v>
      </c>
      <c r="K4571" s="5">
        <v>0</v>
      </c>
    </row>
    <row r="4572" spans="1:11" x14ac:dyDescent="0.25">
      <c r="A4572" s="5">
        <f>4565</f>
      </c>
      <c r="B4572" s="5" t="s">
        <v>4580</v>
      </c>
      <c r="C4572" s="5">
        <v>99.5</v>
      </c>
      <c r="D4572" s="5">
        <v>0.1</v>
      </c>
      <c r="E4572" s="5">
        <v>99.6</v>
      </c>
      <c r="F4572" s="5">
        <v>199.5</v>
      </c>
      <c r="G4572" s="5">
        <v>99.5</v>
      </c>
      <c r="H4572" s="5">
        <v>99.4</v>
      </c>
      <c r="I4572" s="5">
        <v>0</v>
      </c>
      <c r="J4572" s="5">
        <v>0</v>
      </c>
      <c r="K4572" s="5">
        <v>0</v>
      </c>
    </row>
    <row r="4573" spans="1:11" x14ac:dyDescent="0.25">
      <c r="A4573" s="5">
        <f>4566</f>
      </c>
      <c r="B4573" s="5" t="s">
        <v>4581</v>
      </c>
      <c r="C4573" s="5">
        <v>99.5</v>
      </c>
      <c r="D4573" s="5">
        <v>0.1</v>
      </c>
      <c r="E4573" s="5">
        <v>99.6</v>
      </c>
      <c r="F4573" s="5">
        <v>199.5</v>
      </c>
      <c r="G4573" s="5">
        <v>99.5</v>
      </c>
      <c r="H4573" s="5">
        <v>99.4</v>
      </c>
      <c r="I4573" s="5">
        <v>0</v>
      </c>
      <c r="J4573" s="5">
        <v>0</v>
      </c>
      <c r="K4573" s="5">
        <v>0</v>
      </c>
    </row>
    <row r="4574" spans="1:11" x14ac:dyDescent="0.25">
      <c r="A4574" s="5">
        <f>4567</f>
      </c>
      <c r="B4574" s="5" t="s">
        <v>4582</v>
      </c>
      <c r="C4574" s="5">
        <v>100.7</v>
      </c>
      <c r="D4574" s="5">
        <v>0.1</v>
      </c>
      <c r="E4574" s="5">
        <v>100.8</v>
      </c>
      <c r="F4574" s="5">
        <v>200.5</v>
      </c>
      <c r="G4574" s="5">
        <v>100.1</v>
      </c>
      <c r="H4574" s="5">
        <v>100</v>
      </c>
      <c r="I4574" s="5">
        <v>0</v>
      </c>
      <c r="J4574" s="5">
        <v>0</v>
      </c>
      <c r="K4574" s="5">
        <v>0</v>
      </c>
    </row>
    <row r="4575" spans="1:11" x14ac:dyDescent="0.25">
      <c r="A4575" s="5">
        <f>4568</f>
      </c>
      <c r="B4575" s="5" t="s">
        <v>4583</v>
      </c>
      <c r="C4575" s="5">
        <v>100.7</v>
      </c>
      <c r="D4575" s="5">
        <v>0.1</v>
      </c>
      <c r="E4575" s="5">
        <v>100.8</v>
      </c>
      <c r="F4575" s="5">
        <v>200.5</v>
      </c>
      <c r="G4575" s="5">
        <v>100.1</v>
      </c>
      <c r="H4575" s="5">
        <v>100</v>
      </c>
      <c r="I4575" s="5">
        <v>0</v>
      </c>
      <c r="J4575" s="5">
        <v>0</v>
      </c>
      <c r="K4575" s="5">
        <v>0</v>
      </c>
    </row>
    <row r="4576" spans="1:11" x14ac:dyDescent="0.25">
      <c r="A4576" s="5">
        <f>4569</f>
      </c>
      <c r="B4576" s="5" t="s">
        <v>4584</v>
      </c>
      <c r="C4576" s="5">
        <v>100.2</v>
      </c>
      <c r="D4576" s="5">
        <v>0.1</v>
      </c>
      <c r="E4576" s="5">
        <v>100.3</v>
      </c>
      <c r="F4576" s="5">
        <v>200.6</v>
      </c>
      <c r="G4576" s="5">
        <v>100</v>
      </c>
      <c r="H4576" s="5">
        <v>99.8</v>
      </c>
      <c r="I4576" s="5">
        <v>0</v>
      </c>
      <c r="J4576" s="5">
        <v>0</v>
      </c>
      <c r="K4576" s="5">
        <v>0</v>
      </c>
    </row>
    <row r="4577" spans="1:11" x14ac:dyDescent="0.25">
      <c r="A4577" s="5">
        <f>4570</f>
      </c>
      <c r="B4577" s="5" t="s">
        <v>4585</v>
      </c>
      <c r="C4577" s="5">
        <v>100.2</v>
      </c>
      <c r="D4577" s="5">
        <v>0.1</v>
      </c>
      <c r="E4577" s="5">
        <v>100.3</v>
      </c>
      <c r="F4577" s="5">
        <v>200.6</v>
      </c>
      <c r="G4577" s="5">
        <v>100</v>
      </c>
      <c r="H4577" s="5">
        <v>99.8</v>
      </c>
      <c r="I4577" s="5">
        <v>0</v>
      </c>
      <c r="J4577" s="5">
        <v>0</v>
      </c>
      <c r="K4577" s="5">
        <v>0</v>
      </c>
    </row>
    <row r="4578" spans="1:11" x14ac:dyDescent="0.25">
      <c r="A4578" s="5">
        <f>4571</f>
      </c>
      <c r="B4578" s="5" t="s">
        <v>4586</v>
      </c>
      <c r="C4578" s="5">
        <v>99.8</v>
      </c>
      <c r="D4578" s="5">
        <v>0.1</v>
      </c>
      <c r="E4578" s="5">
        <v>99.9</v>
      </c>
      <c r="F4578" s="5">
        <v>199.1</v>
      </c>
      <c r="G4578" s="5">
        <v>99.3</v>
      </c>
      <c r="H4578" s="5">
        <v>99.2</v>
      </c>
      <c r="I4578" s="5">
        <v>0</v>
      </c>
      <c r="J4578" s="5">
        <v>0</v>
      </c>
      <c r="K4578" s="5">
        <v>0</v>
      </c>
    </row>
    <row r="4579" spans="1:11" x14ac:dyDescent="0.25">
      <c r="A4579" s="5">
        <f>4572</f>
      </c>
      <c r="B4579" s="5" t="s">
        <v>4587</v>
      </c>
      <c r="C4579" s="5">
        <v>99.8</v>
      </c>
      <c r="D4579" s="5">
        <v>0.1</v>
      </c>
      <c r="E4579" s="5">
        <v>99.9</v>
      </c>
      <c r="F4579" s="5">
        <v>199.1</v>
      </c>
      <c r="G4579" s="5">
        <v>99.3</v>
      </c>
      <c r="H4579" s="5">
        <v>99.2</v>
      </c>
      <c r="I4579" s="5">
        <v>0</v>
      </c>
      <c r="J4579" s="5">
        <v>0</v>
      </c>
      <c r="K4579" s="5">
        <v>0</v>
      </c>
    </row>
    <row r="4580" spans="1:11" x14ac:dyDescent="0.25">
      <c r="A4580" s="5">
        <f>4573</f>
      </c>
      <c r="B4580" s="5" t="s">
        <v>4588</v>
      </c>
      <c r="C4580" s="5">
        <v>99.8</v>
      </c>
      <c r="D4580" s="5">
        <v>0.1</v>
      </c>
      <c r="E4580" s="5">
        <v>99.9</v>
      </c>
      <c r="F4580" s="5">
        <v>199.1</v>
      </c>
      <c r="G4580" s="5">
        <v>99.3</v>
      </c>
      <c r="H4580" s="5">
        <v>99.2</v>
      </c>
      <c r="I4580" s="5">
        <v>0</v>
      </c>
      <c r="J4580" s="5">
        <v>0</v>
      </c>
      <c r="K4580" s="5">
        <v>0</v>
      </c>
    </row>
    <row r="4581" spans="1:11" x14ac:dyDescent="0.25">
      <c r="A4581" s="5">
        <f>4574</f>
      </c>
      <c r="B4581" s="5" t="s">
        <v>4589</v>
      </c>
      <c r="C4581" s="5">
        <v>99.8</v>
      </c>
      <c r="D4581" s="5">
        <v>0.1</v>
      </c>
      <c r="E4581" s="5">
        <v>99.9</v>
      </c>
      <c r="F4581" s="5">
        <v>199.1</v>
      </c>
      <c r="G4581" s="5">
        <v>99.3</v>
      </c>
      <c r="H4581" s="5">
        <v>99.2</v>
      </c>
      <c r="I4581" s="5">
        <v>0</v>
      </c>
      <c r="J4581" s="5">
        <v>0</v>
      </c>
      <c r="K4581" s="5">
        <v>0</v>
      </c>
    </row>
    <row r="4582" spans="1:11" x14ac:dyDescent="0.25">
      <c r="A4582" s="5">
        <f>4575</f>
      </c>
      <c r="B4582" s="5" t="s">
        <v>4590</v>
      </c>
      <c r="C4582" s="5">
        <v>100.5</v>
      </c>
      <c r="D4582" s="5">
        <v>0.1</v>
      </c>
      <c r="E4582" s="5">
        <v>100.6</v>
      </c>
      <c r="F4582" s="5">
        <v>199.4</v>
      </c>
      <c r="G4582" s="5">
        <v>99.5</v>
      </c>
      <c r="H4582" s="5">
        <v>99.4</v>
      </c>
      <c r="I4582" s="5">
        <v>0</v>
      </c>
      <c r="J4582" s="5">
        <v>0</v>
      </c>
      <c r="K4582" s="5">
        <v>0</v>
      </c>
    </row>
    <row r="4583" spans="1:11" x14ac:dyDescent="0.25">
      <c r="A4583" s="5">
        <f>4576</f>
      </c>
      <c r="B4583" s="5" t="s">
        <v>4591</v>
      </c>
      <c r="C4583" s="5">
        <v>100.5</v>
      </c>
      <c r="D4583" s="5">
        <v>0.1</v>
      </c>
      <c r="E4583" s="5">
        <v>100.6</v>
      </c>
      <c r="F4583" s="5">
        <v>199.4</v>
      </c>
      <c r="G4583" s="5">
        <v>99.5</v>
      </c>
      <c r="H4583" s="5">
        <v>99.4</v>
      </c>
      <c r="I4583" s="5">
        <v>0</v>
      </c>
      <c r="J4583" s="5">
        <v>0</v>
      </c>
      <c r="K4583" s="5">
        <v>0</v>
      </c>
    </row>
    <row r="4584" spans="1:11" x14ac:dyDescent="0.25">
      <c r="A4584" s="5">
        <f>4577</f>
      </c>
      <c r="B4584" s="5" t="s">
        <v>4592</v>
      </c>
      <c r="C4584" s="5">
        <v>101</v>
      </c>
      <c r="D4584" s="5">
        <v>0.1</v>
      </c>
      <c r="E4584" s="5">
        <v>101.1</v>
      </c>
      <c r="F4584" s="5">
        <v>202.4</v>
      </c>
      <c r="G4584" s="5">
        <v>100.9</v>
      </c>
      <c r="H4584" s="5">
        <v>100.7</v>
      </c>
      <c r="I4584" s="5">
        <v>0</v>
      </c>
      <c r="J4584" s="5">
        <v>0</v>
      </c>
      <c r="K4584" s="5">
        <v>0</v>
      </c>
    </row>
    <row r="4585" spans="1:11" x14ac:dyDescent="0.25">
      <c r="A4585" s="5">
        <f>4578</f>
      </c>
      <c r="B4585" s="5" t="s">
        <v>4593</v>
      </c>
      <c r="C4585" s="5">
        <v>101</v>
      </c>
      <c r="D4585" s="5">
        <v>0.1</v>
      </c>
      <c r="E4585" s="5">
        <v>101.1</v>
      </c>
      <c r="F4585" s="5">
        <v>202.4</v>
      </c>
      <c r="G4585" s="5">
        <v>100.9</v>
      </c>
      <c r="H4585" s="5">
        <v>100.7</v>
      </c>
      <c r="I4585" s="5">
        <v>0</v>
      </c>
      <c r="J4585" s="5">
        <v>0</v>
      </c>
      <c r="K4585" s="5">
        <v>0</v>
      </c>
    </row>
    <row r="4586" spans="1:11" x14ac:dyDescent="0.25">
      <c r="A4586" s="5">
        <f>4579</f>
      </c>
      <c r="B4586" s="5" t="s">
        <v>4594</v>
      </c>
      <c r="C4586" s="5">
        <v>100.7</v>
      </c>
      <c r="D4586" s="5">
        <v>0.1</v>
      </c>
      <c r="E4586" s="5">
        <v>100.8</v>
      </c>
      <c r="F4586" s="5">
        <v>201.7</v>
      </c>
      <c r="G4586" s="5">
        <v>101</v>
      </c>
      <c r="H4586" s="5">
        <v>100.9</v>
      </c>
      <c r="I4586" s="5">
        <v>0</v>
      </c>
      <c r="J4586" s="5">
        <v>0</v>
      </c>
      <c r="K4586" s="5">
        <v>0</v>
      </c>
    </row>
    <row r="4587" spans="1:11" x14ac:dyDescent="0.25">
      <c r="A4587" s="5">
        <f>4580</f>
      </c>
      <c r="B4587" s="5" t="s">
        <v>4595</v>
      </c>
      <c r="C4587" s="5">
        <v>100.7</v>
      </c>
      <c r="D4587" s="5">
        <v>0.1</v>
      </c>
      <c r="E4587" s="5">
        <v>100.8</v>
      </c>
      <c r="F4587" s="5">
        <v>201.7</v>
      </c>
      <c r="G4587" s="5">
        <v>101</v>
      </c>
      <c r="H4587" s="5">
        <v>100.9</v>
      </c>
      <c r="I4587" s="5">
        <v>0</v>
      </c>
      <c r="J4587" s="5">
        <v>0</v>
      </c>
      <c r="K4587" s="5">
        <v>0</v>
      </c>
    </row>
    <row r="4588" spans="1:11" x14ac:dyDescent="0.25">
      <c r="A4588" s="5">
        <f>4581</f>
      </c>
      <c r="B4588" s="5" t="s">
        <v>4596</v>
      </c>
      <c r="C4588" s="5">
        <v>101.2</v>
      </c>
      <c r="D4588" s="5">
        <v>0.1</v>
      </c>
      <c r="E4588" s="5">
        <v>101.4</v>
      </c>
      <c r="F4588" s="5">
        <v>201.9</v>
      </c>
      <c r="G4588" s="5">
        <v>100.8</v>
      </c>
      <c r="H4588" s="5">
        <v>100.8</v>
      </c>
      <c r="I4588" s="5">
        <v>0</v>
      </c>
      <c r="J4588" s="5">
        <v>0</v>
      </c>
      <c r="K4588" s="5">
        <v>0</v>
      </c>
    </row>
    <row r="4589" spans="1:11" x14ac:dyDescent="0.25">
      <c r="A4589" s="5">
        <f>4582</f>
      </c>
      <c r="B4589" s="5" t="s">
        <v>4597</v>
      </c>
      <c r="C4589" s="5">
        <v>101.2</v>
      </c>
      <c r="D4589" s="5">
        <v>0.1</v>
      </c>
      <c r="E4589" s="5">
        <v>101.4</v>
      </c>
      <c r="F4589" s="5">
        <v>201.9</v>
      </c>
      <c r="G4589" s="5">
        <v>100.8</v>
      </c>
      <c r="H4589" s="5">
        <v>100.8</v>
      </c>
      <c r="I4589" s="5">
        <v>0</v>
      </c>
      <c r="J4589" s="5">
        <v>0</v>
      </c>
      <c r="K4589" s="5">
        <v>0</v>
      </c>
    </row>
    <row r="4590" spans="1:11" x14ac:dyDescent="0.25">
      <c r="A4590" s="5">
        <f>4583</f>
      </c>
      <c r="B4590" s="5" t="s">
        <v>4598</v>
      </c>
      <c r="C4590" s="5">
        <v>101.2</v>
      </c>
      <c r="D4590" s="5">
        <v>0.1</v>
      </c>
      <c r="E4590" s="5">
        <v>101.4</v>
      </c>
      <c r="F4590" s="5">
        <v>201.9</v>
      </c>
      <c r="G4590" s="5">
        <v>100.8</v>
      </c>
      <c r="H4590" s="5">
        <v>100.8</v>
      </c>
      <c r="I4590" s="5">
        <v>0</v>
      </c>
      <c r="J4590" s="5">
        <v>0</v>
      </c>
      <c r="K4590" s="5">
        <v>0</v>
      </c>
    </row>
    <row r="4591" spans="1:11" x14ac:dyDescent="0.25">
      <c r="A4591" s="5">
        <f>4584</f>
      </c>
      <c r="B4591" s="5" t="s">
        <v>4599</v>
      </c>
      <c r="C4591" s="5">
        <v>102.9</v>
      </c>
      <c r="D4591" s="5">
        <v>0.1</v>
      </c>
      <c r="E4591" s="5">
        <v>103.1</v>
      </c>
      <c r="F4591" s="5">
        <v>205.8</v>
      </c>
      <c r="G4591" s="5">
        <v>102.7</v>
      </c>
      <c r="H4591" s="5">
        <v>102.5</v>
      </c>
      <c r="I4591" s="5">
        <v>0</v>
      </c>
      <c r="J4591" s="5">
        <v>0</v>
      </c>
      <c r="K4591" s="5">
        <v>0</v>
      </c>
    </row>
    <row r="4592" spans="1:11" x14ac:dyDescent="0.25">
      <c r="A4592" s="5">
        <f>4585</f>
      </c>
      <c r="B4592" s="5" t="s">
        <v>4600</v>
      </c>
      <c r="C4592" s="5">
        <v>102.9</v>
      </c>
      <c r="D4592" s="5">
        <v>0.1</v>
      </c>
      <c r="E4592" s="5">
        <v>103.1</v>
      </c>
      <c r="F4592" s="5">
        <v>205.8</v>
      </c>
      <c r="G4592" s="5">
        <v>102.7</v>
      </c>
      <c r="H4592" s="5">
        <v>102.5</v>
      </c>
      <c r="I4592" s="5">
        <v>0</v>
      </c>
      <c r="J4592" s="5">
        <v>0</v>
      </c>
      <c r="K4592" s="5">
        <v>0</v>
      </c>
    </row>
    <row r="4593" spans="1:11" x14ac:dyDescent="0.25">
      <c r="A4593" s="5">
        <f>4586</f>
      </c>
      <c r="B4593" s="5" t="s">
        <v>4601</v>
      </c>
      <c r="C4593" s="5">
        <v>102.9</v>
      </c>
      <c r="D4593" s="5">
        <v>0.1</v>
      </c>
      <c r="E4593" s="5">
        <v>103.1</v>
      </c>
      <c r="F4593" s="5">
        <v>205.8</v>
      </c>
      <c r="G4593" s="5">
        <v>102.7</v>
      </c>
      <c r="H4593" s="5">
        <v>102.5</v>
      </c>
      <c r="I4593" s="5">
        <v>0</v>
      </c>
      <c r="J4593" s="5">
        <v>0</v>
      </c>
      <c r="K4593" s="5">
        <v>0</v>
      </c>
    </row>
    <row r="4594" spans="1:11" x14ac:dyDescent="0.25">
      <c r="A4594" s="5">
        <f>4587</f>
      </c>
      <c r="B4594" s="5" t="s">
        <v>4602</v>
      </c>
      <c r="C4594" s="5">
        <v>102.9</v>
      </c>
      <c r="D4594" s="5">
        <v>0.1</v>
      </c>
      <c r="E4594" s="5">
        <v>103.1</v>
      </c>
      <c r="F4594" s="5">
        <v>205.8</v>
      </c>
      <c r="G4594" s="5">
        <v>102.7</v>
      </c>
      <c r="H4594" s="5">
        <v>102.5</v>
      </c>
      <c r="I4594" s="5">
        <v>0</v>
      </c>
      <c r="J4594" s="5">
        <v>0</v>
      </c>
      <c r="K4594" s="5">
        <v>0</v>
      </c>
    </row>
    <row r="4595" spans="1:11" x14ac:dyDescent="0.25">
      <c r="A4595" s="5">
        <f>4588</f>
      </c>
      <c r="B4595" s="5" t="s">
        <v>4603</v>
      </c>
      <c r="C4595" s="5">
        <v>103.1</v>
      </c>
      <c r="D4595" s="5">
        <v>0.1</v>
      </c>
      <c r="E4595" s="5">
        <v>103.3</v>
      </c>
      <c r="F4595" s="5">
        <v>206.3</v>
      </c>
      <c r="G4595" s="5">
        <v>102.9</v>
      </c>
      <c r="H4595" s="5">
        <v>102.8</v>
      </c>
      <c r="I4595" s="5">
        <v>0</v>
      </c>
      <c r="J4595" s="5">
        <v>0</v>
      </c>
      <c r="K4595" s="5">
        <v>0</v>
      </c>
    </row>
    <row r="4596" spans="1:11" x14ac:dyDescent="0.25">
      <c r="A4596" s="5">
        <f>4589</f>
      </c>
      <c r="B4596" s="5" t="s">
        <v>4604</v>
      </c>
      <c r="C4596" s="5">
        <v>103.1</v>
      </c>
      <c r="D4596" s="5">
        <v>0.1</v>
      </c>
      <c r="E4596" s="5">
        <v>103.3</v>
      </c>
      <c r="F4596" s="5">
        <v>206.3</v>
      </c>
      <c r="G4596" s="5">
        <v>102.9</v>
      </c>
      <c r="H4596" s="5">
        <v>102.8</v>
      </c>
      <c r="I4596" s="5">
        <v>0</v>
      </c>
      <c r="J4596" s="5">
        <v>0</v>
      </c>
      <c r="K4596" s="5">
        <v>0</v>
      </c>
    </row>
    <row r="4597" spans="1:11" x14ac:dyDescent="0.25">
      <c r="A4597" s="5">
        <f>4590</f>
      </c>
      <c r="B4597" s="5" t="s">
        <v>4605</v>
      </c>
      <c r="C4597" s="5">
        <v>101.9</v>
      </c>
      <c r="D4597" s="5">
        <v>0.1</v>
      </c>
      <c r="E4597" s="5">
        <v>102.1</v>
      </c>
      <c r="F4597" s="5">
        <v>204.6</v>
      </c>
      <c r="G4597" s="5">
        <v>102.1</v>
      </c>
      <c r="H4597" s="5">
        <v>101.9</v>
      </c>
      <c r="I4597" s="5">
        <v>0</v>
      </c>
      <c r="J4597" s="5">
        <v>0</v>
      </c>
      <c r="K4597" s="5">
        <v>0</v>
      </c>
    </row>
    <row r="4598" spans="1:11" x14ac:dyDescent="0.25">
      <c r="A4598" s="5">
        <f>4591</f>
      </c>
      <c r="B4598" s="5" t="s">
        <v>4606</v>
      </c>
      <c r="C4598" s="5">
        <v>101.9</v>
      </c>
      <c r="D4598" s="5">
        <v>0.1</v>
      </c>
      <c r="E4598" s="5">
        <v>102.1</v>
      </c>
      <c r="F4598" s="5">
        <v>204.6</v>
      </c>
      <c r="G4598" s="5">
        <v>102.1</v>
      </c>
      <c r="H4598" s="5">
        <v>101.9</v>
      </c>
      <c r="I4598" s="5">
        <v>0</v>
      </c>
      <c r="J4598" s="5">
        <v>0</v>
      </c>
      <c r="K4598" s="5">
        <v>0</v>
      </c>
    </row>
    <row r="4599" spans="1:11" x14ac:dyDescent="0.25">
      <c r="A4599" s="5">
        <f>4592</f>
      </c>
      <c r="B4599" s="5" t="s">
        <v>4607</v>
      </c>
      <c r="C4599" s="5">
        <v>101.9</v>
      </c>
      <c r="D4599" s="5">
        <v>0.1</v>
      </c>
      <c r="E4599" s="5">
        <v>102.1</v>
      </c>
      <c r="F4599" s="5">
        <v>204.6</v>
      </c>
      <c r="G4599" s="5">
        <v>102.1</v>
      </c>
      <c r="H4599" s="5">
        <v>101.9</v>
      </c>
      <c r="I4599" s="5">
        <v>0</v>
      </c>
      <c r="J4599" s="5">
        <v>0</v>
      </c>
      <c r="K4599" s="5">
        <v>0</v>
      </c>
    </row>
    <row r="4600" spans="1:11" x14ac:dyDescent="0.25">
      <c r="A4600" s="5">
        <f>4593</f>
      </c>
      <c r="B4600" s="5" t="s">
        <v>4608</v>
      </c>
      <c r="C4600" s="5">
        <v>101.9</v>
      </c>
      <c r="D4600" s="5">
        <v>0.1</v>
      </c>
      <c r="E4600" s="5">
        <v>102.1</v>
      </c>
      <c r="F4600" s="5">
        <v>204.6</v>
      </c>
      <c r="G4600" s="5">
        <v>102.1</v>
      </c>
      <c r="H4600" s="5">
        <v>101.9</v>
      </c>
      <c r="I4600" s="5">
        <v>0</v>
      </c>
      <c r="J4600" s="5">
        <v>0</v>
      </c>
      <c r="K4600" s="5">
        <v>0</v>
      </c>
    </row>
    <row r="4601" spans="1:11" x14ac:dyDescent="0.25">
      <c r="A4601" s="5">
        <f>4594</f>
      </c>
      <c r="B4601" s="5" t="s">
        <v>4609</v>
      </c>
      <c r="C4601" s="5">
        <v>102.4</v>
      </c>
      <c r="D4601" s="5">
        <v>0.1</v>
      </c>
      <c r="E4601" s="5">
        <v>102.5</v>
      </c>
      <c r="F4601" s="5">
        <v>204.6</v>
      </c>
      <c r="G4601" s="5">
        <v>102.1</v>
      </c>
      <c r="H4601" s="5">
        <v>101.9</v>
      </c>
      <c r="I4601" s="5">
        <v>0</v>
      </c>
      <c r="J4601" s="5">
        <v>0</v>
      </c>
      <c r="K4601" s="5">
        <v>0</v>
      </c>
    </row>
    <row r="4602" spans="1:11" x14ac:dyDescent="0.25">
      <c r="A4602" s="5">
        <f>4595</f>
      </c>
      <c r="B4602" s="5" t="s">
        <v>4610</v>
      </c>
      <c r="C4602" s="5">
        <v>102.4</v>
      </c>
      <c r="D4602" s="5">
        <v>0.1</v>
      </c>
      <c r="E4602" s="5">
        <v>102.5</v>
      </c>
      <c r="F4602" s="5">
        <v>205.1</v>
      </c>
      <c r="G4602" s="5">
        <v>102.3</v>
      </c>
      <c r="H4602" s="5">
        <v>102.8</v>
      </c>
      <c r="I4602" s="5">
        <v>0</v>
      </c>
      <c r="J4602" s="5">
        <v>0</v>
      </c>
      <c r="K4602" s="5">
        <v>0</v>
      </c>
    </row>
    <row r="4603" spans="1:11" x14ac:dyDescent="0.25">
      <c r="A4603" s="5">
        <f>4596</f>
      </c>
      <c r="B4603" s="5" t="s">
        <v>4611</v>
      </c>
      <c r="C4603" s="5">
        <v>103.1</v>
      </c>
      <c r="D4603" s="5">
        <v>0.1</v>
      </c>
      <c r="E4603" s="5">
        <v>102.5</v>
      </c>
      <c r="F4603" s="5">
        <v>205.1</v>
      </c>
      <c r="G4603" s="5">
        <v>102.3</v>
      </c>
      <c r="H4603" s="5">
        <v>102.8</v>
      </c>
      <c r="I4603" s="5">
        <v>0</v>
      </c>
      <c r="J4603" s="5">
        <v>0</v>
      </c>
      <c r="K4603" s="5">
        <v>0</v>
      </c>
    </row>
    <row r="4604" spans="1:11" x14ac:dyDescent="0.25">
      <c r="A4604" s="5">
        <f>4597</f>
      </c>
      <c r="B4604" s="5" t="s">
        <v>4612</v>
      </c>
      <c r="C4604" s="5">
        <v>103.1</v>
      </c>
      <c r="D4604" s="5">
        <v>0.1</v>
      </c>
      <c r="E4604" s="5">
        <v>103.2</v>
      </c>
      <c r="F4604" s="5">
        <v>206</v>
      </c>
      <c r="G4604" s="5">
        <v>102.8</v>
      </c>
      <c r="H4604" s="5">
        <v>102.6</v>
      </c>
      <c r="I4604" s="5">
        <v>0</v>
      </c>
      <c r="J4604" s="5">
        <v>0</v>
      </c>
      <c r="K4604" s="5">
        <v>0</v>
      </c>
    </row>
    <row r="4605" spans="1:11" x14ac:dyDescent="0.25">
      <c r="A4605" s="5">
        <f>4598</f>
      </c>
      <c r="B4605" s="5" t="s">
        <v>4613</v>
      </c>
      <c r="C4605" s="5">
        <v>103.1</v>
      </c>
      <c r="D4605" s="5">
        <v>0.1</v>
      </c>
      <c r="E4605" s="5">
        <v>103.2</v>
      </c>
      <c r="F4605" s="5">
        <v>206</v>
      </c>
      <c r="G4605" s="5">
        <v>102.8</v>
      </c>
      <c r="H4605" s="5">
        <v>102.6</v>
      </c>
      <c r="I4605" s="5">
        <v>0</v>
      </c>
      <c r="J4605" s="5">
        <v>0</v>
      </c>
      <c r="K4605" s="5">
        <v>0</v>
      </c>
    </row>
    <row r="4606" spans="1:11" x14ac:dyDescent="0.25">
      <c r="A4606" s="5">
        <f>4599</f>
      </c>
      <c r="B4606" s="5" t="s">
        <v>4614</v>
      </c>
      <c r="C4606" s="5">
        <v>103</v>
      </c>
      <c r="D4606" s="5">
        <v>0.1</v>
      </c>
      <c r="E4606" s="5">
        <v>103.1</v>
      </c>
      <c r="F4606" s="5">
        <v>206.3</v>
      </c>
      <c r="G4606" s="5">
        <v>102.9</v>
      </c>
      <c r="H4606" s="5">
        <v>102.9</v>
      </c>
      <c r="I4606" s="5">
        <v>0</v>
      </c>
      <c r="J4606" s="5">
        <v>0</v>
      </c>
      <c r="K4606" s="5">
        <v>0</v>
      </c>
    </row>
    <row r="4607" spans="1:11" x14ac:dyDescent="0.25">
      <c r="A4607" s="5">
        <f>4600</f>
      </c>
      <c r="B4607" s="5" t="s">
        <v>4615</v>
      </c>
      <c r="C4607" s="5">
        <v>103</v>
      </c>
      <c r="D4607" s="5">
        <v>0.1</v>
      </c>
      <c r="E4607" s="5">
        <v>103.1</v>
      </c>
      <c r="F4607" s="5">
        <v>206.3</v>
      </c>
      <c r="G4607" s="5">
        <v>102.9</v>
      </c>
      <c r="H4607" s="5">
        <v>102.9</v>
      </c>
      <c r="I4607" s="5">
        <v>0</v>
      </c>
      <c r="J4607" s="5">
        <v>0</v>
      </c>
      <c r="K4607" s="5">
        <v>0</v>
      </c>
    </row>
    <row r="4608" spans="1:11" x14ac:dyDescent="0.25">
      <c r="A4608" s="5">
        <f>4601</f>
      </c>
      <c r="B4608" s="5" t="s">
        <v>4616</v>
      </c>
      <c r="C4608" s="5">
        <v>102.8</v>
      </c>
      <c r="D4608" s="5">
        <v>0.1</v>
      </c>
      <c r="E4608" s="5">
        <v>103</v>
      </c>
      <c r="F4608" s="5">
        <v>205.5</v>
      </c>
      <c r="G4608" s="5">
        <v>102.5</v>
      </c>
      <c r="H4608" s="5">
        <v>102.4</v>
      </c>
      <c r="I4608" s="5">
        <v>0</v>
      </c>
      <c r="J4608" s="5">
        <v>0</v>
      </c>
      <c r="K4608" s="5">
        <v>0</v>
      </c>
    </row>
    <row r="4609" spans="1:11" x14ac:dyDescent="0.25">
      <c r="A4609" s="5">
        <f>4602</f>
      </c>
      <c r="B4609" s="5" t="s">
        <v>4617</v>
      </c>
      <c r="C4609" s="5">
        <v>102.8</v>
      </c>
      <c r="D4609" s="5">
        <v>0.1</v>
      </c>
      <c r="E4609" s="5">
        <v>103</v>
      </c>
      <c r="F4609" s="5">
        <v>205.5</v>
      </c>
      <c r="G4609" s="5">
        <v>102.5</v>
      </c>
      <c r="H4609" s="5">
        <v>102.4</v>
      </c>
      <c r="I4609" s="5">
        <v>0</v>
      </c>
      <c r="J4609" s="5">
        <v>0</v>
      </c>
      <c r="K4609" s="5">
        <v>0</v>
      </c>
    </row>
    <row r="4610" spans="1:11" x14ac:dyDescent="0.25">
      <c r="A4610" s="5">
        <f>4603</f>
      </c>
      <c r="B4610" s="5" t="s">
        <v>4618</v>
      </c>
      <c r="C4610" s="5">
        <v>102.8</v>
      </c>
      <c r="D4610" s="5">
        <v>0.1</v>
      </c>
      <c r="E4610" s="5">
        <v>103</v>
      </c>
      <c r="F4610" s="5">
        <v>205.5</v>
      </c>
      <c r="G4610" s="5">
        <v>102.5</v>
      </c>
      <c r="H4610" s="5">
        <v>102.4</v>
      </c>
      <c r="I4610" s="5">
        <v>0</v>
      </c>
      <c r="J4610" s="5">
        <v>0</v>
      </c>
      <c r="K4610" s="5">
        <v>0</v>
      </c>
    </row>
    <row r="4611" spans="1:11" x14ac:dyDescent="0.25">
      <c r="A4611" s="5">
        <f>4604</f>
      </c>
      <c r="B4611" s="5" t="s">
        <v>4619</v>
      </c>
      <c r="C4611" s="5">
        <v>102.8</v>
      </c>
      <c r="D4611" s="5">
        <v>0.1</v>
      </c>
      <c r="E4611" s="5">
        <v>103</v>
      </c>
      <c r="F4611" s="5">
        <v>205.5</v>
      </c>
      <c r="G4611" s="5">
        <v>102.5</v>
      </c>
      <c r="H4611" s="5">
        <v>102.4</v>
      </c>
      <c r="I4611" s="5">
        <v>0</v>
      </c>
      <c r="J4611" s="5">
        <v>0</v>
      </c>
      <c r="K4611" s="5">
        <v>0</v>
      </c>
    </row>
    <row r="4612" spans="1:11" x14ac:dyDescent="0.25">
      <c r="A4612" s="5">
        <f>4605</f>
      </c>
      <c r="B4612" s="5" t="s">
        <v>4620</v>
      </c>
      <c r="C4612" s="5">
        <v>102.4</v>
      </c>
      <c r="D4612" s="5">
        <v>0.1</v>
      </c>
      <c r="E4612" s="5">
        <v>102.6</v>
      </c>
      <c r="F4612" s="5">
        <v>204.9</v>
      </c>
      <c r="G4612" s="5">
        <v>102.3</v>
      </c>
      <c r="H4612" s="5">
        <v>102.2</v>
      </c>
      <c r="I4612" s="5">
        <v>0</v>
      </c>
      <c r="J4612" s="5">
        <v>0</v>
      </c>
      <c r="K4612" s="5">
        <v>0</v>
      </c>
    </row>
    <row r="4613" spans="1:11" x14ac:dyDescent="0.25">
      <c r="A4613" s="5">
        <f>4606</f>
      </c>
      <c r="B4613" s="5" t="s">
        <v>4621</v>
      </c>
      <c r="C4613" s="5">
        <v>102.4</v>
      </c>
      <c r="D4613" s="5">
        <v>0.1</v>
      </c>
      <c r="E4613" s="5">
        <v>102.6</v>
      </c>
      <c r="F4613" s="5">
        <v>204.9</v>
      </c>
      <c r="G4613" s="5">
        <v>102.3</v>
      </c>
      <c r="H4613" s="5">
        <v>102.2</v>
      </c>
      <c r="I4613" s="5">
        <v>0</v>
      </c>
      <c r="J4613" s="5">
        <v>0</v>
      </c>
      <c r="K4613" s="5">
        <v>0</v>
      </c>
    </row>
    <row r="4614" spans="1:11" x14ac:dyDescent="0.25">
      <c r="A4614" s="5">
        <f>4607</f>
      </c>
      <c r="B4614" s="5" t="s">
        <v>4622</v>
      </c>
      <c r="C4614" s="5">
        <v>103.6</v>
      </c>
      <c r="D4614" s="5">
        <v>0.1</v>
      </c>
      <c r="E4614" s="5">
        <v>103.7</v>
      </c>
      <c r="F4614" s="5">
        <v>205.5</v>
      </c>
      <c r="G4614" s="5">
        <v>102.5</v>
      </c>
      <c r="H4614" s="5">
        <v>102.3</v>
      </c>
      <c r="I4614" s="5">
        <v>0</v>
      </c>
      <c r="J4614" s="5">
        <v>0</v>
      </c>
      <c r="K4614" s="5">
        <v>0</v>
      </c>
    </row>
    <row r="4615" spans="1:11" x14ac:dyDescent="0.25">
      <c r="A4615" s="5">
        <f>4608</f>
      </c>
      <c r="B4615" s="5" t="s">
        <v>4623</v>
      </c>
      <c r="C4615" s="5">
        <v>103.6</v>
      </c>
      <c r="D4615" s="5">
        <v>0.1</v>
      </c>
      <c r="E4615" s="5">
        <v>103.7</v>
      </c>
      <c r="F4615" s="5">
        <v>205.5</v>
      </c>
      <c r="G4615" s="5">
        <v>102.5</v>
      </c>
      <c r="H4615" s="5">
        <v>102.3</v>
      </c>
      <c r="I4615" s="5">
        <v>0</v>
      </c>
      <c r="J4615" s="5">
        <v>0</v>
      </c>
      <c r="K4615" s="5">
        <v>0</v>
      </c>
    </row>
    <row r="4616" spans="1:11" x14ac:dyDescent="0.25">
      <c r="A4616" s="5">
        <f>4609</f>
      </c>
      <c r="B4616" s="5" t="s">
        <v>4624</v>
      </c>
      <c r="C4616" s="5">
        <v>102.7</v>
      </c>
      <c r="D4616" s="5">
        <v>0.1</v>
      </c>
      <c r="E4616" s="5">
        <v>102.8</v>
      </c>
      <c r="F4616" s="5">
        <v>206.2</v>
      </c>
      <c r="G4616" s="5">
        <v>102.9</v>
      </c>
      <c r="H4616" s="5">
        <v>102.8</v>
      </c>
      <c r="I4616" s="5">
        <v>0</v>
      </c>
      <c r="J4616" s="5">
        <v>0</v>
      </c>
      <c r="K4616" s="5">
        <v>0</v>
      </c>
    </row>
    <row r="4617" spans="1:11" x14ac:dyDescent="0.25">
      <c r="A4617" s="5">
        <f>4610</f>
      </c>
      <c r="B4617" s="5" t="s">
        <v>4625</v>
      </c>
      <c r="C4617" s="5">
        <v>102.7</v>
      </c>
      <c r="D4617" s="5">
        <v>0.1</v>
      </c>
      <c r="E4617" s="5">
        <v>102.8</v>
      </c>
      <c r="F4617" s="5">
        <v>206.2</v>
      </c>
      <c r="G4617" s="5">
        <v>102.9</v>
      </c>
      <c r="H4617" s="5">
        <v>102.8</v>
      </c>
      <c r="I4617" s="5">
        <v>0</v>
      </c>
      <c r="J4617" s="5">
        <v>0</v>
      </c>
      <c r="K4617" s="5">
        <v>0</v>
      </c>
    </row>
    <row r="4618" spans="1:11" x14ac:dyDescent="0.25">
      <c r="A4618" s="5">
        <f>4611</f>
      </c>
      <c r="B4618" s="5" t="s">
        <v>4626</v>
      </c>
      <c r="C4618" s="5">
        <v>103.4</v>
      </c>
      <c r="D4618" s="5">
        <v>0.1</v>
      </c>
      <c r="E4618" s="5">
        <v>103.6</v>
      </c>
      <c r="F4618" s="5">
        <v>205.4</v>
      </c>
      <c r="G4618" s="5">
        <v>102.5</v>
      </c>
      <c r="H4618" s="5">
        <v>102.4</v>
      </c>
      <c r="I4618" s="5">
        <v>0</v>
      </c>
      <c r="J4618" s="5">
        <v>0</v>
      </c>
      <c r="K4618" s="5">
        <v>0</v>
      </c>
    </row>
    <row r="4619" spans="1:11" x14ac:dyDescent="0.25">
      <c r="A4619" s="5">
        <f>4612</f>
      </c>
      <c r="B4619" s="5" t="s">
        <v>4627</v>
      </c>
      <c r="C4619" s="5">
        <v>103.4</v>
      </c>
      <c r="D4619" s="5">
        <v>0.1</v>
      </c>
      <c r="E4619" s="5">
        <v>103.6</v>
      </c>
      <c r="F4619" s="5">
        <v>205.4</v>
      </c>
      <c r="G4619" s="5">
        <v>102.5</v>
      </c>
      <c r="H4619" s="5">
        <v>102.4</v>
      </c>
      <c r="I4619" s="5">
        <v>0</v>
      </c>
      <c r="J4619" s="5">
        <v>0</v>
      </c>
      <c r="K4619" s="5">
        <v>0</v>
      </c>
    </row>
    <row r="4620" spans="1:11" x14ac:dyDescent="0.25">
      <c r="A4620" s="5">
        <f>4613</f>
      </c>
      <c r="B4620" s="5" t="s">
        <v>4628</v>
      </c>
      <c r="C4620" s="5">
        <v>103.4</v>
      </c>
      <c r="D4620" s="5">
        <v>0.1</v>
      </c>
      <c r="E4620" s="5">
        <v>103.6</v>
      </c>
      <c r="F4620" s="5">
        <v>205.4</v>
      </c>
      <c r="G4620" s="5">
        <v>102.5</v>
      </c>
      <c r="H4620" s="5">
        <v>102.4</v>
      </c>
      <c r="I4620" s="5">
        <v>0</v>
      </c>
      <c r="J4620" s="5">
        <v>0</v>
      </c>
      <c r="K4620" s="5">
        <v>0</v>
      </c>
    </row>
    <row r="4621" spans="1:11" x14ac:dyDescent="0.25">
      <c r="A4621" s="5">
        <f>4614</f>
      </c>
      <c r="B4621" s="5" t="s">
        <v>4629</v>
      </c>
      <c r="C4621" s="5">
        <v>102.5</v>
      </c>
      <c r="D4621" s="5">
        <v>0.1</v>
      </c>
      <c r="E4621" s="5">
        <v>102.7</v>
      </c>
      <c r="F4621" s="5">
        <v>204.9</v>
      </c>
      <c r="G4621" s="5">
        <v>102.2</v>
      </c>
      <c r="H4621" s="5">
        <v>102.1</v>
      </c>
      <c r="I4621" s="5">
        <v>0</v>
      </c>
      <c r="J4621" s="5">
        <v>0</v>
      </c>
      <c r="K4621" s="5">
        <v>0</v>
      </c>
    </row>
    <row r="4622" spans="1:11" x14ac:dyDescent="0.25">
      <c r="A4622" s="5">
        <f>4615</f>
      </c>
      <c r="B4622" s="5" t="s">
        <v>4630</v>
      </c>
      <c r="C4622" s="5">
        <v>102.5</v>
      </c>
      <c r="D4622" s="5">
        <v>0.1</v>
      </c>
      <c r="E4622" s="5">
        <v>102.7</v>
      </c>
      <c r="F4622" s="5">
        <v>204.9</v>
      </c>
      <c r="G4622" s="5">
        <v>102.2</v>
      </c>
      <c r="H4622" s="5">
        <v>102.1</v>
      </c>
      <c r="I4622" s="5">
        <v>0</v>
      </c>
      <c r="J4622" s="5">
        <v>0</v>
      </c>
      <c r="K4622" s="5">
        <v>0</v>
      </c>
    </row>
    <row r="4623" spans="1:11" x14ac:dyDescent="0.25">
      <c r="A4623" s="5">
        <f>4616</f>
      </c>
      <c r="B4623" s="5" t="s">
        <v>4631</v>
      </c>
      <c r="C4623" s="5">
        <v>102.7</v>
      </c>
      <c r="D4623" s="5">
        <v>0.1</v>
      </c>
      <c r="E4623" s="5">
        <v>102.9</v>
      </c>
      <c r="F4623" s="5">
        <v>205.1</v>
      </c>
      <c r="G4623" s="5">
        <v>102.3</v>
      </c>
      <c r="H4623" s="5">
        <v>102.2</v>
      </c>
      <c r="I4623" s="5">
        <v>0</v>
      </c>
      <c r="J4623" s="5">
        <v>0</v>
      </c>
      <c r="K4623" s="5">
        <v>0</v>
      </c>
    </row>
    <row r="4624" spans="1:11" x14ac:dyDescent="0.25">
      <c r="A4624" s="5">
        <f>4617</f>
      </c>
      <c r="B4624" s="5" t="s">
        <v>4632</v>
      </c>
      <c r="C4624" s="5">
        <v>102.7</v>
      </c>
      <c r="D4624" s="5">
        <v>0.1</v>
      </c>
      <c r="E4624" s="5">
        <v>102.9</v>
      </c>
      <c r="F4624" s="5">
        <v>205.1</v>
      </c>
      <c r="G4624" s="5">
        <v>102.3</v>
      </c>
      <c r="H4624" s="5">
        <v>102.2</v>
      </c>
      <c r="I4624" s="5">
        <v>0</v>
      </c>
      <c r="J4624" s="5">
        <v>0</v>
      </c>
      <c r="K4624" s="5">
        <v>0</v>
      </c>
    </row>
    <row r="4625" spans="1:11" x14ac:dyDescent="0.25">
      <c r="A4625" s="5">
        <f>4618</f>
      </c>
      <c r="B4625" s="5" t="s">
        <v>4633</v>
      </c>
      <c r="C4625" s="5">
        <v>102.7</v>
      </c>
      <c r="D4625" s="5">
        <v>0.1</v>
      </c>
      <c r="E4625" s="5">
        <v>103.3</v>
      </c>
      <c r="F4625" s="5">
        <v>205.6</v>
      </c>
      <c r="G4625" s="5">
        <v>102.6</v>
      </c>
      <c r="H4625" s="5">
        <v>102.4</v>
      </c>
      <c r="I4625" s="5">
        <v>0</v>
      </c>
      <c r="J4625" s="5">
        <v>0</v>
      </c>
      <c r="K4625" s="5">
        <v>0</v>
      </c>
    </row>
    <row r="4626" spans="1:11" x14ac:dyDescent="0.25">
      <c r="A4626" s="5">
        <f>4619</f>
      </c>
      <c r="B4626" s="5" t="s">
        <v>4634</v>
      </c>
      <c r="C4626" s="5">
        <v>103.1</v>
      </c>
      <c r="D4626" s="5">
        <v>0.1</v>
      </c>
      <c r="E4626" s="5">
        <v>103.3</v>
      </c>
      <c r="F4626" s="5">
        <v>205.6</v>
      </c>
      <c r="G4626" s="5">
        <v>102.6</v>
      </c>
      <c r="H4626" s="5">
        <v>102.4</v>
      </c>
      <c r="I4626" s="5">
        <v>0</v>
      </c>
      <c r="J4626" s="5">
        <v>0</v>
      </c>
      <c r="K4626" s="5">
        <v>0</v>
      </c>
    </row>
    <row r="4627" spans="1:11" x14ac:dyDescent="0.25">
      <c r="A4627" s="5">
        <f>4620</f>
      </c>
      <c r="B4627" s="5" t="s">
        <v>4635</v>
      </c>
      <c r="C4627" s="5">
        <v>103.1</v>
      </c>
      <c r="D4627" s="5">
        <v>0.1</v>
      </c>
      <c r="E4627" s="5">
        <v>103.2</v>
      </c>
      <c r="F4627" s="5">
        <v>205.3</v>
      </c>
      <c r="G4627" s="5">
        <v>102.5</v>
      </c>
      <c r="H4627" s="5">
        <v>102.4</v>
      </c>
      <c r="I4627" s="5">
        <v>0</v>
      </c>
      <c r="J4627" s="5">
        <v>0</v>
      </c>
      <c r="K4627" s="5">
        <v>0</v>
      </c>
    </row>
    <row r="4628" spans="1:11" x14ac:dyDescent="0.25">
      <c r="A4628" s="5">
        <f>4621</f>
      </c>
      <c r="B4628" s="5" t="s">
        <v>4636</v>
      </c>
      <c r="C4628" s="5">
        <v>103.1</v>
      </c>
      <c r="D4628" s="5">
        <v>0.1</v>
      </c>
      <c r="E4628" s="5">
        <v>103.2</v>
      </c>
      <c r="F4628" s="5">
        <v>205.3</v>
      </c>
      <c r="G4628" s="5">
        <v>102.5</v>
      </c>
      <c r="H4628" s="5">
        <v>102.4</v>
      </c>
      <c r="I4628" s="5">
        <v>0</v>
      </c>
      <c r="J4628" s="5">
        <v>0</v>
      </c>
      <c r="K4628" s="5">
        <v>0</v>
      </c>
    </row>
    <row r="4629" spans="1:11" x14ac:dyDescent="0.25">
      <c r="A4629" s="5">
        <f>4622</f>
      </c>
      <c r="B4629" s="5" t="s">
        <v>4637</v>
      </c>
      <c r="C4629" s="5">
        <v>103.1</v>
      </c>
      <c r="D4629" s="5">
        <v>0.1</v>
      </c>
      <c r="E4629" s="5">
        <v>103.2</v>
      </c>
      <c r="F4629" s="5">
        <v>205.3</v>
      </c>
      <c r="G4629" s="5">
        <v>102.5</v>
      </c>
      <c r="H4629" s="5">
        <v>102.4</v>
      </c>
      <c r="I4629" s="5">
        <v>0</v>
      </c>
      <c r="J4629" s="5">
        <v>0</v>
      </c>
      <c r="K4629" s="5">
        <v>0</v>
      </c>
    </row>
    <row r="4630" spans="1:11" x14ac:dyDescent="0.25">
      <c r="A4630" s="5">
        <f>4623</f>
      </c>
      <c r="B4630" s="5" t="s">
        <v>4638</v>
      </c>
      <c r="C4630" s="5">
        <v>103.1</v>
      </c>
      <c r="D4630" s="5">
        <v>0.1</v>
      </c>
      <c r="E4630" s="5">
        <v>103.2</v>
      </c>
      <c r="F4630" s="5">
        <v>205.3</v>
      </c>
      <c r="G4630" s="5">
        <v>102.5</v>
      </c>
      <c r="H4630" s="5">
        <v>102.4</v>
      </c>
      <c r="I4630" s="5">
        <v>0</v>
      </c>
      <c r="J4630" s="5">
        <v>0</v>
      </c>
      <c r="K4630" s="5">
        <v>0</v>
      </c>
    </row>
    <row r="4631" spans="1:11" x14ac:dyDescent="0.25">
      <c r="A4631" s="5">
        <f>4624</f>
      </c>
      <c r="B4631" s="5" t="s">
        <v>4639</v>
      </c>
      <c r="C4631" s="5">
        <v>100.9</v>
      </c>
      <c r="D4631" s="5">
        <v>0.1</v>
      </c>
      <c r="E4631" s="5">
        <v>101.1</v>
      </c>
      <c r="F4631" s="5">
        <v>200.8</v>
      </c>
      <c r="G4631" s="5">
        <v>100.2</v>
      </c>
      <c r="H4631" s="5">
        <v>100</v>
      </c>
      <c r="I4631" s="5">
        <v>0</v>
      </c>
      <c r="J4631" s="5">
        <v>0</v>
      </c>
      <c r="K4631" s="5">
        <v>0</v>
      </c>
    </row>
    <row r="4632" spans="1:11" x14ac:dyDescent="0.25">
      <c r="A4632" s="5">
        <f>4625</f>
      </c>
      <c r="B4632" s="5" t="s">
        <v>4640</v>
      </c>
      <c r="C4632" s="5">
        <v>100.9</v>
      </c>
      <c r="D4632" s="5">
        <v>0.1</v>
      </c>
      <c r="E4632" s="5">
        <v>101.1</v>
      </c>
      <c r="F4632" s="5">
        <v>200.8</v>
      </c>
      <c r="G4632" s="5">
        <v>100.2</v>
      </c>
      <c r="H4632" s="5">
        <v>100</v>
      </c>
      <c r="I4632" s="5">
        <v>0</v>
      </c>
      <c r="J4632" s="5">
        <v>0</v>
      </c>
      <c r="K4632" s="5">
        <v>0</v>
      </c>
    </row>
    <row r="4633" spans="1:11" x14ac:dyDescent="0.25">
      <c r="A4633" s="5">
        <f>4626</f>
      </c>
      <c r="B4633" s="5" t="s">
        <v>4641</v>
      </c>
      <c r="C4633" s="5">
        <v>100.9</v>
      </c>
      <c r="D4633" s="5">
        <v>0.1</v>
      </c>
      <c r="E4633" s="5">
        <v>101.1</v>
      </c>
      <c r="F4633" s="5">
        <v>200.8</v>
      </c>
      <c r="G4633" s="5">
        <v>100.2</v>
      </c>
      <c r="H4633" s="5">
        <v>100</v>
      </c>
      <c r="I4633" s="5">
        <v>0</v>
      </c>
      <c r="J4633" s="5">
        <v>0</v>
      </c>
      <c r="K4633" s="5">
        <v>0</v>
      </c>
    </row>
    <row r="4634" spans="1:11" x14ac:dyDescent="0.25">
      <c r="A4634" s="5">
        <f>4627</f>
      </c>
      <c r="B4634" s="5" t="s">
        <v>4642</v>
      </c>
      <c r="C4634" s="5">
        <v>100.9</v>
      </c>
      <c r="D4634" s="5">
        <v>0.1</v>
      </c>
      <c r="E4634" s="5">
        <v>101.1</v>
      </c>
      <c r="F4634" s="5">
        <v>200.8</v>
      </c>
      <c r="G4634" s="5">
        <v>100.2</v>
      </c>
      <c r="H4634" s="5">
        <v>100</v>
      </c>
      <c r="I4634" s="5">
        <v>0</v>
      </c>
      <c r="J4634" s="5">
        <v>0</v>
      </c>
      <c r="K4634" s="5">
        <v>0</v>
      </c>
    </row>
    <row r="4635" spans="1:11" x14ac:dyDescent="0.25">
      <c r="A4635" s="5">
        <f>4628</f>
      </c>
      <c r="B4635" s="5" t="s">
        <v>4643</v>
      </c>
      <c r="C4635" s="5">
        <v>100.8</v>
      </c>
      <c r="D4635" s="5">
        <v>0.1</v>
      </c>
      <c r="E4635" s="5">
        <v>101</v>
      </c>
      <c r="F4635" s="5">
        <v>201.6</v>
      </c>
      <c r="G4635" s="5">
        <v>100.6</v>
      </c>
      <c r="H4635" s="5">
        <v>100.4</v>
      </c>
      <c r="I4635" s="5">
        <v>0</v>
      </c>
      <c r="J4635" s="5">
        <v>0</v>
      </c>
      <c r="K4635" s="5">
        <v>0</v>
      </c>
    </row>
    <row r="4636" spans="1:11" x14ac:dyDescent="0.25">
      <c r="A4636" s="5">
        <f>4629</f>
      </c>
      <c r="B4636" s="5" t="s">
        <v>4644</v>
      </c>
      <c r="C4636" s="5">
        <v>100.8</v>
      </c>
      <c r="D4636" s="5">
        <v>0.1</v>
      </c>
      <c r="E4636" s="5">
        <v>101</v>
      </c>
      <c r="F4636" s="5">
        <v>201.6</v>
      </c>
      <c r="G4636" s="5">
        <v>100.6</v>
      </c>
      <c r="H4636" s="5">
        <v>100.4</v>
      </c>
      <c r="I4636" s="5">
        <v>0</v>
      </c>
      <c r="J4636" s="5">
        <v>0</v>
      </c>
      <c r="K4636" s="5">
        <v>0</v>
      </c>
    </row>
    <row r="4637" spans="1:11" x14ac:dyDescent="0.25">
      <c r="A4637" s="5">
        <f>4630</f>
      </c>
      <c r="B4637" s="5" t="s">
        <v>4645</v>
      </c>
      <c r="C4637" s="5">
        <v>100.4</v>
      </c>
      <c r="D4637" s="5">
        <v>0.1</v>
      </c>
      <c r="E4637" s="5">
        <v>100.5</v>
      </c>
      <c r="F4637" s="5">
        <v>199.2</v>
      </c>
      <c r="G4637" s="5">
        <v>99.3</v>
      </c>
      <c r="H4637" s="5">
        <v>99.2</v>
      </c>
      <c r="I4637" s="5">
        <v>0</v>
      </c>
      <c r="J4637" s="5">
        <v>0</v>
      </c>
      <c r="K4637" s="5">
        <v>0</v>
      </c>
    </row>
    <row r="4638" spans="1:11" x14ac:dyDescent="0.25">
      <c r="A4638" s="5">
        <f>4631</f>
      </c>
      <c r="B4638" s="5" t="s">
        <v>4646</v>
      </c>
      <c r="C4638" s="5">
        <v>100.4</v>
      </c>
      <c r="D4638" s="5">
        <v>0.1</v>
      </c>
      <c r="E4638" s="5">
        <v>100.5</v>
      </c>
      <c r="F4638" s="5">
        <v>199.2</v>
      </c>
      <c r="G4638" s="5">
        <v>99.3</v>
      </c>
      <c r="H4638" s="5">
        <v>99.2</v>
      </c>
      <c r="I4638" s="5">
        <v>0</v>
      </c>
      <c r="J4638" s="5">
        <v>0</v>
      </c>
      <c r="K4638" s="5">
        <v>0</v>
      </c>
    </row>
    <row r="4639" spans="1:11" x14ac:dyDescent="0.25">
      <c r="A4639" s="5">
        <f>4632</f>
      </c>
      <c r="B4639" s="5" t="s">
        <v>4647</v>
      </c>
      <c r="C4639" s="5">
        <v>100.4</v>
      </c>
      <c r="D4639" s="5">
        <v>0.1</v>
      </c>
      <c r="E4639" s="5">
        <v>100.5</v>
      </c>
      <c r="F4639" s="5">
        <v>199.2</v>
      </c>
      <c r="G4639" s="5">
        <v>99.3</v>
      </c>
      <c r="H4639" s="5">
        <v>99.2</v>
      </c>
      <c r="I4639" s="5">
        <v>0</v>
      </c>
      <c r="J4639" s="5">
        <v>0</v>
      </c>
      <c r="K4639" s="5">
        <v>0</v>
      </c>
    </row>
    <row r="4640" spans="1:11" x14ac:dyDescent="0.25">
      <c r="A4640" s="5">
        <f>4633</f>
      </c>
      <c r="B4640" s="5" t="s">
        <v>4648</v>
      </c>
      <c r="C4640" s="5">
        <v>100.4</v>
      </c>
      <c r="D4640" s="5">
        <v>0.1</v>
      </c>
      <c r="E4640" s="5">
        <v>100.5</v>
      </c>
      <c r="F4640" s="5">
        <v>199.2</v>
      </c>
      <c r="G4640" s="5">
        <v>99.3</v>
      </c>
      <c r="H4640" s="5">
        <v>99.2</v>
      </c>
      <c r="I4640" s="5">
        <v>0</v>
      </c>
      <c r="J4640" s="5">
        <v>0</v>
      </c>
      <c r="K4640" s="5">
        <v>0</v>
      </c>
    </row>
    <row r="4641" spans="1:11" x14ac:dyDescent="0.25">
      <c r="A4641" s="5">
        <f>4634</f>
      </c>
      <c r="B4641" s="5" t="s">
        <v>4649</v>
      </c>
      <c r="C4641" s="5">
        <v>99.4</v>
      </c>
      <c r="D4641" s="5">
        <v>0.1</v>
      </c>
      <c r="E4641" s="5">
        <v>99.5</v>
      </c>
      <c r="F4641" s="5">
        <v>199</v>
      </c>
      <c r="G4641" s="5">
        <v>99.2</v>
      </c>
      <c r="H4641" s="5">
        <v>99.1</v>
      </c>
      <c r="I4641" s="5">
        <v>0</v>
      </c>
      <c r="J4641" s="5">
        <v>0</v>
      </c>
      <c r="K4641" s="5">
        <v>0</v>
      </c>
    </row>
    <row r="4642" spans="1:11" x14ac:dyDescent="0.25">
      <c r="A4642" s="5">
        <f>4635</f>
      </c>
      <c r="B4642" s="5" t="s">
        <v>4650</v>
      </c>
      <c r="C4642" s="5">
        <v>99.4</v>
      </c>
      <c r="D4642" s="5">
        <v>0.1</v>
      </c>
      <c r="E4642" s="5">
        <v>99.5</v>
      </c>
      <c r="F4642" s="5">
        <v>199</v>
      </c>
      <c r="G4642" s="5">
        <v>99.2</v>
      </c>
      <c r="H4642" s="5">
        <v>99.1</v>
      </c>
      <c r="I4642" s="5">
        <v>0</v>
      </c>
      <c r="J4642" s="5">
        <v>0</v>
      </c>
      <c r="K4642" s="5">
        <v>0</v>
      </c>
    </row>
    <row r="4643" spans="1:11" x14ac:dyDescent="0.25">
      <c r="A4643" s="5">
        <f>4636</f>
      </c>
      <c r="B4643" s="5" t="s">
        <v>4651</v>
      </c>
      <c r="C4643" s="5">
        <v>98.6</v>
      </c>
      <c r="D4643" s="5">
        <v>0.1</v>
      </c>
      <c r="E4643" s="5">
        <v>98.7</v>
      </c>
      <c r="F4643" s="5">
        <v>197.1</v>
      </c>
      <c r="G4643" s="5">
        <v>98.3</v>
      </c>
      <c r="H4643" s="5">
        <v>98.2</v>
      </c>
      <c r="I4643" s="5">
        <v>0</v>
      </c>
      <c r="J4643" s="5">
        <v>0</v>
      </c>
      <c r="K4643" s="5">
        <v>0</v>
      </c>
    </row>
    <row r="4644" spans="1:11" x14ac:dyDescent="0.25">
      <c r="A4644" s="5">
        <f>4637</f>
      </c>
      <c r="B4644" s="5" t="s">
        <v>4652</v>
      </c>
      <c r="C4644" s="5">
        <v>98.6</v>
      </c>
      <c r="D4644" s="5">
        <v>0.1</v>
      </c>
      <c r="E4644" s="5">
        <v>98.7</v>
      </c>
      <c r="F4644" s="5">
        <v>197.1</v>
      </c>
      <c r="G4644" s="5">
        <v>98.3</v>
      </c>
      <c r="H4644" s="5">
        <v>98.2</v>
      </c>
      <c r="I4644" s="5">
        <v>0</v>
      </c>
      <c r="J4644" s="5">
        <v>0</v>
      </c>
      <c r="K4644" s="5">
        <v>0</v>
      </c>
    </row>
    <row r="4645" spans="1:11" x14ac:dyDescent="0.25">
      <c r="A4645" s="5">
        <f>4638</f>
      </c>
      <c r="B4645" s="5" t="s">
        <v>4653</v>
      </c>
      <c r="C4645" s="5">
        <v>100.4</v>
      </c>
      <c r="D4645" s="5">
        <v>0.1</v>
      </c>
      <c r="E4645" s="5">
        <v>100.5</v>
      </c>
      <c r="F4645" s="5">
        <v>200</v>
      </c>
      <c r="G4645" s="5">
        <v>99.8</v>
      </c>
      <c r="H4645" s="5">
        <v>99.7</v>
      </c>
      <c r="I4645" s="5">
        <v>0</v>
      </c>
      <c r="J4645" s="5">
        <v>0</v>
      </c>
      <c r="K4645" s="5">
        <v>0</v>
      </c>
    </row>
    <row r="4646" spans="1:11" x14ac:dyDescent="0.25">
      <c r="A4646" s="5">
        <f>4639</f>
      </c>
      <c r="B4646" s="5" t="s">
        <v>4654</v>
      </c>
      <c r="C4646" s="5">
        <v>100.4</v>
      </c>
      <c r="D4646" s="5">
        <v>0.1</v>
      </c>
      <c r="E4646" s="5">
        <v>100.5</v>
      </c>
      <c r="F4646" s="5">
        <v>200</v>
      </c>
      <c r="G4646" s="5">
        <v>99.8</v>
      </c>
      <c r="H4646" s="5">
        <v>99.7</v>
      </c>
      <c r="I4646" s="5">
        <v>0</v>
      </c>
      <c r="J4646" s="5">
        <v>0</v>
      </c>
      <c r="K4646" s="5">
        <v>0</v>
      </c>
    </row>
    <row r="4647" spans="1:11" x14ac:dyDescent="0.25">
      <c r="A4647" s="5">
        <f>4640</f>
      </c>
      <c r="B4647" s="5" t="s">
        <v>4655</v>
      </c>
      <c r="C4647" s="5">
        <v>99.5</v>
      </c>
      <c r="D4647" s="5">
        <v>0.1</v>
      </c>
      <c r="E4647" s="5">
        <v>99.7</v>
      </c>
      <c r="F4647" s="5">
        <v>199.1</v>
      </c>
      <c r="G4647" s="5">
        <v>99.3</v>
      </c>
      <c r="H4647" s="5">
        <v>99.2</v>
      </c>
      <c r="I4647" s="5">
        <v>0</v>
      </c>
      <c r="J4647" s="5">
        <v>0</v>
      </c>
      <c r="K4647" s="5">
        <v>0</v>
      </c>
    </row>
    <row r="4648" spans="1:11" x14ac:dyDescent="0.25">
      <c r="A4648" s="5">
        <f>4641</f>
      </c>
      <c r="B4648" s="5" t="s">
        <v>4656</v>
      </c>
      <c r="C4648" s="5">
        <v>99.5</v>
      </c>
      <c r="D4648" s="5">
        <v>0.1</v>
      </c>
      <c r="E4648" s="5">
        <v>99.7</v>
      </c>
      <c r="F4648" s="5">
        <v>199.1</v>
      </c>
      <c r="G4648" s="5">
        <v>99.3</v>
      </c>
      <c r="H4648" s="5">
        <v>99.2</v>
      </c>
      <c r="I4648" s="5">
        <v>0</v>
      </c>
      <c r="J4648" s="5">
        <v>0</v>
      </c>
      <c r="K4648" s="5">
        <v>0</v>
      </c>
    </row>
    <row r="4649" spans="1:11" x14ac:dyDescent="0.25">
      <c r="A4649" s="5">
        <f>4642</f>
      </c>
      <c r="B4649" s="5" t="s">
        <v>4657</v>
      </c>
      <c r="C4649" s="5">
        <v>99.5</v>
      </c>
      <c r="D4649" s="5">
        <v>0.1</v>
      </c>
      <c r="E4649" s="5">
        <v>99.7</v>
      </c>
      <c r="F4649" s="5">
        <v>199.1</v>
      </c>
      <c r="G4649" s="5">
        <v>99.3</v>
      </c>
      <c r="H4649" s="5">
        <v>99.2</v>
      </c>
      <c r="I4649" s="5">
        <v>0</v>
      </c>
      <c r="J4649" s="5">
        <v>0</v>
      </c>
      <c r="K4649" s="5">
        <v>0</v>
      </c>
    </row>
    <row r="4650" spans="1:11" x14ac:dyDescent="0.25">
      <c r="A4650" s="5">
        <f>4643</f>
      </c>
      <c r="B4650" s="5" t="s">
        <v>4658</v>
      </c>
      <c r="C4650" s="5">
        <v>99.5</v>
      </c>
      <c r="D4650" s="5">
        <v>0.1</v>
      </c>
      <c r="E4650" s="5">
        <v>99.7</v>
      </c>
      <c r="F4650" s="5">
        <v>199.1</v>
      </c>
      <c r="G4650" s="5">
        <v>99.3</v>
      </c>
      <c r="H4650" s="5">
        <v>99.2</v>
      </c>
      <c r="I4650" s="5">
        <v>0</v>
      </c>
      <c r="J4650" s="5">
        <v>0</v>
      </c>
      <c r="K4650" s="5">
        <v>0</v>
      </c>
    </row>
    <row r="4651" spans="1:11" x14ac:dyDescent="0.25">
      <c r="A4651" s="5">
        <f>4644</f>
      </c>
      <c r="B4651" s="5" t="s">
        <v>4659</v>
      </c>
      <c r="C4651" s="5">
        <v>96.4</v>
      </c>
      <c r="D4651" s="5">
        <v>0.1</v>
      </c>
      <c r="E4651" s="5">
        <v>96.6</v>
      </c>
      <c r="F4651" s="5">
        <v>189.4</v>
      </c>
      <c r="G4651" s="5">
        <v>94.3</v>
      </c>
      <c r="H4651" s="5">
        <v>94</v>
      </c>
      <c r="I4651" s="5">
        <v>0</v>
      </c>
      <c r="J4651" s="5">
        <v>0</v>
      </c>
      <c r="K4651" s="5">
        <v>0</v>
      </c>
    </row>
    <row r="4652" spans="1:11" x14ac:dyDescent="0.25">
      <c r="A4652" s="5">
        <f>4645</f>
      </c>
      <c r="B4652" s="5" t="s">
        <v>4660</v>
      </c>
      <c r="C4652" s="5">
        <v>96.4</v>
      </c>
      <c r="D4652" s="5">
        <v>0.1</v>
      </c>
      <c r="E4652" s="5">
        <v>96.6</v>
      </c>
      <c r="F4652" s="5">
        <v>189.4</v>
      </c>
      <c r="G4652" s="5">
        <v>94.3</v>
      </c>
      <c r="H4652" s="5">
        <v>94</v>
      </c>
      <c r="I4652" s="5">
        <v>0</v>
      </c>
      <c r="J4652" s="5">
        <v>0</v>
      </c>
      <c r="K4652" s="5">
        <v>0</v>
      </c>
    </row>
    <row r="4653" spans="1:11" x14ac:dyDescent="0.25">
      <c r="A4653" s="5">
        <f>4646</f>
      </c>
      <c r="B4653" s="5" t="s">
        <v>4661</v>
      </c>
      <c r="C4653" s="5">
        <v>93.3</v>
      </c>
      <c r="D4653" s="5">
        <v>0.1</v>
      </c>
      <c r="E4653" s="5">
        <v>93.5</v>
      </c>
      <c r="F4653" s="5">
        <v>188.7</v>
      </c>
      <c r="G4653" s="5">
        <v>93.9</v>
      </c>
      <c r="H4653" s="5">
        <v>93.6</v>
      </c>
      <c r="I4653" s="5">
        <v>0</v>
      </c>
      <c r="J4653" s="5">
        <v>0</v>
      </c>
      <c r="K4653" s="5">
        <v>0</v>
      </c>
    </row>
    <row r="4654" spans="1:11" x14ac:dyDescent="0.25">
      <c r="A4654" s="5">
        <f>4647</f>
      </c>
      <c r="B4654" s="5" t="s">
        <v>4662</v>
      </c>
      <c r="C4654" s="5">
        <v>93.3</v>
      </c>
      <c r="D4654" s="5">
        <v>0.1</v>
      </c>
      <c r="E4654" s="5">
        <v>93.5</v>
      </c>
      <c r="F4654" s="5">
        <v>188.7</v>
      </c>
      <c r="G4654" s="5">
        <v>93.9</v>
      </c>
      <c r="H4654" s="5">
        <v>93.6</v>
      </c>
      <c r="I4654" s="5">
        <v>0</v>
      </c>
      <c r="J4654" s="5">
        <v>0</v>
      </c>
      <c r="K4654" s="5">
        <v>0</v>
      </c>
    </row>
    <row r="4655" spans="1:11" x14ac:dyDescent="0.25">
      <c r="A4655" s="5">
        <f>4648</f>
      </c>
      <c r="B4655" s="5" t="s">
        <v>4663</v>
      </c>
      <c r="C4655" s="5">
        <v>100.6</v>
      </c>
      <c r="D4655" s="5">
        <v>0.1</v>
      </c>
      <c r="E4655" s="5">
        <v>100.8</v>
      </c>
      <c r="F4655" s="5">
        <v>203</v>
      </c>
      <c r="G4655" s="5">
        <v>101.2</v>
      </c>
      <c r="H4655" s="5">
        <v>101</v>
      </c>
      <c r="I4655" s="5">
        <v>0</v>
      </c>
      <c r="J4655" s="5">
        <v>0</v>
      </c>
      <c r="K4655" s="5">
        <v>0</v>
      </c>
    </row>
    <row r="4656" spans="1:11" x14ac:dyDescent="0.25">
      <c r="A4656" s="5">
        <f>4649</f>
      </c>
      <c r="B4656" s="5" t="s">
        <v>4664</v>
      </c>
      <c r="C4656" s="5">
        <v>100.6</v>
      </c>
      <c r="D4656" s="5">
        <v>0.1</v>
      </c>
      <c r="E4656" s="5">
        <v>100.8</v>
      </c>
      <c r="F4656" s="5">
        <v>203</v>
      </c>
      <c r="G4656" s="5">
        <v>101.2</v>
      </c>
      <c r="H4656" s="5">
        <v>101</v>
      </c>
      <c r="I4656" s="5">
        <v>0</v>
      </c>
      <c r="J4656" s="5">
        <v>0</v>
      </c>
      <c r="K4656" s="5">
        <v>0</v>
      </c>
    </row>
    <row r="4657" spans="1:11" x14ac:dyDescent="0.25">
      <c r="A4657" s="5">
        <f>4650</f>
      </c>
      <c r="B4657" s="5" t="s">
        <v>4665</v>
      </c>
      <c r="C4657" s="5">
        <v>95.8</v>
      </c>
      <c r="D4657" s="5">
        <v>0.1</v>
      </c>
      <c r="E4657" s="5">
        <v>96</v>
      </c>
      <c r="F4657" s="5">
        <v>196.1</v>
      </c>
      <c r="G4657" s="5">
        <v>97.7</v>
      </c>
      <c r="H4657" s="5">
        <v>97.5</v>
      </c>
      <c r="I4657" s="5">
        <v>0</v>
      </c>
      <c r="J4657" s="5">
        <v>0</v>
      </c>
      <c r="K4657" s="5">
        <v>0</v>
      </c>
    </row>
    <row r="4658" spans="1:11" x14ac:dyDescent="0.25">
      <c r="A4658" s="5">
        <f>4651</f>
      </c>
      <c r="B4658" s="5" t="s">
        <v>4666</v>
      </c>
      <c r="C4658" s="5">
        <v>95.8</v>
      </c>
      <c r="D4658" s="5">
        <v>0.1</v>
      </c>
      <c r="E4658" s="5">
        <v>96</v>
      </c>
      <c r="F4658" s="5">
        <v>196.1</v>
      </c>
      <c r="G4658" s="5">
        <v>97.7</v>
      </c>
      <c r="H4658" s="5">
        <v>97.5</v>
      </c>
      <c r="I4658" s="5">
        <v>0</v>
      </c>
      <c r="J4658" s="5">
        <v>0</v>
      </c>
      <c r="K4658" s="5">
        <v>0</v>
      </c>
    </row>
    <row r="4659" spans="1:11" x14ac:dyDescent="0.25">
      <c r="A4659" s="5">
        <f>4652</f>
      </c>
      <c r="B4659" s="5" t="s">
        <v>4667</v>
      </c>
      <c r="C4659" s="5">
        <v>95.8</v>
      </c>
      <c r="D4659" s="5">
        <v>0.1</v>
      </c>
      <c r="E4659" s="5">
        <v>96</v>
      </c>
      <c r="F4659" s="5">
        <v>196.1</v>
      </c>
      <c r="G4659" s="5">
        <v>97.7</v>
      </c>
      <c r="H4659" s="5">
        <v>97.5</v>
      </c>
      <c r="I4659" s="5">
        <v>0</v>
      </c>
      <c r="J4659" s="5">
        <v>0</v>
      </c>
      <c r="K4659" s="5">
        <v>0</v>
      </c>
    </row>
    <row r="4660" spans="1:11" x14ac:dyDescent="0.25">
      <c r="A4660" s="5">
        <f>4653</f>
      </c>
      <c r="B4660" s="5" t="s">
        <v>4668</v>
      </c>
      <c r="C4660" s="5">
        <v>95.8</v>
      </c>
      <c r="D4660" s="5">
        <v>0.1</v>
      </c>
      <c r="E4660" s="5">
        <v>96</v>
      </c>
      <c r="F4660" s="5">
        <v>196.1</v>
      </c>
      <c r="G4660" s="5">
        <v>97.7</v>
      </c>
      <c r="H4660" s="5">
        <v>97.5</v>
      </c>
      <c r="I4660" s="5">
        <v>0</v>
      </c>
      <c r="J4660" s="5">
        <v>0</v>
      </c>
      <c r="K4660" s="5">
        <v>0</v>
      </c>
    </row>
    <row r="4661" spans="1:11" x14ac:dyDescent="0.25">
      <c r="A4661" s="5">
        <f>4654</f>
      </c>
      <c r="B4661" s="5" t="s">
        <v>4669</v>
      </c>
      <c r="C4661" s="5">
        <v>95.7</v>
      </c>
      <c r="D4661" s="5">
        <v>0.1</v>
      </c>
      <c r="E4661" s="5">
        <v>95.9</v>
      </c>
      <c r="F4661" s="5">
        <v>190.1</v>
      </c>
      <c r="G4661" s="5">
        <v>94.9</v>
      </c>
      <c r="H4661" s="5">
        <v>94.8</v>
      </c>
      <c r="I4661" s="5">
        <v>0</v>
      </c>
      <c r="J4661" s="5">
        <v>0</v>
      </c>
      <c r="K4661" s="5">
        <v>0</v>
      </c>
    </row>
    <row r="4662" spans="1:11" x14ac:dyDescent="0.25">
      <c r="A4662" s="5">
        <f>4655</f>
      </c>
      <c r="B4662" s="5" t="s">
        <v>4670</v>
      </c>
      <c r="C4662" s="5">
        <v>95.7</v>
      </c>
      <c r="D4662" s="5">
        <v>0.1</v>
      </c>
      <c r="E4662" s="5">
        <v>95.9</v>
      </c>
      <c r="F4662" s="5">
        <v>190.1</v>
      </c>
      <c r="G4662" s="5">
        <v>94.9</v>
      </c>
      <c r="H4662" s="5">
        <v>94.8</v>
      </c>
      <c r="I4662" s="5">
        <v>0</v>
      </c>
      <c r="J4662" s="5">
        <v>0</v>
      </c>
      <c r="K4662" s="5">
        <v>0</v>
      </c>
    </row>
    <row r="4663" spans="1:11" x14ac:dyDescent="0.25">
      <c r="A4663" s="5">
        <f>4656</f>
      </c>
      <c r="B4663" s="5" t="s">
        <v>4671</v>
      </c>
      <c r="C4663" s="5">
        <v>94.1</v>
      </c>
      <c r="D4663" s="5">
        <v>0.1</v>
      </c>
      <c r="E4663" s="5">
        <v>94.3</v>
      </c>
      <c r="F4663" s="5">
        <v>189.1</v>
      </c>
      <c r="G4663" s="5">
        <v>94.3</v>
      </c>
      <c r="H4663" s="5">
        <v>94.2</v>
      </c>
      <c r="I4663" s="5">
        <v>0</v>
      </c>
      <c r="J4663" s="5">
        <v>0</v>
      </c>
      <c r="K4663" s="5">
        <v>0</v>
      </c>
    </row>
    <row r="4664" spans="1:11" x14ac:dyDescent="0.25">
      <c r="A4664" s="5">
        <f>4657</f>
      </c>
      <c r="B4664" s="5" t="s">
        <v>4672</v>
      </c>
      <c r="C4664" s="5">
        <v>94.1</v>
      </c>
      <c r="D4664" s="5">
        <v>0.1</v>
      </c>
      <c r="E4664" s="5">
        <v>94.3</v>
      </c>
      <c r="F4664" s="5">
        <v>189.1</v>
      </c>
      <c r="G4664" s="5">
        <v>94.3</v>
      </c>
      <c r="H4664" s="5">
        <v>94.2</v>
      </c>
      <c r="I4664" s="5">
        <v>0</v>
      </c>
      <c r="J4664" s="5">
        <v>0</v>
      </c>
      <c r="K4664" s="5">
        <v>0</v>
      </c>
    </row>
    <row r="4665" spans="1:11" x14ac:dyDescent="0.25">
      <c r="A4665" s="5">
        <f>4658</f>
      </c>
      <c r="B4665" s="5" t="s">
        <v>4673</v>
      </c>
      <c r="C4665" s="5">
        <v>95.2</v>
      </c>
      <c r="D4665" s="5">
        <v>0.1</v>
      </c>
      <c r="E4665" s="5">
        <v>95.4</v>
      </c>
      <c r="F4665" s="5">
        <v>190.3</v>
      </c>
      <c r="G4665" s="5">
        <v>94.9</v>
      </c>
      <c r="H4665" s="5">
        <v>94.8</v>
      </c>
      <c r="I4665" s="5">
        <v>0</v>
      </c>
      <c r="J4665" s="5">
        <v>0</v>
      </c>
      <c r="K4665" s="5">
        <v>0</v>
      </c>
    </row>
    <row r="4666" spans="1:11" x14ac:dyDescent="0.25">
      <c r="A4666" s="5">
        <f>4659</f>
      </c>
      <c r="B4666" s="5" t="s">
        <v>4674</v>
      </c>
      <c r="C4666" s="5">
        <v>95.2</v>
      </c>
      <c r="D4666" s="5">
        <v>0.1</v>
      </c>
      <c r="E4666" s="5">
        <v>95.4</v>
      </c>
      <c r="F4666" s="5">
        <v>190.3</v>
      </c>
      <c r="G4666" s="5">
        <v>94.9</v>
      </c>
      <c r="H4666" s="5">
        <v>94.8</v>
      </c>
      <c r="I4666" s="5">
        <v>0</v>
      </c>
      <c r="J4666" s="5">
        <v>0</v>
      </c>
      <c r="K4666" s="5">
        <v>0</v>
      </c>
    </row>
    <row r="4667" spans="1:11" x14ac:dyDescent="0.25">
      <c r="A4667" s="5">
        <f>4660</f>
      </c>
      <c r="B4667" s="5" t="s">
        <v>4675</v>
      </c>
      <c r="C4667" s="5">
        <v>96.1</v>
      </c>
      <c r="D4667" s="5">
        <v>0.1</v>
      </c>
      <c r="E4667" s="5">
        <v>96.2</v>
      </c>
      <c r="F4667" s="5">
        <v>191.8</v>
      </c>
      <c r="G4667" s="5">
        <v>95.7</v>
      </c>
      <c r="H4667" s="5">
        <v>95.5</v>
      </c>
      <c r="I4667" s="5">
        <v>0</v>
      </c>
      <c r="J4667" s="5">
        <v>0</v>
      </c>
      <c r="K4667" s="5">
        <v>0</v>
      </c>
    </row>
    <row r="4668" spans="1:11" x14ac:dyDescent="0.25">
      <c r="A4668" s="5">
        <f>4661</f>
      </c>
      <c r="B4668" s="5" t="s">
        <v>4676</v>
      </c>
      <c r="C4668" s="5">
        <v>96.1</v>
      </c>
      <c r="D4668" s="5">
        <v>0.1</v>
      </c>
      <c r="E4668" s="5">
        <v>96.2</v>
      </c>
      <c r="F4668" s="5">
        <v>191.8</v>
      </c>
      <c r="G4668" s="5">
        <v>95.7</v>
      </c>
      <c r="H4668" s="5">
        <v>95.5</v>
      </c>
      <c r="I4668" s="5">
        <v>0</v>
      </c>
      <c r="J4668" s="5">
        <v>0</v>
      </c>
      <c r="K4668" s="5">
        <v>0</v>
      </c>
    </row>
    <row r="4669" spans="1:11" x14ac:dyDescent="0.25">
      <c r="A4669" s="5">
        <f>4662</f>
      </c>
      <c r="B4669" s="5" t="s">
        <v>4677</v>
      </c>
      <c r="C4669" s="5">
        <v>96.1</v>
      </c>
      <c r="D4669" s="5">
        <v>0.1</v>
      </c>
      <c r="E4669" s="5">
        <v>96.2</v>
      </c>
      <c r="F4669" s="5">
        <v>191.8</v>
      </c>
      <c r="G4669" s="5">
        <v>95.7</v>
      </c>
      <c r="H4669" s="5">
        <v>95.5</v>
      </c>
      <c r="I4669" s="5">
        <v>0</v>
      </c>
      <c r="J4669" s="5">
        <v>0</v>
      </c>
      <c r="K4669" s="5">
        <v>0</v>
      </c>
    </row>
    <row r="4670" spans="1:11" x14ac:dyDescent="0.25">
      <c r="A4670" s="5">
        <f>4663</f>
      </c>
      <c r="B4670" s="5" t="s">
        <v>4678</v>
      </c>
      <c r="C4670" s="5">
        <v>96.1</v>
      </c>
      <c r="D4670" s="5">
        <v>0.1</v>
      </c>
      <c r="E4670" s="5">
        <v>96.2</v>
      </c>
      <c r="F4670" s="5">
        <v>191.8</v>
      </c>
      <c r="G4670" s="5">
        <v>95.7</v>
      </c>
      <c r="H4670" s="5">
        <v>95.5</v>
      </c>
      <c r="I4670" s="5">
        <v>0</v>
      </c>
      <c r="J4670" s="5">
        <v>0</v>
      </c>
      <c r="K4670" s="5">
        <v>0</v>
      </c>
    </row>
    <row r="4671" spans="1:11" x14ac:dyDescent="0.25">
      <c r="A4671" s="5">
        <f>4664</f>
      </c>
      <c r="B4671" s="5" t="s">
        <v>4679</v>
      </c>
      <c r="C4671" s="5">
        <v>99.9</v>
      </c>
      <c r="D4671" s="5">
        <v>0.1</v>
      </c>
      <c r="E4671" s="5">
        <v>100.1</v>
      </c>
      <c r="F4671" s="5">
        <v>200.2</v>
      </c>
      <c r="G4671" s="5">
        <v>99.9</v>
      </c>
      <c r="H4671" s="5">
        <v>99.8</v>
      </c>
      <c r="I4671" s="5">
        <v>0</v>
      </c>
      <c r="J4671" s="5">
        <v>0</v>
      </c>
      <c r="K4671" s="5">
        <v>0</v>
      </c>
    </row>
    <row r="4672" spans="1:11" x14ac:dyDescent="0.25">
      <c r="A4672" s="5">
        <f>4665</f>
      </c>
      <c r="B4672" s="5" t="s">
        <v>4680</v>
      </c>
      <c r="C4672" s="5">
        <v>99.9</v>
      </c>
      <c r="D4672" s="5">
        <v>0.1</v>
      </c>
      <c r="E4672" s="5">
        <v>100.1</v>
      </c>
      <c r="F4672" s="5">
        <v>200.2</v>
      </c>
      <c r="G4672" s="5">
        <v>99.9</v>
      </c>
      <c r="H4672" s="5">
        <v>99.8</v>
      </c>
      <c r="I4672" s="5">
        <v>0</v>
      </c>
      <c r="J4672" s="5">
        <v>0</v>
      </c>
      <c r="K4672" s="5">
        <v>0</v>
      </c>
    </row>
    <row r="4673" spans="1:11" x14ac:dyDescent="0.25">
      <c r="A4673" s="5">
        <f>4666</f>
      </c>
      <c r="B4673" s="5" t="s">
        <v>4681</v>
      </c>
      <c r="C4673" s="5">
        <v>100.3</v>
      </c>
      <c r="D4673" s="5">
        <v>0.1</v>
      </c>
      <c r="E4673" s="5">
        <v>100.5</v>
      </c>
      <c r="F4673" s="5">
        <v>200.8</v>
      </c>
      <c r="G4673" s="5">
        <v>100.2</v>
      </c>
      <c r="H4673" s="5">
        <v>100.1</v>
      </c>
      <c r="I4673" s="5">
        <v>0</v>
      </c>
      <c r="J4673" s="5">
        <v>0</v>
      </c>
      <c r="K4673" s="5">
        <v>0</v>
      </c>
    </row>
    <row r="4674" spans="1:11" x14ac:dyDescent="0.25">
      <c r="A4674" s="5">
        <f>4667</f>
      </c>
      <c r="B4674" s="5" t="s">
        <v>4682</v>
      </c>
      <c r="C4674" s="5">
        <v>100.3</v>
      </c>
      <c r="D4674" s="5">
        <v>0.1</v>
      </c>
      <c r="E4674" s="5">
        <v>100.5</v>
      </c>
      <c r="F4674" s="5">
        <v>200.8</v>
      </c>
      <c r="G4674" s="5">
        <v>100.2</v>
      </c>
      <c r="H4674" s="5">
        <v>100.1</v>
      </c>
      <c r="I4674" s="5">
        <v>0</v>
      </c>
      <c r="J4674" s="5">
        <v>0</v>
      </c>
      <c r="K4674" s="5">
        <v>0</v>
      </c>
    </row>
    <row r="4675" spans="1:11" x14ac:dyDescent="0.25">
      <c r="A4675" s="5">
        <f>4668</f>
      </c>
      <c r="B4675" s="5" t="s">
        <v>4683</v>
      </c>
      <c r="C4675" s="5">
        <v>100.2</v>
      </c>
      <c r="D4675" s="5">
        <v>0.1</v>
      </c>
      <c r="E4675" s="5">
        <v>100.3</v>
      </c>
      <c r="F4675" s="5">
        <v>200.4</v>
      </c>
      <c r="G4675" s="5">
        <v>100</v>
      </c>
      <c r="H4675" s="5">
        <v>99.9</v>
      </c>
      <c r="I4675" s="5">
        <v>0</v>
      </c>
      <c r="J4675" s="5">
        <v>0</v>
      </c>
      <c r="K4675" s="5">
        <v>0</v>
      </c>
    </row>
    <row r="4676" spans="1:11" x14ac:dyDescent="0.25">
      <c r="A4676" s="5">
        <f>4669</f>
      </c>
      <c r="B4676" s="5" t="s">
        <v>4684</v>
      </c>
      <c r="C4676" s="5">
        <v>100.2</v>
      </c>
      <c r="D4676" s="5">
        <v>0.1</v>
      </c>
      <c r="E4676" s="5">
        <v>100.3</v>
      </c>
      <c r="F4676" s="5">
        <v>200.4</v>
      </c>
      <c r="G4676" s="5">
        <v>100</v>
      </c>
      <c r="H4676" s="5">
        <v>99.9</v>
      </c>
      <c r="I4676" s="5">
        <v>0</v>
      </c>
      <c r="J4676" s="5">
        <v>0</v>
      </c>
      <c r="K4676" s="5">
        <v>0</v>
      </c>
    </row>
    <row r="4677" spans="1:11" x14ac:dyDescent="0.25">
      <c r="A4677" s="5">
        <f>4670</f>
      </c>
      <c r="B4677" s="5" t="s">
        <v>4685</v>
      </c>
      <c r="C4677" s="5">
        <v>100.4</v>
      </c>
      <c r="D4677" s="5">
        <v>0.1</v>
      </c>
      <c r="E4677" s="5">
        <v>100.5</v>
      </c>
      <c r="F4677" s="5">
        <v>200.9</v>
      </c>
      <c r="G4677" s="5">
        <v>100.3</v>
      </c>
      <c r="H4677" s="5">
        <v>100.1</v>
      </c>
      <c r="I4677" s="5">
        <v>0</v>
      </c>
      <c r="J4677" s="5">
        <v>0</v>
      </c>
      <c r="K4677" s="5">
        <v>0</v>
      </c>
    </row>
    <row r="4678" spans="1:11" x14ac:dyDescent="0.25">
      <c r="A4678" s="5">
        <f>4671</f>
      </c>
      <c r="B4678" s="5" t="s">
        <v>4686</v>
      </c>
      <c r="C4678" s="5">
        <v>100.4</v>
      </c>
      <c r="D4678" s="5">
        <v>0.1</v>
      </c>
      <c r="E4678" s="5">
        <v>100.5</v>
      </c>
      <c r="F4678" s="5">
        <v>200.9</v>
      </c>
      <c r="G4678" s="5">
        <v>100.3</v>
      </c>
      <c r="H4678" s="5">
        <v>100.1</v>
      </c>
      <c r="I4678" s="5">
        <v>0</v>
      </c>
      <c r="J4678" s="5">
        <v>0</v>
      </c>
      <c r="K4678" s="5">
        <v>0</v>
      </c>
    </row>
    <row r="4679" spans="1:11" x14ac:dyDescent="0.25">
      <c r="A4679" s="5">
        <f>4672</f>
      </c>
      <c r="B4679" s="5" t="s">
        <v>4687</v>
      </c>
      <c r="C4679" s="5">
        <v>100.4</v>
      </c>
      <c r="D4679" s="5">
        <v>0.1</v>
      </c>
      <c r="E4679" s="5">
        <v>100.5</v>
      </c>
      <c r="F4679" s="5">
        <v>200.9</v>
      </c>
      <c r="G4679" s="5">
        <v>100.3</v>
      </c>
      <c r="H4679" s="5">
        <v>100.1</v>
      </c>
      <c r="I4679" s="5">
        <v>0</v>
      </c>
      <c r="J4679" s="5">
        <v>0</v>
      </c>
      <c r="K4679" s="5">
        <v>0</v>
      </c>
    </row>
    <row r="4680" spans="1:11" x14ac:dyDescent="0.25">
      <c r="A4680" s="5">
        <f>4673</f>
      </c>
      <c r="B4680" s="5" t="s">
        <v>4688</v>
      </c>
      <c r="C4680" s="5">
        <v>100.4</v>
      </c>
      <c r="D4680" s="5">
        <v>0.1</v>
      </c>
      <c r="E4680" s="5">
        <v>100.5</v>
      </c>
      <c r="F4680" s="5">
        <v>200.9</v>
      </c>
      <c r="G4680" s="5">
        <v>100.3</v>
      </c>
      <c r="H4680" s="5">
        <v>100.1</v>
      </c>
      <c r="I4680" s="5">
        <v>0</v>
      </c>
      <c r="J4680" s="5">
        <v>0</v>
      </c>
      <c r="K4680" s="5">
        <v>0</v>
      </c>
    </row>
    <row r="4681" spans="1:11" x14ac:dyDescent="0.25">
      <c r="A4681" s="5">
        <f>4674</f>
      </c>
      <c r="B4681" s="5" t="s">
        <v>4689</v>
      </c>
      <c r="C4681" s="5">
        <v>100.3</v>
      </c>
      <c r="D4681" s="5">
        <v>0.1</v>
      </c>
      <c r="E4681" s="5">
        <v>100.5</v>
      </c>
      <c r="F4681" s="5">
        <v>200.5</v>
      </c>
      <c r="G4681" s="5">
        <v>100</v>
      </c>
      <c r="H4681" s="5">
        <v>99.8</v>
      </c>
      <c r="I4681" s="5">
        <v>0</v>
      </c>
      <c r="J4681" s="5">
        <v>0</v>
      </c>
      <c r="K4681" s="5">
        <v>0</v>
      </c>
    </row>
    <row r="4682" spans="1:11" x14ac:dyDescent="0.25">
      <c r="A4682" s="5">
        <f>4675</f>
      </c>
      <c r="B4682" s="5" t="s">
        <v>4690</v>
      </c>
      <c r="C4682" s="5">
        <v>100.3</v>
      </c>
      <c r="D4682" s="5">
        <v>0.1</v>
      </c>
      <c r="E4682" s="5">
        <v>100.5</v>
      </c>
      <c r="F4682" s="5">
        <v>200.5</v>
      </c>
      <c r="G4682" s="5">
        <v>100</v>
      </c>
      <c r="H4682" s="5">
        <v>99.8</v>
      </c>
      <c r="I4682" s="5">
        <v>0</v>
      </c>
      <c r="J4682" s="5">
        <v>0</v>
      </c>
      <c r="K4682" s="5">
        <v>0</v>
      </c>
    </row>
    <row r="4683" spans="1:11" x14ac:dyDescent="0.25">
      <c r="A4683" s="5">
        <f>4676</f>
      </c>
      <c r="B4683" s="5" t="s">
        <v>4691</v>
      </c>
      <c r="C4683" s="5">
        <v>99.5</v>
      </c>
      <c r="D4683" s="5">
        <v>0.1</v>
      </c>
      <c r="E4683" s="5">
        <v>99.7</v>
      </c>
      <c r="F4683" s="5">
        <v>199.2</v>
      </c>
      <c r="G4683" s="5">
        <v>99.4</v>
      </c>
      <c r="H4683" s="5">
        <v>99.2</v>
      </c>
      <c r="I4683" s="5">
        <v>0</v>
      </c>
      <c r="J4683" s="5">
        <v>0</v>
      </c>
      <c r="K4683" s="5">
        <v>0</v>
      </c>
    </row>
    <row r="4684" spans="1:11" x14ac:dyDescent="0.25">
      <c r="A4684" s="5">
        <f>4677</f>
      </c>
      <c r="B4684" s="5" t="s">
        <v>4692</v>
      </c>
      <c r="C4684" s="5">
        <v>99.5</v>
      </c>
      <c r="D4684" s="5">
        <v>0.1</v>
      </c>
      <c r="E4684" s="5">
        <v>99.7</v>
      </c>
      <c r="F4684" s="5">
        <v>199.2</v>
      </c>
      <c r="G4684" s="5">
        <v>99.4</v>
      </c>
      <c r="H4684" s="5">
        <v>99.2</v>
      </c>
      <c r="I4684" s="5">
        <v>0</v>
      </c>
      <c r="J4684" s="5">
        <v>0</v>
      </c>
      <c r="K4684" s="5">
        <v>0</v>
      </c>
    </row>
    <row r="4685" spans="1:11" x14ac:dyDescent="0.25">
      <c r="A4685" s="5">
        <f>4678</f>
      </c>
      <c r="B4685" s="5" t="s">
        <v>4693</v>
      </c>
      <c r="C4685" s="5">
        <v>99.6</v>
      </c>
      <c r="D4685" s="5">
        <v>0.1</v>
      </c>
      <c r="E4685" s="5">
        <v>99.8</v>
      </c>
      <c r="F4685" s="5">
        <v>198.9</v>
      </c>
      <c r="G4685" s="5">
        <v>99.3</v>
      </c>
      <c r="H4685" s="5">
        <v>99.1</v>
      </c>
      <c r="I4685" s="5">
        <v>0</v>
      </c>
      <c r="J4685" s="5">
        <v>0</v>
      </c>
      <c r="K4685" s="5">
        <v>0</v>
      </c>
    </row>
    <row r="4686" spans="1:11" x14ac:dyDescent="0.25">
      <c r="A4686" s="5">
        <f>4679</f>
      </c>
      <c r="B4686" s="5" t="s">
        <v>4694</v>
      </c>
      <c r="C4686" s="5">
        <v>99.6</v>
      </c>
      <c r="D4686" s="5">
        <v>0.1</v>
      </c>
      <c r="E4686" s="5">
        <v>99.8</v>
      </c>
      <c r="F4686" s="5">
        <v>198.9</v>
      </c>
      <c r="G4686" s="5">
        <v>99.3</v>
      </c>
      <c r="H4686" s="5">
        <v>99.1</v>
      </c>
      <c r="I4686" s="5">
        <v>0</v>
      </c>
      <c r="J4686" s="5">
        <v>0</v>
      </c>
      <c r="K4686" s="5">
        <v>0</v>
      </c>
    </row>
    <row r="4687" spans="1:11" x14ac:dyDescent="0.25">
      <c r="A4687" s="5">
        <f>4680</f>
      </c>
      <c r="B4687" s="5" t="s">
        <v>4695</v>
      </c>
      <c r="C4687" s="5">
        <v>99.9</v>
      </c>
      <c r="D4687" s="5">
        <v>0.1</v>
      </c>
      <c r="E4687" s="5">
        <v>100.1</v>
      </c>
      <c r="F4687" s="5">
        <v>199.3</v>
      </c>
      <c r="G4687" s="5">
        <v>99.5</v>
      </c>
      <c r="H4687" s="5">
        <v>99.3</v>
      </c>
      <c r="I4687" s="5">
        <v>0</v>
      </c>
      <c r="J4687" s="5">
        <v>0</v>
      </c>
      <c r="K4687" s="5">
        <v>0</v>
      </c>
    </row>
    <row r="4688" spans="1:11" x14ac:dyDescent="0.25">
      <c r="A4688" s="5">
        <f>4681</f>
      </c>
      <c r="B4688" s="5" t="s">
        <v>4696</v>
      </c>
      <c r="C4688" s="5">
        <v>99.9</v>
      </c>
      <c r="D4688" s="5">
        <v>0.1</v>
      </c>
      <c r="E4688" s="5">
        <v>100.1</v>
      </c>
      <c r="F4688" s="5">
        <v>199.3</v>
      </c>
      <c r="G4688" s="5">
        <v>99.5</v>
      </c>
      <c r="H4688" s="5">
        <v>99.3</v>
      </c>
      <c r="I4688" s="5">
        <v>0</v>
      </c>
      <c r="J4688" s="5">
        <v>0</v>
      </c>
      <c r="K4688" s="5">
        <v>0</v>
      </c>
    </row>
    <row r="4689" spans="1:11" x14ac:dyDescent="0.25">
      <c r="A4689" s="5">
        <f>4682</f>
      </c>
      <c r="B4689" s="5" t="s">
        <v>4697</v>
      </c>
      <c r="C4689" s="5">
        <v>99.9</v>
      </c>
      <c r="D4689" s="5">
        <v>0.1</v>
      </c>
      <c r="E4689" s="5">
        <v>100.1</v>
      </c>
      <c r="F4689" s="5">
        <v>199.3</v>
      </c>
      <c r="G4689" s="5">
        <v>99.5</v>
      </c>
      <c r="H4689" s="5">
        <v>99.3</v>
      </c>
      <c r="I4689" s="5">
        <v>0</v>
      </c>
      <c r="J4689" s="5">
        <v>0</v>
      </c>
      <c r="K4689" s="5">
        <v>0</v>
      </c>
    </row>
    <row r="4690" spans="1:11" x14ac:dyDescent="0.25">
      <c r="A4690" s="5">
        <f>4683</f>
      </c>
      <c r="B4690" s="5" t="s">
        <v>4698</v>
      </c>
      <c r="C4690" s="5">
        <v>99.9</v>
      </c>
      <c r="D4690" s="5">
        <v>0.1</v>
      </c>
      <c r="E4690" s="5">
        <v>100.1</v>
      </c>
      <c r="F4690" s="5">
        <v>199.3</v>
      </c>
      <c r="G4690" s="5">
        <v>99.5</v>
      </c>
      <c r="H4690" s="5">
        <v>99.3</v>
      </c>
      <c r="I4690" s="5">
        <v>0</v>
      </c>
      <c r="J4690" s="5">
        <v>0</v>
      </c>
      <c r="K4690" s="5">
        <v>0</v>
      </c>
    </row>
    <row r="4691" spans="1:11" x14ac:dyDescent="0.25">
      <c r="A4691" s="5">
        <f>4684</f>
      </c>
      <c r="B4691" s="5" t="s">
        <v>4699</v>
      </c>
      <c r="C4691" s="5">
        <v>99.9</v>
      </c>
      <c r="D4691" s="5">
        <v>0.1</v>
      </c>
      <c r="E4691" s="5">
        <v>100.1</v>
      </c>
      <c r="F4691" s="5">
        <v>200</v>
      </c>
      <c r="G4691" s="5">
        <v>99.7</v>
      </c>
      <c r="H4691" s="5">
        <v>99.5</v>
      </c>
      <c r="I4691" s="5">
        <v>0</v>
      </c>
      <c r="J4691" s="5">
        <v>0</v>
      </c>
      <c r="K4691" s="5">
        <v>0</v>
      </c>
    </row>
    <row r="4692" spans="1:11" x14ac:dyDescent="0.25">
      <c r="A4692" s="5">
        <f>4685</f>
      </c>
      <c r="B4692" s="5" t="s">
        <v>4700</v>
      </c>
      <c r="C4692" s="5">
        <v>99.9</v>
      </c>
      <c r="D4692" s="5">
        <v>0.1</v>
      </c>
      <c r="E4692" s="5">
        <v>100.1</v>
      </c>
      <c r="F4692" s="5">
        <v>200</v>
      </c>
      <c r="G4692" s="5">
        <v>99.7</v>
      </c>
      <c r="H4692" s="5">
        <v>99.5</v>
      </c>
      <c r="I4692" s="5">
        <v>0</v>
      </c>
      <c r="J4692" s="5">
        <v>0</v>
      </c>
      <c r="K4692" s="5">
        <v>0</v>
      </c>
    </row>
    <row r="4693" spans="1:11" x14ac:dyDescent="0.25">
      <c r="A4693" s="5">
        <f>4686</f>
      </c>
      <c r="B4693" s="5" t="s">
        <v>4701</v>
      </c>
      <c r="C4693" s="5">
        <v>99.7</v>
      </c>
      <c r="D4693" s="5">
        <v>0.1</v>
      </c>
      <c r="E4693" s="5">
        <v>99.9</v>
      </c>
      <c r="F4693" s="5">
        <v>198.7</v>
      </c>
      <c r="G4693" s="5">
        <v>99.1</v>
      </c>
      <c r="H4693" s="5">
        <v>99</v>
      </c>
      <c r="I4693" s="5">
        <v>0</v>
      </c>
      <c r="J4693" s="5">
        <v>0</v>
      </c>
      <c r="K4693" s="5">
        <v>0</v>
      </c>
    </row>
    <row r="4694" spans="1:11" x14ac:dyDescent="0.25">
      <c r="A4694" s="5">
        <f>4687</f>
      </c>
      <c r="B4694" s="5" t="s">
        <v>4702</v>
      </c>
      <c r="C4694" s="5">
        <v>99.7</v>
      </c>
      <c r="D4694" s="5">
        <v>0.1</v>
      </c>
      <c r="E4694" s="5">
        <v>99.9</v>
      </c>
      <c r="F4694" s="5">
        <v>198.7</v>
      </c>
      <c r="G4694" s="5">
        <v>99.1</v>
      </c>
      <c r="H4694" s="5">
        <v>99</v>
      </c>
      <c r="I4694" s="5">
        <v>0</v>
      </c>
      <c r="J4694" s="5">
        <v>0</v>
      </c>
      <c r="K4694" s="5">
        <v>0</v>
      </c>
    </row>
    <row r="4695" spans="1:11" x14ac:dyDescent="0.25">
      <c r="A4695" s="5">
        <f>4688</f>
      </c>
      <c r="B4695" s="5" t="s">
        <v>4703</v>
      </c>
      <c r="C4695" s="5">
        <v>98.9</v>
      </c>
      <c r="D4695" s="5">
        <v>0.1</v>
      </c>
      <c r="E4695" s="5">
        <v>99</v>
      </c>
      <c r="F4695" s="5">
        <v>199.6</v>
      </c>
      <c r="G4695" s="5">
        <v>99.5</v>
      </c>
      <c r="H4695" s="5">
        <v>99.3</v>
      </c>
      <c r="I4695" s="5">
        <v>0</v>
      </c>
      <c r="J4695" s="5">
        <v>0</v>
      </c>
      <c r="K4695" s="5">
        <v>0</v>
      </c>
    </row>
    <row r="4696" spans="1:11" x14ac:dyDescent="0.25">
      <c r="A4696" s="5">
        <f>4689</f>
      </c>
      <c r="B4696" s="5" t="s">
        <v>4704</v>
      </c>
      <c r="C4696" s="5">
        <v>98.9</v>
      </c>
      <c r="D4696" s="5">
        <v>0.1</v>
      </c>
      <c r="E4696" s="5">
        <v>99</v>
      </c>
      <c r="F4696" s="5">
        <v>199.6</v>
      </c>
      <c r="G4696" s="5">
        <v>99.5</v>
      </c>
      <c r="H4696" s="5">
        <v>99.3</v>
      </c>
      <c r="I4696" s="5">
        <v>0</v>
      </c>
      <c r="J4696" s="5">
        <v>0</v>
      </c>
      <c r="K4696" s="5">
        <v>0</v>
      </c>
    </row>
    <row r="4697" spans="1:11" x14ac:dyDescent="0.25">
      <c r="A4697" s="5">
        <f>4690</f>
      </c>
      <c r="B4697" s="5" t="s">
        <v>4705</v>
      </c>
      <c r="C4697" s="5">
        <v>99.9</v>
      </c>
      <c r="D4697" s="5">
        <v>0.1</v>
      </c>
      <c r="E4697" s="5">
        <v>100</v>
      </c>
      <c r="F4697" s="5">
        <v>199.8</v>
      </c>
      <c r="G4697" s="5">
        <v>99.8</v>
      </c>
      <c r="H4697" s="5">
        <v>99.6</v>
      </c>
      <c r="I4697" s="5">
        <v>0</v>
      </c>
      <c r="J4697" s="5">
        <v>0</v>
      </c>
      <c r="K4697" s="5">
        <v>0</v>
      </c>
    </row>
    <row r="4698" spans="1:11" x14ac:dyDescent="0.25">
      <c r="A4698" s="5">
        <f>4691</f>
      </c>
      <c r="B4698" s="5" t="s">
        <v>4706</v>
      </c>
      <c r="C4698" s="5">
        <v>99.9</v>
      </c>
      <c r="D4698" s="5">
        <v>0.1</v>
      </c>
      <c r="E4698" s="5">
        <v>100</v>
      </c>
      <c r="F4698" s="5">
        <v>199.8</v>
      </c>
      <c r="G4698" s="5">
        <v>99.8</v>
      </c>
      <c r="H4698" s="5">
        <v>99.6</v>
      </c>
      <c r="I4698" s="5">
        <v>0</v>
      </c>
      <c r="J4698" s="5">
        <v>0</v>
      </c>
      <c r="K4698" s="5">
        <v>0</v>
      </c>
    </row>
    <row r="4699" spans="1:11" x14ac:dyDescent="0.25">
      <c r="A4699" s="5">
        <f>4692</f>
      </c>
      <c r="B4699" s="5" t="s">
        <v>4707</v>
      </c>
      <c r="C4699" s="5">
        <v>99.9</v>
      </c>
      <c r="D4699" s="5">
        <v>0.1</v>
      </c>
      <c r="E4699" s="5">
        <v>100</v>
      </c>
      <c r="F4699" s="5">
        <v>199.8</v>
      </c>
      <c r="G4699" s="5">
        <v>99.8</v>
      </c>
      <c r="H4699" s="5">
        <v>99.6</v>
      </c>
      <c r="I4699" s="5">
        <v>0</v>
      </c>
      <c r="J4699" s="5">
        <v>0</v>
      </c>
      <c r="K4699" s="5">
        <v>0</v>
      </c>
    </row>
    <row r="4700" spans="1:11" x14ac:dyDescent="0.25">
      <c r="A4700" s="5">
        <f>4693</f>
      </c>
      <c r="B4700" s="5" t="s">
        <v>4708</v>
      </c>
      <c r="C4700" s="5">
        <v>99.9</v>
      </c>
      <c r="D4700" s="5">
        <v>0.1</v>
      </c>
      <c r="E4700" s="5">
        <v>100</v>
      </c>
      <c r="F4700" s="5">
        <v>199.8</v>
      </c>
      <c r="G4700" s="5">
        <v>99.8</v>
      </c>
      <c r="H4700" s="5">
        <v>99.6</v>
      </c>
      <c r="I4700" s="5">
        <v>0</v>
      </c>
      <c r="J4700" s="5">
        <v>0</v>
      </c>
      <c r="K4700" s="5">
        <v>0</v>
      </c>
    </row>
    <row r="4701" spans="1:11" x14ac:dyDescent="0.25">
      <c r="A4701" s="5">
        <f>4694</f>
      </c>
      <c r="B4701" s="5" t="s">
        <v>4709</v>
      </c>
      <c r="C4701" s="5">
        <v>100.9</v>
      </c>
      <c r="D4701" s="5">
        <v>0.1</v>
      </c>
      <c r="E4701" s="5">
        <v>101.1</v>
      </c>
      <c r="F4701" s="5">
        <v>200.9</v>
      </c>
      <c r="G4701" s="5">
        <v>100.3</v>
      </c>
      <c r="H4701" s="5">
        <v>100.1</v>
      </c>
      <c r="I4701" s="5">
        <v>0</v>
      </c>
      <c r="J4701" s="5">
        <v>0</v>
      </c>
      <c r="K4701" s="5">
        <v>0</v>
      </c>
    </row>
    <row r="4702" spans="1:11" x14ac:dyDescent="0.25">
      <c r="A4702" s="5">
        <f>4695</f>
      </c>
      <c r="B4702" s="5" t="s">
        <v>4710</v>
      </c>
      <c r="C4702" s="5">
        <v>100.9</v>
      </c>
      <c r="D4702" s="5">
        <v>0.1</v>
      </c>
      <c r="E4702" s="5">
        <v>101.1</v>
      </c>
      <c r="F4702" s="5">
        <v>200.9</v>
      </c>
      <c r="G4702" s="5">
        <v>100.3</v>
      </c>
      <c r="H4702" s="5">
        <v>100.1</v>
      </c>
      <c r="I4702" s="5">
        <v>0</v>
      </c>
      <c r="J4702" s="5">
        <v>0</v>
      </c>
      <c r="K4702" s="5">
        <v>0</v>
      </c>
    </row>
    <row r="4703" spans="1:11" x14ac:dyDescent="0.25">
      <c r="A4703" s="5">
        <f>4696</f>
      </c>
      <c r="B4703" s="5" t="s">
        <v>4711</v>
      </c>
      <c r="C4703" s="5">
        <v>99.5</v>
      </c>
      <c r="D4703" s="5">
        <v>0.1</v>
      </c>
      <c r="E4703" s="5">
        <v>99.6</v>
      </c>
      <c r="F4703" s="5">
        <v>199.2</v>
      </c>
      <c r="G4703" s="5">
        <v>99.3</v>
      </c>
      <c r="H4703" s="5">
        <v>99.2</v>
      </c>
      <c r="I4703" s="5">
        <v>0</v>
      </c>
      <c r="J4703" s="5">
        <v>0</v>
      </c>
      <c r="K4703" s="5">
        <v>0</v>
      </c>
    </row>
    <row r="4704" spans="1:11" x14ac:dyDescent="0.25">
      <c r="A4704" s="5">
        <f>4697</f>
      </c>
      <c r="B4704" s="5" t="s">
        <v>4712</v>
      </c>
      <c r="C4704" s="5">
        <v>99.5</v>
      </c>
      <c r="D4704" s="5">
        <v>0.1</v>
      </c>
      <c r="E4704" s="5">
        <v>99.6</v>
      </c>
      <c r="F4704" s="5">
        <v>199.2</v>
      </c>
      <c r="G4704" s="5">
        <v>99.3</v>
      </c>
      <c r="H4704" s="5">
        <v>99.2</v>
      </c>
      <c r="I4704" s="5">
        <v>0</v>
      </c>
      <c r="J4704" s="5">
        <v>0</v>
      </c>
      <c r="K4704" s="5">
        <v>0</v>
      </c>
    </row>
    <row r="4705" spans="1:11" x14ac:dyDescent="0.25">
      <c r="A4705" s="5">
        <f>4698</f>
      </c>
      <c r="B4705" s="5" t="s">
        <v>4713</v>
      </c>
      <c r="C4705" s="5">
        <v>100.8</v>
      </c>
      <c r="D4705" s="5">
        <v>0.1</v>
      </c>
      <c r="E4705" s="5">
        <v>100.9</v>
      </c>
      <c r="F4705" s="5">
        <v>200.6</v>
      </c>
      <c r="G4705" s="5">
        <v>100.1</v>
      </c>
      <c r="H4705" s="5">
        <v>100</v>
      </c>
      <c r="I4705" s="5">
        <v>0</v>
      </c>
      <c r="J4705" s="5">
        <v>0</v>
      </c>
      <c r="K4705" s="5">
        <v>0</v>
      </c>
    </row>
    <row r="4706" spans="1:11" x14ac:dyDescent="0.25">
      <c r="A4706" s="5">
        <f>4699</f>
      </c>
      <c r="B4706" s="5" t="s">
        <v>4714</v>
      </c>
      <c r="C4706" s="5">
        <v>100.8</v>
      </c>
      <c r="D4706" s="5">
        <v>0.1</v>
      </c>
      <c r="E4706" s="5">
        <v>100.9</v>
      </c>
      <c r="F4706" s="5">
        <v>200.6</v>
      </c>
      <c r="G4706" s="5">
        <v>100.1</v>
      </c>
      <c r="H4706" s="5">
        <v>100</v>
      </c>
      <c r="I4706" s="5">
        <v>0</v>
      </c>
      <c r="J4706" s="5">
        <v>0</v>
      </c>
      <c r="K4706" s="5">
        <v>0</v>
      </c>
    </row>
    <row r="4707" spans="1:11" x14ac:dyDescent="0.25">
      <c r="A4707" s="5">
        <f>4700</f>
      </c>
      <c r="B4707" s="5" t="s">
        <v>4715</v>
      </c>
      <c r="C4707" s="5">
        <v>100.2</v>
      </c>
      <c r="D4707" s="5">
        <v>0.1</v>
      </c>
      <c r="E4707" s="5">
        <v>100.3</v>
      </c>
      <c r="F4707" s="5">
        <v>200</v>
      </c>
      <c r="G4707" s="5">
        <v>99.8</v>
      </c>
      <c r="H4707" s="5">
        <v>99.7</v>
      </c>
      <c r="I4707" s="5">
        <v>0</v>
      </c>
      <c r="J4707" s="5">
        <v>0</v>
      </c>
      <c r="K4707" s="5">
        <v>0</v>
      </c>
    </row>
    <row r="4708" spans="1:11" x14ac:dyDescent="0.25">
      <c r="A4708" s="5">
        <f>4701</f>
      </c>
      <c r="B4708" s="5" t="s">
        <v>4716</v>
      </c>
      <c r="C4708" s="5">
        <v>100.2</v>
      </c>
      <c r="D4708" s="5">
        <v>0.1</v>
      </c>
      <c r="E4708" s="5">
        <v>100.3</v>
      </c>
      <c r="F4708" s="5">
        <v>200</v>
      </c>
      <c r="G4708" s="5">
        <v>99.8</v>
      </c>
      <c r="H4708" s="5">
        <v>99.7</v>
      </c>
      <c r="I4708" s="5">
        <v>0</v>
      </c>
      <c r="J4708" s="5">
        <v>0</v>
      </c>
      <c r="K4708" s="5">
        <v>0</v>
      </c>
    </row>
    <row r="4709" spans="1:11" x14ac:dyDescent="0.25">
      <c r="A4709" s="5">
        <f>4702</f>
      </c>
      <c r="B4709" s="5" t="s">
        <v>4717</v>
      </c>
      <c r="C4709" s="5">
        <v>100.2</v>
      </c>
      <c r="D4709" s="5">
        <v>0.1</v>
      </c>
      <c r="E4709" s="5">
        <v>100.3</v>
      </c>
      <c r="F4709" s="5">
        <v>200</v>
      </c>
      <c r="G4709" s="5">
        <v>99.8</v>
      </c>
      <c r="H4709" s="5">
        <v>99.7</v>
      </c>
      <c r="I4709" s="5">
        <v>0</v>
      </c>
      <c r="J4709" s="5">
        <v>0</v>
      </c>
      <c r="K4709" s="5">
        <v>0</v>
      </c>
    </row>
    <row r="4710" spans="1:11" x14ac:dyDescent="0.25">
      <c r="A4710" s="5">
        <f>4703</f>
      </c>
      <c r="B4710" s="5" t="s">
        <v>4718</v>
      </c>
      <c r="C4710" s="5">
        <v>100.2</v>
      </c>
      <c r="D4710" s="5">
        <v>0.1</v>
      </c>
      <c r="E4710" s="5">
        <v>100.3</v>
      </c>
      <c r="F4710" s="5">
        <v>200</v>
      </c>
      <c r="G4710" s="5">
        <v>99.8</v>
      </c>
      <c r="H4710" s="5">
        <v>99.7</v>
      </c>
      <c r="I4710" s="5">
        <v>0</v>
      </c>
      <c r="J4710" s="5">
        <v>0</v>
      </c>
      <c r="K4710" s="5">
        <v>0</v>
      </c>
    </row>
    <row r="4711" spans="1:11" x14ac:dyDescent="0.25">
      <c r="A4711" s="5">
        <f>4704</f>
      </c>
      <c r="B4711" s="5" t="s">
        <v>4719</v>
      </c>
      <c r="C4711" s="5">
        <v>100.7</v>
      </c>
      <c r="D4711" s="5">
        <v>0.1</v>
      </c>
      <c r="E4711" s="5">
        <v>100.8</v>
      </c>
      <c r="F4711" s="5">
        <v>200.9</v>
      </c>
      <c r="G4711" s="5">
        <v>100.2</v>
      </c>
      <c r="H4711" s="5">
        <v>100.1</v>
      </c>
      <c r="I4711" s="5">
        <v>0</v>
      </c>
      <c r="J4711" s="5">
        <v>0</v>
      </c>
      <c r="K4711" s="5">
        <v>0</v>
      </c>
    </row>
    <row r="4712" spans="1:11" x14ac:dyDescent="0.25">
      <c r="A4712" s="5">
        <f>4705</f>
      </c>
      <c r="B4712" s="5" t="s">
        <v>4720</v>
      </c>
      <c r="C4712" s="5">
        <v>100.7</v>
      </c>
      <c r="D4712" s="5">
        <v>0.1</v>
      </c>
      <c r="E4712" s="5">
        <v>100.8</v>
      </c>
      <c r="F4712" s="5">
        <v>200.9</v>
      </c>
      <c r="G4712" s="5">
        <v>100.2</v>
      </c>
      <c r="H4712" s="5">
        <v>100.1</v>
      </c>
      <c r="I4712" s="5">
        <v>0</v>
      </c>
      <c r="J4712" s="5">
        <v>0</v>
      </c>
      <c r="K4712" s="5">
        <v>0</v>
      </c>
    </row>
    <row r="4713" spans="1:11" x14ac:dyDescent="0.25">
      <c r="A4713" s="5">
        <f>4706</f>
      </c>
      <c r="B4713" s="5" t="s">
        <v>4721</v>
      </c>
      <c r="C4713" s="5">
        <v>100.2</v>
      </c>
      <c r="D4713" s="5">
        <v>0.1</v>
      </c>
      <c r="E4713" s="5">
        <v>100.4</v>
      </c>
      <c r="F4713" s="5">
        <v>199.8</v>
      </c>
      <c r="G4713" s="5">
        <v>99.7</v>
      </c>
      <c r="H4713" s="5">
        <v>99.5</v>
      </c>
      <c r="I4713" s="5">
        <v>0</v>
      </c>
      <c r="J4713" s="5">
        <v>0</v>
      </c>
      <c r="K4713" s="5">
        <v>0</v>
      </c>
    </row>
    <row r="4714" spans="1:11" x14ac:dyDescent="0.25">
      <c r="A4714" s="5">
        <f>4707</f>
      </c>
      <c r="B4714" s="5" t="s">
        <v>4722</v>
      </c>
      <c r="C4714" s="5">
        <v>100.2</v>
      </c>
      <c r="D4714" s="5">
        <v>0.1</v>
      </c>
      <c r="E4714" s="5">
        <v>100.4</v>
      </c>
      <c r="F4714" s="5">
        <v>199.8</v>
      </c>
      <c r="G4714" s="5">
        <v>99.7</v>
      </c>
      <c r="H4714" s="5">
        <v>99.5</v>
      </c>
      <c r="I4714" s="5">
        <v>0</v>
      </c>
      <c r="J4714" s="5">
        <v>0</v>
      </c>
      <c r="K4714" s="5">
        <v>0</v>
      </c>
    </row>
    <row r="4715" spans="1:11" x14ac:dyDescent="0.25">
      <c r="A4715" s="5">
        <f>4708</f>
      </c>
      <c r="B4715" s="5" t="s">
        <v>4723</v>
      </c>
      <c r="C4715" s="5">
        <v>100.5</v>
      </c>
      <c r="D4715" s="5">
        <v>0.1</v>
      </c>
      <c r="E4715" s="5">
        <v>100.6</v>
      </c>
      <c r="F4715" s="5">
        <v>200.4</v>
      </c>
      <c r="G4715" s="5">
        <v>99.9</v>
      </c>
      <c r="H4715" s="5">
        <v>99.8</v>
      </c>
      <c r="I4715" s="5">
        <v>0</v>
      </c>
      <c r="J4715" s="5">
        <v>0</v>
      </c>
      <c r="K4715" s="5">
        <v>0</v>
      </c>
    </row>
    <row r="4716" spans="1:11" x14ac:dyDescent="0.25">
      <c r="A4716" s="5">
        <f>4709</f>
      </c>
      <c r="B4716" s="5" t="s">
        <v>4724</v>
      </c>
      <c r="C4716" s="5">
        <v>100.5</v>
      </c>
      <c r="D4716" s="5">
        <v>0.1</v>
      </c>
      <c r="E4716" s="5">
        <v>100.6</v>
      </c>
      <c r="F4716" s="5">
        <v>200.4</v>
      </c>
      <c r="G4716" s="5">
        <v>99.9</v>
      </c>
      <c r="H4716" s="5">
        <v>99.8</v>
      </c>
      <c r="I4716" s="5">
        <v>0</v>
      </c>
      <c r="J4716" s="5">
        <v>0</v>
      </c>
      <c r="K4716" s="5">
        <v>0</v>
      </c>
    </row>
    <row r="4717" spans="1:11" x14ac:dyDescent="0.25">
      <c r="A4717" s="5">
        <f>4710</f>
      </c>
      <c r="B4717" s="5" t="s">
        <v>4725</v>
      </c>
      <c r="C4717" s="5">
        <v>100.1</v>
      </c>
      <c r="D4717" s="5">
        <v>0.1</v>
      </c>
      <c r="E4717" s="5">
        <v>100.2</v>
      </c>
      <c r="F4717" s="5">
        <v>200.1</v>
      </c>
      <c r="G4717" s="5">
        <v>99.9</v>
      </c>
      <c r="H4717" s="5">
        <v>99.9</v>
      </c>
      <c r="I4717" s="5">
        <v>0</v>
      </c>
      <c r="J4717" s="5">
        <v>0</v>
      </c>
      <c r="K4717" s="5">
        <v>0</v>
      </c>
    </row>
    <row r="4718" spans="1:11" x14ac:dyDescent="0.25">
      <c r="A4718" s="5">
        <f>4711</f>
      </c>
      <c r="B4718" s="5" t="s">
        <v>4726</v>
      </c>
      <c r="C4718" s="5">
        <v>100.1</v>
      </c>
      <c r="D4718" s="5">
        <v>0.1</v>
      </c>
      <c r="E4718" s="5">
        <v>100.2</v>
      </c>
      <c r="F4718" s="5">
        <v>200.1</v>
      </c>
      <c r="G4718" s="5">
        <v>99.9</v>
      </c>
      <c r="H4718" s="5">
        <v>99.9</v>
      </c>
      <c r="I4718" s="5">
        <v>0</v>
      </c>
      <c r="J4718" s="5">
        <v>0</v>
      </c>
      <c r="K4718" s="5">
        <v>0</v>
      </c>
    </row>
    <row r="4719" spans="1:11" x14ac:dyDescent="0.25">
      <c r="A4719" s="5">
        <f>4712</f>
      </c>
      <c r="B4719" s="5" t="s">
        <v>4727</v>
      </c>
      <c r="C4719" s="5">
        <v>100.1</v>
      </c>
      <c r="D4719" s="5">
        <v>0.1</v>
      </c>
      <c r="E4719" s="5">
        <v>100.2</v>
      </c>
      <c r="F4719" s="5">
        <v>200.1</v>
      </c>
      <c r="G4719" s="5">
        <v>99.9</v>
      </c>
      <c r="H4719" s="5">
        <v>99.9</v>
      </c>
      <c r="I4719" s="5">
        <v>0</v>
      </c>
      <c r="J4719" s="5">
        <v>0</v>
      </c>
      <c r="K4719" s="5">
        <v>0</v>
      </c>
    </row>
    <row r="4720" spans="1:11" x14ac:dyDescent="0.25">
      <c r="A4720" s="5">
        <f>4713</f>
      </c>
      <c r="B4720" s="5" t="s">
        <v>4728</v>
      </c>
      <c r="C4720" s="5">
        <v>100.1</v>
      </c>
      <c r="D4720" s="5">
        <v>0.1</v>
      </c>
      <c r="E4720" s="5">
        <v>100.2</v>
      </c>
      <c r="F4720" s="5">
        <v>200.1</v>
      </c>
      <c r="G4720" s="5">
        <v>99.9</v>
      </c>
      <c r="H4720" s="5">
        <v>99.9</v>
      </c>
      <c r="I4720" s="5">
        <v>0</v>
      </c>
      <c r="J4720" s="5">
        <v>0</v>
      </c>
      <c r="K4720" s="5">
        <v>0</v>
      </c>
    </row>
    <row r="4721" spans="1:11" x14ac:dyDescent="0.25">
      <c r="A4721" s="5">
        <f>4714</f>
      </c>
      <c r="B4721" s="5" t="s">
        <v>4729</v>
      </c>
      <c r="C4721" s="5">
        <v>101.3</v>
      </c>
      <c r="D4721" s="5">
        <v>0.1</v>
      </c>
      <c r="E4721" s="5">
        <v>101.5</v>
      </c>
      <c r="F4721" s="5">
        <v>202</v>
      </c>
      <c r="G4721" s="5">
        <v>100.7</v>
      </c>
      <c r="H4721" s="5">
        <v>100.6</v>
      </c>
      <c r="I4721" s="5">
        <v>0</v>
      </c>
      <c r="J4721" s="5">
        <v>0</v>
      </c>
      <c r="K4721" s="5">
        <v>0</v>
      </c>
    </row>
    <row r="4722" spans="1:11" x14ac:dyDescent="0.25">
      <c r="A4722" s="5">
        <f>4715</f>
      </c>
      <c r="B4722" s="5" t="s">
        <v>4730</v>
      </c>
      <c r="C4722" s="5">
        <v>101.3</v>
      </c>
      <c r="D4722" s="5">
        <v>0.1</v>
      </c>
      <c r="E4722" s="5">
        <v>101.5</v>
      </c>
      <c r="F4722" s="5">
        <v>202</v>
      </c>
      <c r="G4722" s="5">
        <v>100.7</v>
      </c>
      <c r="H4722" s="5">
        <v>100.6</v>
      </c>
      <c r="I4722" s="5">
        <v>0</v>
      </c>
      <c r="J4722" s="5">
        <v>0</v>
      </c>
      <c r="K4722" s="5">
        <v>0</v>
      </c>
    </row>
    <row r="4723" spans="1:11" x14ac:dyDescent="0.25">
      <c r="A4723" s="5">
        <f>4716</f>
      </c>
      <c r="B4723" s="5" t="s">
        <v>4731</v>
      </c>
      <c r="C4723" s="5">
        <v>100.6</v>
      </c>
      <c r="D4723" s="5">
        <v>0.1</v>
      </c>
      <c r="E4723" s="5">
        <v>100.8</v>
      </c>
      <c r="F4723" s="5">
        <v>200.7</v>
      </c>
      <c r="G4723" s="5">
        <v>100.1</v>
      </c>
      <c r="H4723" s="5">
        <v>100</v>
      </c>
      <c r="I4723" s="5">
        <v>0</v>
      </c>
      <c r="J4723" s="5">
        <v>0</v>
      </c>
      <c r="K4723" s="5">
        <v>0</v>
      </c>
    </row>
    <row r="4724" spans="1:11" x14ac:dyDescent="0.25">
      <c r="A4724" s="5">
        <f>4717</f>
      </c>
      <c r="B4724" s="5" t="s">
        <v>4732</v>
      </c>
      <c r="C4724" s="5">
        <v>100.6</v>
      </c>
      <c r="D4724" s="5">
        <v>0.1</v>
      </c>
      <c r="E4724" s="5">
        <v>100.8</v>
      </c>
      <c r="F4724" s="5">
        <v>200.7</v>
      </c>
      <c r="G4724" s="5">
        <v>100.1</v>
      </c>
      <c r="H4724" s="5">
        <v>100</v>
      </c>
      <c r="I4724" s="5">
        <v>0</v>
      </c>
      <c r="J4724" s="5">
        <v>0</v>
      </c>
      <c r="K4724" s="5">
        <v>0</v>
      </c>
    </row>
    <row r="4725" spans="1:11" x14ac:dyDescent="0.25">
      <c r="A4725" s="5">
        <f>4718</f>
      </c>
      <c r="B4725" s="5" t="s">
        <v>4733</v>
      </c>
      <c r="C4725" s="5">
        <v>100.8</v>
      </c>
      <c r="D4725" s="5">
        <v>0.1</v>
      </c>
      <c r="E4725" s="5">
        <v>100.9</v>
      </c>
      <c r="F4725" s="5">
        <v>201.1</v>
      </c>
      <c r="G4725" s="5">
        <v>100.3</v>
      </c>
      <c r="H4725" s="5">
        <v>100.2</v>
      </c>
      <c r="I4725" s="5">
        <v>0</v>
      </c>
      <c r="J4725" s="5">
        <v>0</v>
      </c>
      <c r="K4725" s="5">
        <v>0</v>
      </c>
    </row>
    <row r="4726" spans="1:11" x14ac:dyDescent="0.25">
      <c r="A4726" s="5">
        <f>4719</f>
      </c>
      <c r="B4726" s="5" t="s">
        <v>4734</v>
      </c>
      <c r="C4726" s="5">
        <v>100.8</v>
      </c>
      <c r="D4726" s="5">
        <v>0.1</v>
      </c>
      <c r="E4726" s="5">
        <v>100.9</v>
      </c>
      <c r="F4726" s="5">
        <v>201.1</v>
      </c>
      <c r="G4726" s="5">
        <v>100.3</v>
      </c>
      <c r="H4726" s="5">
        <v>100.2</v>
      </c>
      <c r="I4726" s="5">
        <v>0</v>
      </c>
      <c r="J4726" s="5">
        <v>0</v>
      </c>
      <c r="K4726" s="5">
        <v>0</v>
      </c>
    </row>
    <row r="4727" spans="1:11" x14ac:dyDescent="0.25">
      <c r="A4727" s="5">
        <f>4720</f>
      </c>
      <c r="B4727" s="5" t="s">
        <v>4735</v>
      </c>
      <c r="C4727" s="5">
        <v>100.4</v>
      </c>
      <c r="D4727" s="5">
        <v>0.1</v>
      </c>
      <c r="E4727" s="5">
        <v>100.5</v>
      </c>
      <c r="F4727" s="5">
        <v>200.9</v>
      </c>
      <c r="G4727" s="5">
        <v>100.2</v>
      </c>
      <c r="H4727" s="5">
        <v>100.1</v>
      </c>
      <c r="I4727" s="5">
        <v>0</v>
      </c>
      <c r="J4727" s="5">
        <v>0</v>
      </c>
      <c r="K4727" s="5">
        <v>0</v>
      </c>
    </row>
    <row r="4728" spans="1:11" x14ac:dyDescent="0.25">
      <c r="A4728" s="5">
        <f>4721</f>
      </c>
      <c r="B4728" s="5" t="s">
        <v>4736</v>
      </c>
      <c r="C4728" s="5">
        <v>100.4</v>
      </c>
      <c r="D4728" s="5">
        <v>0.1</v>
      </c>
      <c r="E4728" s="5">
        <v>100.5</v>
      </c>
      <c r="F4728" s="5">
        <v>200.9</v>
      </c>
      <c r="G4728" s="5">
        <v>100.2</v>
      </c>
      <c r="H4728" s="5">
        <v>100.1</v>
      </c>
      <c r="I4728" s="5">
        <v>0</v>
      </c>
      <c r="J4728" s="5">
        <v>0</v>
      </c>
      <c r="K4728" s="5">
        <v>0</v>
      </c>
    </row>
    <row r="4729" spans="1:11" x14ac:dyDescent="0.25">
      <c r="A4729" s="5">
        <f>4722</f>
      </c>
      <c r="B4729" s="5" t="s">
        <v>4737</v>
      </c>
      <c r="C4729" s="5">
        <v>100.4</v>
      </c>
      <c r="D4729" s="5">
        <v>0.1</v>
      </c>
      <c r="E4729" s="5">
        <v>100.5</v>
      </c>
      <c r="F4729" s="5">
        <v>200.9</v>
      </c>
      <c r="G4729" s="5">
        <v>100.2</v>
      </c>
      <c r="H4729" s="5">
        <v>100.1</v>
      </c>
      <c r="I4729" s="5">
        <v>0</v>
      </c>
      <c r="J4729" s="5">
        <v>0</v>
      </c>
      <c r="K4729" s="5">
        <v>0</v>
      </c>
    </row>
    <row r="4730" spans="1:11" x14ac:dyDescent="0.25">
      <c r="A4730" s="5">
        <f>4723</f>
      </c>
      <c r="B4730" s="5" t="s">
        <v>4738</v>
      </c>
      <c r="C4730" s="5">
        <v>100.4</v>
      </c>
      <c r="D4730" s="5">
        <v>0.1</v>
      </c>
      <c r="E4730" s="5">
        <v>100.5</v>
      </c>
      <c r="F4730" s="5">
        <v>200.9</v>
      </c>
      <c r="G4730" s="5">
        <v>100.2</v>
      </c>
      <c r="H4730" s="5">
        <v>100.1</v>
      </c>
      <c r="I4730" s="5">
        <v>0</v>
      </c>
      <c r="J4730" s="5">
        <v>0</v>
      </c>
      <c r="K4730" s="5">
        <v>0</v>
      </c>
    </row>
    <row r="4731" spans="1:11" x14ac:dyDescent="0.25">
      <c r="A4731" s="5">
        <f>4724</f>
      </c>
      <c r="B4731" s="5" t="s">
        <v>4739</v>
      </c>
      <c r="C4731" s="5">
        <v>99.9</v>
      </c>
      <c r="D4731" s="5">
        <v>0.1</v>
      </c>
      <c r="E4731" s="5">
        <v>100</v>
      </c>
      <c r="F4731" s="5">
        <v>200.1</v>
      </c>
      <c r="G4731" s="5">
        <v>99.9</v>
      </c>
      <c r="H4731" s="5">
        <v>99.8</v>
      </c>
      <c r="I4731" s="5">
        <v>0</v>
      </c>
      <c r="J4731" s="5">
        <v>0</v>
      </c>
      <c r="K4731" s="5">
        <v>0</v>
      </c>
    </row>
    <row r="4732" spans="1:11" x14ac:dyDescent="0.25">
      <c r="A4732" s="5">
        <f>4725</f>
      </c>
      <c r="B4732" s="5" t="s">
        <v>4740</v>
      </c>
      <c r="C4732" s="5">
        <v>99.9</v>
      </c>
      <c r="D4732" s="5">
        <v>0.1</v>
      </c>
      <c r="E4732" s="5">
        <v>100</v>
      </c>
      <c r="F4732" s="5">
        <v>200.1</v>
      </c>
      <c r="G4732" s="5">
        <v>99.9</v>
      </c>
      <c r="H4732" s="5">
        <v>99.8</v>
      </c>
      <c r="I4732" s="5">
        <v>0</v>
      </c>
      <c r="J4732" s="5">
        <v>0</v>
      </c>
      <c r="K4732" s="5">
        <v>0</v>
      </c>
    </row>
    <row r="4733" spans="1:11" x14ac:dyDescent="0.25">
      <c r="A4733" s="5">
        <f>4726</f>
      </c>
      <c r="B4733" s="5" t="s">
        <v>4741</v>
      </c>
      <c r="C4733" s="5">
        <v>100.5</v>
      </c>
      <c r="D4733" s="5">
        <v>0.1</v>
      </c>
      <c r="E4733" s="5">
        <v>100.5</v>
      </c>
      <c r="F4733" s="5">
        <v>200.8</v>
      </c>
      <c r="G4733" s="5">
        <v>100.1</v>
      </c>
      <c r="H4733" s="5">
        <v>99.3</v>
      </c>
      <c r="I4733" s="5">
        <v>0</v>
      </c>
      <c r="J4733" s="5">
        <v>0</v>
      </c>
      <c r="K4733" s="5">
        <v>0</v>
      </c>
    </row>
    <row r="4734" spans="1:11" x14ac:dyDescent="0.25">
      <c r="A4734" s="5">
        <f>4727</f>
      </c>
      <c r="B4734" s="5" t="s">
        <v>4742</v>
      </c>
      <c r="C4734" s="5">
        <v>100.5</v>
      </c>
      <c r="D4734" s="5">
        <v>0.1</v>
      </c>
      <c r="E4734" s="5">
        <v>100.5</v>
      </c>
      <c r="F4734" s="5">
        <v>200.8</v>
      </c>
      <c r="G4734" s="5">
        <v>100.1</v>
      </c>
      <c r="H4734" s="5">
        <v>99.3</v>
      </c>
      <c r="I4734" s="5">
        <v>0</v>
      </c>
      <c r="J4734" s="5">
        <v>0</v>
      </c>
      <c r="K4734" s="5">
        <v>0</v>
      </c>
    </row>
    <row r="4735" spans="1:11" x14ac:dyDescent="0.25">
      <c r="A4735" s="5">
        <f>4728</f>
      </c>
      <c r="B4735" s="5" t="s">
        <v>4743</v>
      </c>
      <c r="C4735" s="5">
        <v>100.1</v>
      </c>
      <c r="D4735" s="5">
        <v>0.1</v>
      </c>
      <c r="E4735" s="5">
        <v>100.2</v>
      </c>
      <c r="F4735" s="5">
        <v>200.3</v>
      </c>
      <c r="G4735" s="5">
        <v>99.9</v>
      </c>
      <c r="H4735" s="5">
        <v>100</v>
      </c>
      <c r="I4735" s="5">
        <v>0</v>
      </c>
      <c r="J4735" s="5">
        <v>0</v>
      </c>
      <c r="K4735" s="5">
        <v>0</v>
      </c>
    </row>
    <row r="4736" spans="1:11" x14ac:dyDescent="0.25">
      <c r="A4736" s="5">
        <f>4729</f>
      </c>
      <c r="B4736" s="5" t="s">
        <v>4744</v>
      </c>
      <c r="C4736" s="5">
        <v>100.1</v>
      </c>
      <c r="D4736" s="5">
        <v>0.1</v>
      </c>
      <c r="E4736" s="5">
        <v>100.2</v>
      </c>
      <c r="F4736" s="5">
        <v>200.3</v>
      </c>
      <c r="G4736" s="5">
        <v>99.9</v>
      </c>
      <c r="H4736" s="5">
        <v>100</v>
      </c>
      <c r="I4736" s="5">
        <v>0</v>
      </c>
      <c r="J4736" s="5">
        <v>0</v>
      </c>
      <c r="K4736" s="5">
        <v>0</v>
      </c>
    </row>
    <row r="4737" spans="1:11" x14ac:dyDescent="0.25">
      <c r="A4737" s="5">
        <f>4730</f>
      </c>
      <c r="B4737" s="5" t="s">
        <v>4745</v>
      </c>
      <c r="C4737" s="5">
        <v>100.5</v>
      </c>
      <c r="D4737" s="5">
        <v>0</v>
      </c>
      <c r="E4737" s="5">
        <v>100.6</v>
      </c>
      <c r="F4737" s="5">
        <v>200.7</v>
      </c>
      <c r="G4737" s="5">
        <v>100.2</v>
      </c>
      <c r="H4737" s="5">
        <v>100</v>
      </c>
      <c r="I4737" s="5">
        <v>0</v>
      </c>
      <c r="J4737" s="5">
        <v>0</v>
      </c>
      <c r="K4737" s="5">
        <v>0</v>
      </c>
    </row>
    <row r="4738" spans="1:11" x14ac:dyDescent="0.25">
      <c r="A4738" s="5">
        <f>4731</f>
      </c>
      <c r="B4738" s="5" t="s">
        <v>4746</v>
      </c>
      <c r="C4738" s="5">
        <v>100.5</v>
      </c>
      <c r="D4738" s="5">
        <v>0</v>
      </c>
      <c r="E4738" s="5">
        <v>100.6</v>
      </c>
      <c r="F4738" s="5">
        <v>200.7</v>
      </c>
      <c r="G4738" s="5">
        <v>100.2</v>
      </c>
      <c r="H4738" s="5">
        <v>100</v>
      </c>
      <c r="I4738" s="5">
        <v>0</v>
      </c>
      <c r="J4738" s="5">
        <v>0</v>
      </c>
      <c r="K4738" s="5">
        <v>0</v>
      </c>
    </row>
    <row r="4739" spans="1:11" x14ac:dyDescent="0.25">
      <c r="A4739" s="5">
        <f>4732</f>
      </c>
      <c r="B4739" s="5" t="s">
        <v>4747</v>
      </c>
      <c r="C4739" s="5">
        <v>100.5</v>
      </c>
      <c r="D4739" s="5">
        <v>0</v>
      </c>
      <c r="E4739" s="5">
        <v>100.6</v>
      </c>
      <c r="F4739" s="5">
        <v>200.7</v>
      </c>
      <c r="G4739" s="5">
        <v>100.2</v>
      </c>
      <c r="H4739" s="5">
        <v>100</v>
      </c>
      <c r="I4739" s="5">
        <v>0</v>
      </c>
      <c r="J4739" s="5">
        <v>0</v>
      </c>
      <c r="K4739" s="5">
        <v>0</v>
      </c>
    </row>
    <row r="4740" spans="1:11" x14ac:dyDescent="0.25">
      <c r="A4740" s="5">
        <f>4733</f>
      </c>
      <c r="B4740" s="5" t="s">
        <v>4748</v>
      </c>
      <c r="C4740" s="5">
        <v>100.5</v>
      </c>
      <c r="D4740" s="5">
        <v>0</v>
      </c>
      <c r="E4740" s="5">
        <v>100.6</v>
      </c>
      <c r="F4740" s="5">
        <v>200.7</v>
      </c>
      <c r="G4740" s="5">
        <v>100.2</v>
      </c>
      <c r="H4740" s="5">
        <v>100</v>
      </c>
      <c r="I4740" s="5">
        <v>0</v>
      </c>
      <c r="J4740" s="5">
        <v>0</v>
      </c>
      <c r="K4740" s="5">
        <v>0</v>
      </c>
    </row>
    <row r="4741" spans="1:11" x14ac:dyDescent="0.25">
      <c r="A4741" s="5">
        <f>4734</f>
      </c>
      <c r="B4741" s="5" t="s">
        <v>4749</v>
      </c>
      <c r="C4741" s="5">
        <v>100.2</v>
      </c>
      <c r="D4741" s="5">
        <v>0.1</v>
      </c>
      <c r="E4741" s="5">
        <v>100.4</v>
      </c>
      <c r="F4741" s="5">
        <v>201.3</v>
      </c>
      <c r="G4741" s="5">
        <v>100.4</v>
      </c>
      <c r="H4741" s="5">
        <v>100.3</v>
      </c>
      <c r="I4741" s="5">
        <v>0</v>
      </c>
      <c r="J4741" s="5">
        <v>0</v>
      </c>
      <c r="K4741" s="5">
        <v>0</v>
      </c>
    </row>
    <row r="4742" spans="1:11" x14ac:dyDescent="0.25">
      <c r="A4742" s="5">
        <f>4735</f>
      </c>
      <c r="B4742" s="5" t="s">
        <v>4750</v>
      </c>
      <c r="C4742" s="5">
        <v>100.2</v>
      </c>
      <c r="D4742" s="5">
        <v>0.1</v>
      </c>
      <c r="E4742" s="5">
        <v>100.4</v>
      </c>
      <c r="F4742" s="5">
        <v>201.3</v>
      </c>
      <c r="G4742" s="5">
        <v>100.4</v>
      </c>
      <c r="H4742" s="5">
        <v>100.3</v>
      </c>
      <c r="I4742" s="5">
        <v>0</v>
      </c>
      <c r="J4742" s="5">
        <v>0</v>
      </c>
      <c r="K4742" s="5">
        <v>0</v>
      </c>
    </row>
    <row r="4743" spans="1:11" x14ac:dyDescent="0.25">
      <c r="A4743" s="5">
        <f>4736</f>
      </c>
      <c r="B4743" s="5" t="s">
        <v>4751</v>
      </c>
      <c r="C4743" s="5">
        <v>100.4</v>
      </c>
      <c r="D4743" s="5">
        <v>0.1</v>
      </c>
      <c r="E4743" s="5">
        <v>100.5</v>
      </c>
      <c r="F4743" s="5">
        <v>199.4</v>
      </c>
      <c r="G4743" s="5">
        <v>99.6</v>
      </c>
      <c r="H4743" s="5">
        <v>99.7</v>
      </c>
      <c r="I4743" s="5">
        <v>0</v>
      </c>
      <c r="J4743" s="5">
        <v>0</v>
      </c>
      <c r="K4743" s="5">
        <v>0</v>
      </c>
    </row>
    <row r="4744" spans="1:11" x14ac:dyDescent="0.25">
      <c r="A4744" s="5">
        <f>4737</f>
      </c>
      <c r="B4744" s="5" t="s">
        <v>4752</v>
      </c>
      <c r="C4744" s="5">
        <v>100.4</v>
      </c>
      <c r="D4744" s="5">
        <v>0.1</v>
      </c>
      <c r="E4744" s="5">
        <v>100.5</v>
      </c>
      <c r="F4744" s="5">
        <v>199.4</v>
      </c>
      <c r="G4744" s="5">
        <v>99.6</v>
      </c>
      <c r="H4744" s="5">
        <v>99.7</v>
      </c>
      <c r="I4744" s="5">
        <v>0</v>
      </c>
      <c r="J4744" s="5">
        <v>0</v>
      </c>
      <c r="K4744" s="5">
        <v>0</v>
      </c>
    </row>
    <row r="4745" spans="1:11" x14ac:dyDescent="0.25">
      <c r="A4745" s="5">
        <f>4738</f>
      </c>
      <c r="B4745" s="5" t="s">
        <v>4753</v>
      </c>
      <c r="C4745" s="5">
        <v>102.8</v>
      </c>
      <c r="D4745" s="5">
        <v>0.1</v>
      </c>
      <c r="E4745" s="5">
        <v>103</v>
      </c>
      <c r="F4745" s="5">
        <v>205.1</v>
      </c>
      <c r="G4745" s="5">
        <v>102.3</v>
      </c>
      <c r="H4745" s="5">
        <v>102.1</v>
      </c>
      <c r="I4745" s="5">
        <v>0</v>
      </c>
      <c r="J4745" s="5">
        <v>0</v>
      </c>
      <c r="K4745" s="5">
        <v>0</v>
      </c>
    </row>
    <row r="4746" spans="1:11" x14ac:dyDescent="0.25">
      <c r="A4746" s="5">
        <f>4739</f>
      </c>
      <c r="B4746" s="5" t="s">
        <v>4754</v>
      </c>
      <c r="C4746" s="5">
        <v>102.8</v>
      </c>
      <c r="D4746" s="5">
        <v>0.1</v>
      </c>
      <c r="E4746" s="5">
        <v>103</v>
      </c>
      <c r="F4746" s="5">
        <v>205.1</v>
      </c>
      <c r="G4746" s="5">
        <v>102.3</v>
      </c>
      <c r="H4746" s="5">
        <v>102.1</v>
      </c>
      <c r="I4746" s="5">
        <v>0</v>
      </c>
      <c r="J4746" s="5">
        <v>0</v>
      </c>
      <c r="K4746" s="5">
        <v>0</v>
      </c>
    </row>
    <row r="4747" spans="1:11" x14ac:dyDescent="0.25">
      <c r="A4747" s="5">
        <f>4740</f>
      </c>
      <c r="B4747" s="5" t="s">
        <v>4755</v>
      </c>
      <c r="C4747" s="5">
        <v>103.1</v>
      </c>
      <c r="D4747" s="5">
        <v>0.1</v>
      </c>
      <c r="E4747" s="5">
        <v>103.1</v>
      </c>
      <c r="F4747" s="5">
        <v>205.1</v>
      </c>
      <c r="G4747" s="5">
        <v>102.3</v>
      </c>
      <c r="H4747" s="5">
        <v>102.2</v>
      </c>
      <c r="I4747" s="5">
        <v>0</v>
      </c>
      <c r="J4747" s="5">
        <v>0</v>
      </c>
      <c r="K4747" s="5">
        <v>0</v>
      </c>
    </row>
    <row r="4748" spans="1:11" x14ac:dyDescent="0.25">
      <c r="A4748" s="5">
        <f>4741</f>
      </c>
      <c r="B4748" s="5" t="s">
        <v>4756</v>
      </c>
      <c r="C4748" s="5">
        <v>103.1</v>
      </c>
      <c r="D4748" s="5">
        <v>0.1</v>
      </c>
      <c r="E4748" s="5">
        <v>103.1</v>
      </c>
      <c r="F4748" s="5">
        <v>205.1</v>
      </c>
      <c r="G4748" s="5">
        <v>102.3</v>
      </c>
      <c r="H4748" s="5">
        <v>102.2</v>
      </c>
      <c r="I4748" s="5">
        <v>0</v>
      </c>
      <c r="J4748" s="5">
        <v>0</v>
      </c>
      <c r="K4748" s="5">
        <v>0</v>
      </c>
    </row>
    <row r="4749" spans="1:11" x14ac:dyDescent="0.25">
      <c r="A4749" s="5">
        <f>4742</f>
      </c>
      <c r="B4749" s="5" t="s">
        <v>4757</v>
      </c>
      <c r="C4749" s="5">
        <v>103.1</v>
      </c>
      <c r="D4749" s="5">
        <v>0.1</v>
      </c>
      <c r="E4749" s="5">
        <v>103.1</v>
      </c>
      <c r="F4749" s="5">
        <v>205.1</v>
      </c>
      <c r="G4749" s="5">
        <v>102.3</v>
      </c>
      <c r="H4749" s="5">
        <v>102.2</v>
      </c>
      <c r="I4749" s="5">
        <v>0</v>
      </c>
      <c r="J4749" s="5">
        <v>0</v>
      </c>
      <c r="K4749" s="5">
        <v>0</v>
      </c>
    </row>
    <row r="4750" spans="1:11" x14ac:dyDescent="0.25">
      <c r="A4750" s="5">
        <f>4743</f>
      </c>
      <c r="B4750" s="5" t="s">
        <v>4758</v>
      </c>
      <c r="C4750" s="5">
        <v>103.1</v>
      </c>
      <c r="D4750" s="5">
        <v>0.1</v>
      </c>
      <c r="E4750" s="5">
        <v>103.3</v>
      </c>
      <c r="F4750" s="5">
        <v>206.2</v>
      </c>
      <c r="G4750" s="5">
        <v>102.9</v>
      </c>
      <c r="H4750" s="5">
        <v>102.7</v>
      </c>
      <c r="I4750" s="5">
        <v>0</v>
      </c>
      <c r="J4750" s="5">
        <v>0</v>
      </c>
      <c r="K4750" s="5">
        <v>0</v>
      </c>
    </row>
    <row r="4751" spans="1:11" x14ac:dyDescent="0.25">
      <c r="A4751" s="5">
        <f>4744</f>
      </c>
      <c r="B4751" s="5" t="s">
        <v>4759</v>
      </c>
      <c r="C4751" s="5">
        <v>103.1</v>
      </c>
      <c r="D4751" s="5">
        <v>0.1</v>
      </c>
      <c r="E4751" s="5">
        <v>103.3</v>
      </c>
      <c r="F4751" s="5">
        <v>206.2</v>
      </c>
      <c r="G4751" s="5">
        <v>102.9</v>
      </c>
      <c r="H4751" s="5">
        <v>102.7</v>
      </c>
      <c r="I4751" s="5">
        <v>0</v>
      </c>
      <c r="J4751" s="5">
        <v>0</v>
      </c>
      <c r="K4751" s="5">
        <v>0</v>
      </c>
    </row>
    <row r="4752" spans="1:11" x14ac:dyDescent="0.25">
      <c r="A4752" s="5">
        <f>4745</f>
      </c>
      <c r="B4752" s="5" t="s">
        <v>4760</v>
      </c>
      <c r="C4752" s="5">
        <v>103.1</v>
      </c>
      <c r="D4752" s="5">
        <v>0.1</v>
      </c>
      <c r="E4752" s="5">
        <v>103.3</v>
      </c>
      <c r="F4752" s="5">
        <v>206.2</v>
      </c>
      <c r="G4752" s="5">
        <v>102.9</v>
      </c>
      <c r="H4752" s="5">
        <v>102.7</v>
      </c>
      <c r="I4752" s="5">
        <v>0</v>
      </c>
      <c r="J4752" s="5">
        <v>0</v>
      </c>
      <c r="K4752" s="5">
        <v>0</v>
      </c>
    </row>
    <row r="4753" spans="1:11" x14ac:dyDescent="0.25">
      <c r="A4753" s="5">
        <f>4746</f>
      </c>
      <c r="B4753" s="5" t="s">
        <v>4761</v>
      </c>
      <c r="C4753" s="5">
        <v>102.7</v>
      </c>
      <c r="D4753" s="5">
        <v>0.1</v>
      </c>
      <c r="E4753" s="5">
        <v>102.9</v>
      </c>
      <c r="F4753" s="5">
        <v>205.2</v>
      </c>
      <c r="G4753" s="5">
        <v>102.4</v>
      </c>
      <c r="H4753" s="5">
        <v>102.2</v>
      </c>
      <c r="I4753" s="5">
        <v>0</v>
      </c>
      <c r="J4753" s="5">
        <v>0</v>
      </c>
      <c r="K4753" s="5">
        <v>0</v>
      </c>
    </row>
    <row r="4754" spans="1:11" x14ac:dyDescent="0.25">
      <c r="A4754" s="5">
        <f>4747</f>
      </c>
      <c r="B4754" s="5" t="s">
        <v>4762</v>
      </c>
      <c r="C4754" s="5">
        <v>102.7</v>
      </c>
      <c r="D4754" s="5">
        <v>0.1</v>
      </c>
      <c r="E4754" s="5">
        <v>102.9</v>
      </c>
      <c r="F4754" s="5">
        <v>205.2</v>
      </c>
      <c r="G4754" s="5">
        <v>102.4</v>
      </c>
      <c r="H4754" s="5">
        <v>102.2</v>
      </c>
      <c r="I4754" s="5">
        <v>0</v>
      </c>
      <c r="J4754" s="5">
        <v>0</v>
      </c>
      <c r="K4754" s="5">
        <v>0</v>
      </c>
    </row>
    <row r="4755" spans="1:11" x14ac:dyDescent="0.25">
      <c r="A4755" s="5">
        <f>4748</f>
      </c>
      <c r="B4755" s="5" t="s">
        <v>4763</v>
      </c>
      <c r="C4755" s="5">
        <v>103.1</v>
      </c>
      <c r="D4755" s="5">
        <v>0.1</v>
      </c>
      <c r="E4755" s="5">
        <v>103.2</v>
      </c>
      <c r="F4755" s="5">
        <v>205.9</v>
      </c>
      <c r="G4755" s="5">
        <v>102.7</v>
      </c>
      <c r="H4755" s="5">
        <v>102.6</v>
      </c>
      <c r="I4755" s="5">
        <v>0</v>
      </c>
      <c r="J4755" s="5">
        <v>0</v>
      </c>
      <c r="K4755" s="5">
        <v>0</v>
      </c>
    </row>
    <row r="4756" spans="1:11" x14ac:dyDescent="0.25">
      <c r="A4756" s="5">
        <f>4749</f>
      </c>
      <c r="B4756" s="5" t="s">
        <v>4764</v>
      </c>
      <c r="C4756" s="5">
        <v>103.1</v>
      </c>
      <c r="D4756" s="5">
        <v>0.1</v>
      </c>
      <c r="E4756" s="5">
        <v>103.2</v>
      </c>
      <c r="F4756" s="5">
        <v>205.9</v>
      </c>
      <c r="G4756" s="5">
        <v>102.7</v>
      </c>
      <c r="H4756" s="5">
        <v>102.6</v>
      </c>
      <c r="I4756" s="5">
        <v>0</v>
      </c>
      <c r="J4756" s="5">
        <v>0</v>
      </c>
      <c r="K4756" s="5">
        <v>0</v>
      </c>
    </row>
    <row r="4757" spans="1:11" x14ac:dyDescent="0.25">
      <c r="A4757" s="5">
        <f>4750</f>
      </c>
      <c r="B4757" s="5" t="s">
        <v>4765</v>
      </c>
      <c r="C4757" s="5">
        <v>102.6</v>
      </c>
      <c r="D4757" s="5">
        <v>0.1</v>
      </c>
      <c r="E4757" s="5">
        <v>102.7</v>
      </c>
      <c r="F4757" s="5">
        <v>205.4</v>
      </c>
      <c r="G4757" s="5">
        <v>102.5</v>
      </c>
      <c r="H4757" s="5">
        <v>102.3</v>
      </c>
      <c r="I4757" s="5">
        <v>0</v>
      </c>
      <c r="J4757" s="5">
        <v>0</v>
      </c>
      <c r="K4757" s="5">
        <v>0</v>
      </c>
    </row>
    <row r="4758" spans="1:11" x14ac:dyDescent="0.25">
      <c r="A4758" s="5">
        <f>4751</f>
      </c>
      <c r="B4758" s="5" t="s">
        <v>4766</v>
      </c>
      <c r="C4758" s="5">
        <v>102.6</v>
      </c>
      <c r="D4758" s="5">
        <v>0.1</v>
      </c>
      <c r="E4758" s="5">
        <v>102.7</v>
      </c>
      <c r="F4758" s="5">
        <v>205.4</v>
      </c>
      <c r="G4758" s="5">
        <v>102.5</v>
      </c>
      <c r="H4758" s="5">
        <v>102.3</v>
      </c>
      <c r="I4758" s="5">
        <v>0</v>
      </c>
      <c r="J4758" s="5">
        <v>0</v>
      </c>
      <c r="K4758" s="5">
        <v>0</v>
      </c>
    </row>
    <row r="4759" spans="1:11" x14ac:dyDescent="0.25">
      <c r="A4759" s="5">
        <f>4752</f>
      </c>
      <c r="B4759" s="5" t="s">
        <v>4767</v>
      </c>
      <c r="C4759" s="5">
        <v>102.6</v>
      </c>
      <c r="D4759" s="5">
        <v>0.1</v>
      </c>
      <c r="E4759" s="5">
        <v>102.7</v>
      </c>
      <c r="F4759" s="5">
        <v>205.4</v>
      </c>
      <c r="G4759" s="5">
        <v>102.5</v>
      </c>
      <c r="H4759" s="5">
        <v>102.3</v>
      </c>
      <c r="I4759" s="5">
        <v>0</v>
      </c>
      <c r="J4759" s="5">
        <v>0</v>
      </c>
      <c r="K4759" s="5">
        <v>0</v>
      </c>
    </row>
    <row r="4760" spans="1:11" x14ac:dyDescent="0.25">
      <c r="A4760" s="5">
        <f>4753</f>
      </c>
      <c r="B4760" s="5" t="s">
        <v>4768</v>
      </c>
      <c r="C4760" s="5">
        <v>102.6</v>
      </c>
      <c r="D4760" s="5">
        <v>0.1</v>
      </c>
      <c r="E4760" s="5">
        <v>102.7</v>
      </c>
      <c r="F4760" s="5">
        <v>205.3</v>
      </c>
      <c r="G4760" s="5">
        <v>102.4</v>
      </c>
      <c r="H4760" s="5">
        <v>102.3</v>
      </c>
      <c r="I4760" s="5">
        <v>0</v>
      </c>
      <c r="J4760" s="5">
        <v>0</v>
      </c>
      <c r="K4760" s="5">
        <v>0</v>
      </c>
    </row>
    <row r="4761" spans="1:11" x14ac:dyDescent="0.25">
      <c r="A4761" s="5">
        <f>4754</f>
      </c>
      <c r="B4761" s="5" t="s">
        <v>4769</v>
      </c>
      <c r="C4761" s="5">
        <v>102.6</v>
      </c>
      <c r="D4761" s="5">
        <v>0.1</v>
      </c>
      <c r="E4761" s="5">
        <v>102.7</v>
      </c>
      <c r="F4761" s="5">
        <v>205.3</v>
      </c>
      <c r="G4761" s="5">
        <v>102.4</v>
      </c>
      <c r="H4761" s="5">
        <v>102.3</v>
      </c>
      <c r="I4761" s="5">
        <v>0</v>
      </c>
      <c r="J4761" s="5">
        <v>0</v>
      </c>
      <c r="K4761" s="5">
        <v>0</v>
      </c>
    </row>
    <row r="4762" spans="1:11" x14ac:dyDescent="0.25">
      <c r="A4762" s="5">
        <f>4755</f>
      </c>
      <c r="B4762" s="5" t="s">
        <v>4770</v>
      </c>
      <c r="C4762" s="5">
        <v>103.1</v>
      </c>
      <c r="D4762" s="5">
        <v>0.1</v>
      </c>
      <c r="E4762" s="5">
        <v>103.2</v>
      </c>
      <c r="F4762" s="5">
        <v>205.4</v>
      </c>
      <c r="G4762" s="5">
        <v>102.5</v>
      </c>
      <c r="H4762" s="5">
        <v>102.4</v>
      </c>
      <c r="I4762" s="5">
        <v>0</v>
      </c>
      <c r="J4762" s="5">
        <v>0</v>
      </c>
      <c r="K4762" s="5">
        <v>0</v>
      </c>
    </row>
    <row r="4763" spans="1:11" x14ac:dyDescent="0.25">
      <c r="A4763" s="5">
        <f>4756</f>
      </c>
      <c r="B4763" s="5" t="s">
        <v>4771</v>
      </c>
      <c r="C4763" s="5">
        <v>103.1</v>
      </c>
      <c r="D4763" s="5">
        <v>0.1</v>
      </c>
      <c r="E4763" s="5">
        <v>103.2</v>
      </c>
      <c r="F4763" s="5">
        <v>205.4</v>
      </c>
      <c r="G4763" s="5">
        <v>102.5</v>
      </c>
      <c r="H4763" s="5">
        <v>102.4</v>
      </c>
      <c r="I4763" s="5">
        <v>0</v>
      </c>
      <c r="J4763" s="5">
        <v>0</v>
      </c>
      <c r="K4763" s="5">
        <v>0</v>
      </c>
    </row>
    <row r="4764" spans="1:11" x14ac:dyDescent="0.25">
      <c r="A4764" s="5">
        <f>4757</f>
      </c>
      <c r="B4764" s="5" t="s">
        <v>4772</v>
      </c>
      <c r="C4764" s="5">
        <v>103.1</v>
      </c>
      <c r="D4764" s="5">
        <v>0.1</v>
      </c>
      <c r="E4764" s="5">
        <v>103.3</v>
      </c>
      <c r="F4764" s="5">
        <v>205.9</v>
      </c>
      <c r="G4764" s="5">
        <v>102.8</v>
      </c>
      <c r="H4764" s="5">
        <v>102.6</v>
      </c>
      <c r="I4764" s="5">
        <v>0</v>
      </c>
      <c r="J4764" s="5">
        <v>0</v>
      </c>
      <c r="K4764" s="5">
        <v>0</v>
      </c>
    </row>
    <row r="4765" spans="1:11" x14ac:dyDescent="0.25">
      <c r="A4765" s="5">
        <f>4758</f>
      </c>
      <c r="B4765" s="5" t="s">
        <v>4773</v>
      </c>
      <c r="C4765" s="5">
        <v>103.1</v>
      </c>
      <c r="D4765" s="5">
        <v>0.1</v>
      </c>
      <c r="E4765" s="5">
        <v>103.3</v>
      </c>
      <c r="F4765" s="5">
        <v>205.9</v>
      </c>
      <c r="G4765" s="5">
        <v>102.8</v>
      </c>
      <c r="H4765" s="5">
        <v>102.6</v>
      </c>
      <c r="I4765" s="5">
        <v>0</v>
      </c>
      <c r="J4765" s="5">
        <v>0</v>
      </c>
      <c r="K4765" s="5">
        <v>0</v>
      </c>
    </row>
    <row r="4766" spans="1:11" x14ac:dyDescent="0.25">
      <c r="A4766" s="5">
        <f>4759</f>
      </c>
      <c r="B4766" s="5" t="s">
        <v>4774</v>
      </c>
      <c r="C4766" s="5">
        <v>103.5</v>
      </c>
      <c r="D4766" s="5">
        <v>0.1</v>
      </c>
      <c r="E4766" s="5">
        <v>103.7</v>
      </c>
      <c r="F4766" s="5">
        <v>207</v>
      </c>
      <c r="G4766" s="5">
        <v>103.3</v>
      </c>
      <c r="H4766" s="5">
        <v>103.1</v>
      </c>
      <c r="I4766" s="5">
        <v>0</v>
      </c>
      <c r="J4766" s="5">
        <v>0</v>
      </c>
      <c r="K4766" s="5">
        <v>0</v>
      </c>
    </row>
    <row r="4767" spans="1:11" x14ac:dyDescent="0.25">
      <c r="A4767" s="5">
        <f>4760</f>
      </c>
      <c r="B4767" s="5" t="s">
        <v>4775</v>
      </c>
      <c r="C4767" s="5">
        <v>103.5</v>
      </c>
      <c r="D4767" s="5">
        <v>0.1</v>
      </c>
      <c r="E4767" s="5">
        <v>103.7</v>
      </c>
      <c r="F4767" s="5">
        <v>207</v>
      </c>
      <c r="G4767" s="5">
        <v>103.3</v>
      </c>
      <c r="H4767" s="5">
        <v>103.1</v>
      </c>
      <c r="I4767" s="5">
        <v>0</v>
      </c>
      <c r="J4767" s="5">
        <v>0</v>
      </c>
      <c r="K4767" s="5">
        <v>0</v>
      </c>
    </row>
    <row r="4768" spans="1:11" x14ac:dyDescent="0.25">
      <c r="A4768" s="5">
        <f>4761</f>
      </c>
      <c r="B4768" s="5" t="s">
        <v>4776</v>
      </c>
      <c r="C4768" s="5">
        <v>103.5</v>
      </c>
      <c r="D4768" s="5">
        <v>0.1</v>
      </c>
      <c r="E4768" s="5">
        <v>103.7</v>
      </c>
      <c r="F4768" s="5">
        <v>207</v>
      </c>
      <c r="G4768" s="5">
        <v>103.3</v>
      </c>
      <c r="H4768" s="5">
        <v>103.1</v>
      </c>
      <c r="I4768" s="5">
        <v>0</v>
      </c>
      <c r="J4768" s="5">
        <v>0</v>
      </c>
      <c r="K4768" s="5">
        <v>0</v>
      </c>
    </row>
    <row r="4769" spans="1:11" x14ac:dyDescent="0.25">
      <c r="A4769" s="5">
        <f>4762</f>
      </c>
      <c r="B4769" s="5" t="s">
        <v>4777</v>
      </c>
      <c r="C4769" s="5">
        <v>103.5</v>
      </c>
      <c r="D4769" s="5">
        <v>0.1</v>
      </c>
      <c r="E4769" s="5">
        <v>103.7</v>
      </c>
      <c r="F4769" s="5">
        <v>207</v>
      </c>
      <c r="G4769" s="5">
        <v>103.3</v>
      </c>
      <c r="H4769" s="5">
        <v>103.1</v>
      </c>
      <c r="I4769" s="5">
        <v>0</v>
      </c>
      <c r="J4769" s="5">
        <v>0</v>
      </c>
      <c r="K4769" s="5">
        <v>0</v>
      </c>
    </row>
    <row r="4770" spans="1:11" x14ac:dyDescent="0.25">
      <c r="A4770" s="5">
        <f>4763</f>
      </c>
      <c r="B4770" s="5" t="s">
        <v>4778</v>
      </c>
      <c r="C4770" s="5">
        <v>103.1</v>
      </c>
      <c r="D4770" s="5">
        <v>0.1</v>
      </c>
      <c r="E4770" s="5">
        <v>103.2</v>
      </c>
      <c r="F4770" s="5">
        <v>206.1</v>
      </c>
      <c r="G4770" s="5">
        <v>102.8</v>
      </c>
      <c r="H4770" s="5">
        <v>102.6</v>
      </c>
      <c r="I4770" s="5">
        <v>0</v>
      </c>
      <c r="J4770" s="5">
        <v>0</v>
      </c>
      <c r="K4770" s="5">
        <v>0</v>
      </c>
    </row>
    <row r="4771" spans="1:11" x14ac:dyDescent="0.25">
      <c r="A4771" s="5">
        <f>4764</f>
      </c>
      <c r="B4771" s="5" t="s">
        <v>4779</v>
      </c>
      <c r="C4771" s="5">
        <v>103.1</v>
      </c>
      <c r="D4771" s="5">
        <v>0.1</v>
      </c>
      <c r="E4771" s="5">
        <v>103.2</v>
      </c>
      <c r="F4771" s="5">
        <v>206.1</v>
      </c>
      <c r="G4771" s="5">
        <v>102.8</v>
      </c>
      <c r="H4771" s="5">
        <v>102.6</v>
      </c>
      <c r="I4771" s="5">
        <v>0</v>
      </c>
      <c r="J4771" s="5">
        <v>0</v>
      </c>
      <c r="K4771" s="5">
        <v>0</v>
      </c>
    </row>
    <row r="4772" spans="1:11" x14ac:dyDescent="0.25">
      <c r="A4772" s="5">
        <f>4765</f>
      </c>
      <c r="B4772" s="5" t="s">
        <v>4780</v>
      </c>
      <c r="C4772" s="5">
        <v>103.4</v>
      </c>
      <c r="D4772" s="5">
        <v>0.1</v>
      </c>
      <c r="E4772" s="5">
        <v>103.5</v>
      </c>
      <c r="F4772" s="5">
        <v>206.6</v>
      </c>
      <c r="G4772" s="5">
        <v>102.8</v>
      </c>
      <c r="H4772" s="5">
        <v>102.6</v>
      </c>
      <c r="I4772" s="5">
        <v>0</v>
      </c>
      <c r="J4772" s="5">
        <v>0</v>
      </c>
      <c r="K4772" s="5">
        <v>0</v>
      </c>
    </row>
    <row r="4773" spans="1:11" x14ac:dyDescent="0.25">
      <c r="A4773" s="5">
        <f>4766</f>
      </c>
      <c r="B4773" s="5" t="s">
        <v>4781</v>
      </c>
      <c r="C4773" s="5">
        <v>103.4</v>
      </c>
      <c r="D4773" s="5">
        <v>0.1</v>
      </c>
      <c r="E4773" s="5">
        <v>103.5</v>
      </c>
      <c r="F4773" s="5">
        <v>206.6</v>
      </c>
      <c r="G4773" s="5">
        <v>103.1</v>
      </c>
      <c r="H4773" s="5">
        <v>103</v>
      </c>
      <c r="I4773" s="5">
        <v>0</v>
      </c>
      <c r="J4773" s="5">
        <v>0</v>
      </c>
      <c r="K4773" s="5">
        <v>0</v>
      </c>
    </row>
    <row r="4774" spans="1:11" x14ac:dyDescent="0.25">
      <c r="A4774" s="5">
        <f>4767</f>
      </c>
      <c r="B4774" s="5" t="s">
        <v>4782</v>
      </c>
      <c r="C4774" s="5">
        <v>102.5</v>
      </c>
      <c r="D4774" s="5">
        <v>0.1</v>
      </c>
      <c r="E4774" s="5">
        <v>102.7</v>
      </c>
      <c r="F4774" s="5">
        <v>206.6</v>
      </c>
      <c r="G4774" s="5">
        <v>103.1</v>
      </c>
      <c r="H4774" s="5">
        <v>103</v>
      </c>
      <c r="I4774" s="5">
        <v>0</v>
      </c>
      <c r="J4774" s="5">
        <v>0</v>
      </c>
      <c r="K4774" s="5">
        <v>0</v>
      </c>
    </row>
    <row r="4775" spans="1:11" x14ac:dyDescent="0.25">
      <c r="A4775" s="5">
        <f>4768</f>
      </c>
      <c r="B4775" s="5" t="s">
        <v>4783</v>
      </c>
      <c r="C4775" s="5">
        <v>102.5</v>
      </c>
      <c r="D4775" s="5">
        <v>0.1</v>
      </c>
      <c r="E4775" s="5">
        <v>102.7</v>
      </c>
      <c r="F4775" s="5">
        <v>204.9</v>
      </c>
      <c r="G4775" s="5">
        <v>102.3</v>
      </c>
      <c r="H4775" s="5">
        <v>102.1</v>
      </c>
      <c r="I4775" s="5">
        <v>0</v>
      </c>
      <c r="J4775" s="5">
        <v>0</v>
      </c>
      <c r="K4775" s="5">
        <v>0</v>
      </c>
    </row>
    <row r="4776" spans="1:11" x14ac:dyDescent="0.25">
      <c r="A4776" s="5">
        <f>4769</f>
      </c>
      <c r="B4776" s="5" t="s">
        <v>4784</v>
      </c>
      <c r="C4776" s="5">
        <v>102.5</v>
      </c>
      <c r="D4776" s="5">
        <v>0.1</v>
      </c>
      <c r="E4776" s="5">
        <v>102.7</v>
      </c>
      <c r="F4776" s="5">
        <v>204.9</v>
      </c>
      <c r="G4776" s="5">
        <v>102.3</v>
      </c>
      <c r="H4776" s="5">
        <v>102.1</v>
      </c>
      <c r="I4776" s="5">
        <v>0</v>
      </c>
      <c r="J4776" s="5">
        <v>0</v>
      </c>
      <c r="K4776" s="5">
        <v>0</v>
      </c>
    </row>
    <row r="4777" spans="1:11" x14ac:dyDescent="0.25">
      <c r="A4777" s="5">
        <f>4770</f>
      </c>
      <c r="B4777" s="5" t="s">
        <v>4785</v>
      </c>
      <c r="C4777" s="5">
        <v>104</v>
      </c>
      <c r="D4777" s="5">
        <v>0.1</v>
      </c>
      <c r="E4777" s="5">
        <v>104.1</v>
      </c>
      <c r="F4777" s="5">
        <v>207.4</v>
      </c>
      <c r="G4777" s="5">
        <v>103.5</v>
      </c>
      <c r="H4777" s="5">
        <v>103.3</v>
      </c>
      <c r="I4777" s="5">
        <v>0</v>
      </c>
      <c r="J4777" s="5">
        <v>0</v>
      </c>
      <c r="K4777" s="5">
        <v>0</v>
      </c>
    </row>
    <row r="4778" spans="1:11" x14ac:dyDescent="0.25">
      <c r="A4778" s="5">
        <f>4771</f>
      </c>
      <c r="B4778" s="5" t="s">
        <v>4786</v>
      </c>
      <c r="C4778" s="5">
        <v>104</v>
      </c>
      <c r="D4778" s="5">
        <v>0.1</v>
      </c>
      <c r="E4778" s="5">
        <v>104.1</v>
      </c>
      <c r="F4778" s="5">
        <v>207.4</v>
      </c>
      <c r="G4778" s="5">
        <v>103.5</v>
      </c>
      <c r="H4778" s="5">
        <v>103.3</v>
      </c>
      <c r="I4778" s="5">
        <v>0</v>
      </c>
      <c r="J4778" s="5">
        <v>0</v>
      </c>
      <c r="K4778" s="5">
        <v>0</v>
      </c>
    </row>
    <row r="4779" spans="1:11" x14ac:dyDescent="0.25">
      <c r="A4779" s="5">
        <f>4772</f>
      </c>
      <c r="B4779" s="5" t="s">
        <v>4787</v>
      </c>
      <c r="C4779" s="5">
        <v>104</v>
      </c>
      <c r="D4779" s="5">
        <v>0.1</v>
      </c>
      <c r="E4779" s="5">
        <v>104.1</v>
      </c>
      <c r="F4779" s="5">
        <v>207.4</v>
      </c>
      <c r="G4779" s="5">
        <v>103.5</v>
      </c>
      <c r="H4779" s="5">
        <v>103.3</v>
      </c>
      <c r="I4779" s="5">
        <v>0</v>
      </c>
      <c r="J4779" s="5">
        <v>0</v>
      </c>
      <c r="K4779" s="5">
        <v>0</v>
      </c>
    </row>
    <row r="4780" spans="1:11" x14ac:dyDescent="0.25">
      <c r="A4780" s="5">
        <f>4773</f>
      </c>
      <c r="B4780" s="5" t="s">
        <v>4788</v>
      </c>
      <c r="C4780" s="5">
        <v>104</v>
      </c>
      <c r="D4780" s="5">
        <v>0.1</v>
      </c>
      <c r="E4780" s="5">
        <v>102.1</v>
      </c>
      <c r="F4780" s="5">
        <v>195.5</v>
      </c>
      <c r="G4780" s="5">
        <v>97.5</v>
      </c>
      <c r="H4780" s="5">
        <v>97.5</v>
      </c>
      <c r="I4780" s="5">
        <v>0</v>
      </c>
      <c r="J4780" s="5">
        <v>0</v>
      </c>
      <c r="K4780" s="5">
        <v>0</v>
      </c>
    </row>
    <row r="4781" spans="1:11" x14ac:dyDescent="0.25">
      <c r="A4781" s="5">
        <f>4774</f>
      </c>
      <c r="B4781" s="5" t="s">
        <v>4789</v>
      </c>
      <c r="C4781" s="5">
        <v>102</v>
      </c>
      <c r="D4781" s="5">
        <v>0.1</v>
      </c>
      <c r="E4781" s="5">
        <v>102.1</v>
      </c>
      <c r="F4781" s="5">
        <v>195.5</v>
      </c>
      <c r="G4781" s="5">
        <v>97.5</v>
      </c>
      <c r="H4781" s="5">
        <v>97.5</v>
      </c>
      <c r="I4781" s="5">
        <v>0</v>
      </c>
      <c r="J4781" s="5">
        <v>0</v>
      </c>
      <c r="K4781" s="5">
        <v>0</v>
      </c>
    </row>
    <row r="4782" spans="1:11" x14ac:dyDescent="0.25">
      <c r="A4782" s="5">
        <f>4775</f>
      </c>
      <c r="B4782" s="5" t="s">
        <v>4790</v>
      </c>
      <c r="C4782" s="5">
        <v>102</v>
      </c>
      <c r="D4782" s="5">
        <v>0.1</v>
      </c>
      <c r="E4782" s="5">
        <v>102.1</v>
      </c>
      <c r="F4782" s="5">
        <v>203.1</v>
      </c>
      <c r="G4782" s="5">
        <v>101.6</v>
      </c>
      <c r="H4782" s="5">
        <v>101.6</v>
      </c>
      <c r="I4782" s="5">
        <v>0</v>
      </c>
      <c r="J4782" s="5">
        <v>0</v>
      </c>
      <c r="K4782" s="5">
        <v>0</v>
      </c>
    </row>
    <row r="4783" spans="1:11" x14ac:dyDescent="0.25">
      <c r="A4783" s="5">
        <f>4776</f>
      </c>
      <c r="B4783" s="5" t="s">
        <v>4791</v>
      </c>
      <c r="C4783" s="5">
        <v>103</v>
      </c>
      <c r="D4783" s="5">
        <v>0.1</v>
      </c>
      <c r="E4783" s="5">
        <v>103.1</v>
      </c>
      <c r="F4783" s="5">
        <v>203.1</v>
      </c>
      <c r="G4783" s="5">
        <v>101.6</v>
      </c>
      <c r="H4783" s="5">
        <v>101.6</v>
      </c>
      <c r="I4783" s="5">
        <v>0</v>
      </c>
      <c r="J4783" s="5">
        <v>0</v>
      </c>
      <c r="K4783" s="5">
        <v>0</v>
      </c>
    </row>
    <row r="4784" spans="1:11" x14ac:dyDescent="0.25">
      <c r="A4784" s="5">
        <f>4777</f>
      </c>
      <c r="B4784" s="5" t="s">
        <v>4792</v>
      </c>
      <c r="C4784" s="5">
        <v>103</v>
      </c>
      <c r="D4784" s="5">
        <v>0.1</v>
      </c>
      <c r="E4784" s="5">
        <v>103.1</v>
      </c>
      <c r="F4784" s="5">
        <v>203.1</v>
      </c>
      <c r="G4784" s="5">
        <v>103</v>
      </c>
      <c r="H4784" s="5">
        <v>102.7</v>
      </c>
      <c r="I4784" s="5">
        <v>0</v>
      </c>
      <c r="J4784" s="5">
        <v>0</v>
      </c>
      <c r="K4784" s="5">
        <v>0</v>
      </c>
    </row>
    <row r="4785" spans="1:11" x14ac:dyDescent="0.25">
      <c r="A4785" s="5">
        <f>4778</f>
      </c>
      <c r="B4785" s="5" t="s">
        <v>4793</v>
      </c>
      <c r="C4785" s="5">
        <v>98.4</v>
      </c>
      <c r="D4785" s="5">
        <v>0.1</v>
      </c>
      <c r="E4785" s="5">
        <v>98.5</v>
      </c>
      <c r="F4785" s="5">
        <v>206.4</v>
      </c>
      <c r="G4785" s="5">
        <v>103</v>
      </c>
      <c r="H4785" s="5">
        <v>102.7</v>
      </c>
      <c r="I4785" s="5">
        <v>0</v>
      </c>
      <c r="J4785" s="5">
        <v>0</v>
      </c>
      <c r="K4785" s="5">
        <v>0</v>
      </c>
    </row>
    <row r="4786" spans="1:11" x14ac:dyDescent="0.25">
      <c r="A4786" s="5">
        <f>4779</f>
      </c>
      <c r="B4786" s="5" t="s">
        <v>4794</v>
      </c>
      <c r="C4786" s="5">
        <v>98.4</v>
      </c>
      <c r="D4786" s="5">
        <v>0.1</v>
      </c>
      <c r="E4786" s="5">
        <v>98.5</v>
      </c>
      <c r="F4786" s="5">
        <v>206.4</v>
      </c>
      <c r="G4786" s="5">
        <v>99.2</v>
      </c>
      <c r="H4786" s="5">
        <v>98.9</v>
      </c>
      <c r="I4786" s="5">
        <v>0</v>
      </c>
      <c r="J4786" s="5">
        <v>0</v>
      </c>
      <c r="K4786" s="5">
        <v>0</v>
      </c>
    </row>
    <row r="4787" spans="1:11" x14ac:dyDescent="0.25">
      <c r="A4787" s="5">
        <f>4780</f>
      </c>
      <c r="B4787" s="5" t="s">
        <v>4795</v>
      </c>
      <c r="C4787" s="5">
        <v>96.6</v>
      </c>
      <c r="D4787" s="5">
        <v>0.1</v>
      </c>
      <c r="E4787" s="5">
        <v>96.7</v>
      </c>
      <c r="F4787" s="5">
        <v>199.2</v>
      </c>
      <c r="G4787" s="5">
        <v>99.2</v>
      </c>
      <c r="H4787" s="5">
        <v>98.9</v>
      </c>
      <c r="I4787" s="5">
        <v>0</v>
      </c>
      <c r="J4787" s="5">
        <v>0</v>
      </c>
      <c r="K4787" s="5">
        <v>0</v>
      </c>
    </row>
    <row r="4788" spans="1:11" x14ac:dyDescent="0.25">
      <c r="A4788" s="5">
        <f>4781</f>
      </c>
      <c r="B4788" s="5" t="s">
        <v>4796</v>
      </c>
      <c r="C4788" s="5">
        <v>96.6</v>
      </c>
      <c r="D4788" s="5">
        <v>0.1</v>
      </c>
      <c r="E4788" s="5">
        <v>96.7</v>
      </c>
      <c r="F4788" s="5">
        <v>199.2</v>
      </c>
      <c r="G4788" s="5">
        <v>99.2</v>
      </c>
      <c r="H4788" s="5">
        <v>98.9</v>
      </c>
      <c r="I4788" s="5">
        <v>0</v>
      </c>
      <c r="J4788" s="5">
        <v>0</v>
      </c>
      <c r="K4788" s="5">
        <v>0</v>
      </c>
    </row>
    <row r="4789" spans="1:11" x14ac:dyDescent="0.25">
      <c r="A4789" s="5">
        <f>4782</f>
      </c>
      <c r="B4789" s="5" t="s">
        <v>4797</v>
      </c>
      <c r="C4789" s="5">
        <v>96.6</v>
      </c>
      <c r="D4789" s="5">
        <v>0.1</v>
      </c>
      <c r="E4789" s="5">
        <v>96.7</v>
      </c>
      <c r="F4789" s="5">
        <v>199.2</v>
      </c>
      <c r="G4789" s="5">
        <v>99.2</v>
      </c>
      <c r="H4789" s="5">
        <v>98.9</v>
      </c>
      <c r="I4789" s="5">
        <v>0</v>
      </c>
      <c r="J4789" s="5">
        <v>0</v>
      </c>
      <c r="K4789" s="5">
        <v>0</v>
      </c>
    </row>
    <row r="4790" spans="1:11" x14ac:dyDescent="0.25">
      <c r="A4790" s="5">
        <f>4783</f>
      </c>
      <c r="B4790" s="5" t="s">
        <v>4798</v>
      </c>
      <c r="C4790" s="5">
        <v>103.6</v>
      </c>
      <c r="D4790" s="5">
        <v>0.1</v>
      </c>
      <c r="E4790" s="5">
        <v>103.7</v>
      </c>
      <c r="F4790" s="5">
        <v>206.9</v>
      </c>
      <c r="G4790" s="5">
        <v>103.2</v>
      </c>
      <c r="H4790" s="5">
        <v>103.1</v>
      </c>
      <c r="I4790" s="5">
        <v>0</v>
      </c>
      <c r="J4790" s="5">
        <v>0</v>
      </c>
      <c r="K4790" s="5">
        <v>0</v>
      </c>
    </row>
    <row r="4791" spans="1:11" x14ac:dyDescent="0.25">
      <c r="A4791" s="5">
        <f>4784</f>
      </c>
      <c r="B4791" s="5" t="s">
        <v>4799</v>
      </c>
      <c r="C4791" s="5">
        <v>103.6</v>
      </c>
      <c r="D4791" s="5">
        <v>0.1</v>
      </c>
      <c r="E4791" s="5">
        <v>103.7</v>
      </c>
      <c r="F4791" s="5">
        <v>206.9</v>
      </c>
      <c r="G4791" s="5">
        <v>103.2</v>
      </c>
      <c r="H4791" s="5">
        <v>103.1</v>
      </c>
      <c r="I4791" s="5">
        <v>0</v>
      </c>
      <c r="J4791" s="5">
        <v>0</v>
      </c>
      <c r="K4791" s="5">
        <v>0</v>
      </c>
    </row>
    <row r="4792" spans="1:11" x14ac:dyDescent="0.25">
      <c r="A4792" s="5">
        <f>4785</f>
      </c>
      <c r="B4792" s="5" t="s">
        <v>4800</v>
      </c>
      <c r="C4792" s="5">
        <v>103</v>
      </c>
      <c r="D4792" s="5">
        <v>0.1</v>
      </c>
      <c r="E4792" s="5">
        <v>103.1</v>
      </c>
      <c r="F4792" s="5">
        <v>205.6</v>
      </c>
      <c r="G4792" s="5">
        <v>102.6</v>
      </c>
      <c r="H4792" s="5">
        <v>102.4</v>
      </c>
      <c r="I4792" s="5">
        <v>0</v>
      </c>
      <c r="J4792" s="5">
        <v>0</v>
      </c>
      <c r="K4792" s="5">
        <v>0</v>
      </c>
    </row>
    <row r="4793" spans="1:11" x14ac:dyDescent="0.25">
      <c r="A4793" s="5">
        <f>4786</f>
      </c>
      <c r="B4793" s="5" t="s">
        <v>4801</v>
      </c>
      <c r="C4793" s="5">
        <v>103</v>
      </c>
      <c r="D4793" s="5">
        <v>0.1</v>
      </c>
      <c r="E4793" s="5">
        <v>103.1</v>
      </c>
      <c r="F4793" s="5">
        <v>205.6</v>
      </c>
      <c r="G4793" s="5">
        <v>102.6</v>
      </c>
      <c r="H4793" s="5">
        <v>102.4</v>
      </c>
      <c r="I4793" s="5">
        <v>0</v>
      </c>
      <c r="J4793" s="5">
        <v>0</v>
      </c>
      <c r="K4793" s="5">
        <v>0</v>
      </c>
    </row>
    <row r="4794" spans="1:11" x14ac:dyDescent="0.25">
      <c r="A4794" s="5">
        <f>4787</f>
      </c>
      <c r="B4794" s="5" t="s">
        <v>4802</v>
      </c>
      <c r="C4794" s="5">
        <v>103.1</v>
      </c>
      <c r="D4794" s="5">
        <v>0.1</v>
      </c>
      <c r="E4794" s="5">
        <v>103.3</v>
      </c>
      <c r="F4794" s="5">
        <v>206.1</v>
      </c>
      <c r="G4794" s="5">
        <v>102.8</v>
      </c>
      <c r="H4794" s="5">
        <v>102.7</v>
      </c>
      <c r="I4794" s="5">
        <v>0</v>
      </c>
      <c r="J4794" s="5">
        <v>0</v>
      </c>
      <c r="K4794" s="5">
        <v>0</v>
      </c>
    </row>
    <row r="4795" spans="1:11" x14ac:dyDescent="0.25">
      <c r="A4795" s="5">
        <f>4788</f>
      </c>
      <c r="B4795" s="5" t="s">
        <v>4803</v>
      </c>
      <c r="C4795" s="5">
        <v>103.1</v>
      </c>
      <c r="D4795" s="5">
        <v>0.1</v>
      </c>
      <c r="E4795" s="5">
        <v>103.3</v>
      </c>
      <c r="F4795" s="5">
        <v>206.1</v>
      </c>
      <c r="G4795" s="5">
        <v>102.8</v>
      </c>
      <c r="H4795" s="5">
        <v>102.7</v>
      </c>
      <c r="I4795" s="5">
        <v>0</v>
      </c>
      <c r="J4795" s="5">
        <v>0</v>
      </c>
      <c r="K4795" s="5">
        <v>0</v>
      </c>
    </row>
    <row r="4796" spans="1:11" x14ac:dyDescent="0.25">
      <c r="A4796" s="5">
        <f>4789</f>
      </c>
      <c r="B4796" s="5" t="s">
        <v>4804</v>
      </c>
      <c r="C4796" s="5">
        <v>97.5</v>
      </c>
      <c r="D4796" s="5">
        <v>0.1</v>
      </c>
      <c r="E4796" s="5">
        <v>97.6</v>
      </c>
      <c r="F4796" s="5">
        <v>195.2</v>
      </c>
      <c r="G4796" s="5">
        <v>97.3</v>
      </c>
      <c r="H4796" s="5">
        <v>97.1</v>
      </c>
      <c r="I4796" s="5">
        <v>0</v>
      </c>
      <c r="J4796" s="5">
        <v>0</v>
      </c>
      <c r="K4796" s="5">
        <v>0</v>
      </c>
    </row>
    <row r="4797" spans="1:11" x14ac:dyDescent="0.25">
      <c r="A4797" s="5">
        <f>4790</f>
      </c>
      <c r="B4797" s="5" t="s">
        <v>4805</v>
      </c>
      <c r="C4797" s="5">
        <v>97.5</v>
      </c>
      <c r="D4797" s="5">
        <v>0.1</v>
      </c>
      <c r="E4797" s="5">
        <v>97.6</v>
      </c>
      <c r="F4797" s="5">
        <v>195.2</v>
      </c>
      <c r="G4797" s="5">
        <v>97.3</v>
      </c>
      <c r="H4797" s="5">
        <v>97.1</v>
      </c>
      <c r="I4797" s="5">
        <v>0</v>
      </c>
      <c r="J4797" s="5">
        <v>0</v>
      </c>
      <c r="K4797" s="5">
        <v>0</v>
      </c>
    </row>
    <row r="4798" spans="1:11" x14ac:dyDescent="0.25">
      <c r="A4798" s="5">
        <f>4791</f>
      </c>
      <c r="B4798" s="5" t="s">
        <v>4806</v>
      </c>
      <c r="C4798" s="5">
        <v>97.5</v>
      </c>
      <c r="D4798" s="5">
        <v>0.1</v>
      </c>
      <c r="E4798" s="5">
        <v>97.6</v>
      </c>
      <c r="F4798" s="5">
        <v>195.2</v>
      </c>
      <c r="G4798" s="5">
        <v>97.3</v>
      </c>
      <c r="H4798" s="5">
        <v>97.1</v>
      </c>
      <c r="I4798" s="5">
        <v>0</v>
      </c>
      <c r="J4798" s="5">
        <v>0</v>
      </c>
      <c r="K4798" s="5">
        <v>0</v>
      </c>
    </row>
    <row r="4799" spans="1:11" x14ac:dyDescent="0.25">
      <c r="A4799" s="5">
        <f>4792</f>
      </c>
      <c r="B4799" s="5" t="s">
        <v>4807</v>
      </c>
      <c r="C4799" s="5">
        <v>97.5</v>
      </c>
      <c r="D4799" s="5">
        <v>0.1</v>
      </c>
      <c r="E4799" s="5">
        <v>97.6</v>
      </c>
      <c r="F4799" s="5">
        <v>195.2</v>
      </c>
      <c r="G4799" s="5">
        <v>97.3</v>
      </c>
      <c r="H4799" s="5">
        <v>97.1</v>
      </c>
      <c r="I4799" s="5">
        <v>0</v>
      </c>
      <c r="J4799" s="5">
        <v>0</v>
      </c>
      <c r="K4799" s="5">
        <v>0</v>
      </c>
    </row>
    <row r="4800" spans="1:11" x14ac:dyDescent="0.25">
      <c r="A4800" s="5">
        <f>4793</f>
      </c>
      <c r="B4800" s="5" t="s">
        <v>4808</v>
      </c>
      <c r="C4800" s="5">
        <v>102.6</v>
      </c>
      <c r="D4800" s="5">
        <v>0.1</v>
      </c>
      <c r="E4800" s="5">
        <v>102.7</v>
      </c>
      <c r="F4800" s="5">
        <v>204.1</v>
      </c>
      <c r="G4800" s="5">
        <v>101.8</v>
      </c>
      <c r="H4800" s="5">
        <v>101.7</v>
      </c>
      <c r="I4800" s="5">
        <v>0</v>
      </c>
      <c r="J4800" s="5">
        <v>0</v>
      </c>
      <c r="K4800" s="5">
        <v>0</v>
      </c>
    </row>
    <row r="4801" spans="1:11" x14ac:dyDescent="0.25">
      <c r="A4801" s="5">
        <f>4794</f>
      </c>
      <c r="B4801" s="5" t="s">
        <v>4809</v>
      </c>
      <c r="C4801" s="5">
        <v>102.6</v>
      </c>
      <c r="D4801" s="5">
        <v>0.1</v>
      </c>
      <c r="E4801" s="5">
        <v>102.7</v>
      </c>
      <c r="F4801" s="5">
        <v>204.1</v>
      </c>
      <c r="G4801" s="5">
        <v>101.8</v>
      </c>
      <c r="H4801" s="5">
        <v>101.7</v>
      </c>
      <c r="I4801" s="5">
        <v>0</v>
      </c>
      <c r="J4801" s="5">
        <v>0</v>
      </c>
      <c r="K4801" s="5">
        <v>0</v>
      </c>
    </row>
    <row r="4802" spans="1:11" x14ac:dyDescent="0.25">
      <c r="A4802" s="5">
        <f>4795</f>
      </c>
      <c r="B4802" s="5" t="s">
        <v>4810</v>
      </c>
      <c r="C4802" s="5">
        <v>102.8</v>
      </c>
      <c r="D4802" s="5">
        <v>0.1</v>
      </c>
      <c r="E4802" s="5">
        <v>103</v>
      </c>
      <c r="F4802" s="5">
        <v>205</v>
      </c>
      <c r="G4802" s="5">
        <v>102.2</v>
      </c>
      <c r="H4802" s="5">
        <v>102</v>
      </c>
      <c r="I4802" s="5">
        <v>0</v>
      </c>
      <c r="J4802" s="5">
        <v>0</v>
      </c>
      <c r="K4802" s="5">
        <v>0</v>
      </c>
    </row>
    <row r="4803" spans="1:11" x14ac:dyDescent="0.25">
      <c r="A4803" s="5">
        <f>4796</f>
      </c>
      <c r="B4803" s="5" t="s">
        <v>4811</v>
      </c>
      <c r="C4803" s="5">
        <v>102.8</v>
      </c>
      <c r="D4803" s="5">
        <v>0.1</v>
      </c>
      <c r="E4803" s="5">
        <v>103</v>
      </c>
      <c r="F4803" s="5">
        <v>205</v>
      </c>
      <c r="G4803" s="5">
        <v>102.2</v>
      </c>
      <c r="H4803" s="5">
        <v>102</v>
      </c>
      <c r="I4803" s="5">
        <v>0</v>
      </c>
      <c r="J4803" s="5">
        <v>0</v>
      </c>
      <c r="K4803" s="5">
        <v>0</v>
      </c>
    </row>
    <row r="4804" spans="1:11" x14ac:dyDescent="0.25">
      <c r="A4804" s="5">
        <f>4797</f>
      </c>
      <c r="B4804" s="5" t="s">
        <v>4812</v>
      </c>
      <c r="C4804" s="5">
        <v>102.9</v>
      </c>
      <c r="D4804" s="5">
        <v>0.1</v>
      </c>
      <c r="E4804" s="5">
        <v>103.1</v>
      </c>
      <c r="F4804" s="5">
        <v>205.5</v>
      </c>
      <c r="G4804" s="5">
        <v>102.5</v>
      </c>
      <c r="H4804" s="5">
        <v>102.4</v>
      </c>
      <c r="I4804" s="5">
        <v>0</v>
      </c>
      <c r="J4804" s="5">
        <v>0</v>
      </c>
      <c r="K4804" s="5">
        <v>0</v>
      </c>
    </row>
    <row r="4805" spans="1:11" x14ac:dyDescent="0.25">
      <c r="A4805" s="5">
        <f>4798</f>
      </c>
      <c r="B4805" s="5" t="s">
        <v>4813</v>
      </c>
      <c r="C4805" s="5">
        <v>102.9</v>
      </c>
      <c r="D4805" s="5">
        <v>0.1</v>
      </c>
      <c r="E4805" s="5">
        <v>103.1</v>
      </c>
      <c r="F4805" s="5">
        <v>205.5</v>
      </c>
      <c r="G4805" s="5">
        <v>102.5</v>
      </c>
      <c r="H4805" s="5">
        <v>102.4</v>
      </c>
      <c r="I4805" s="5">
        <v>0</v>
      </c>
      <c r="J4805" s="5">
        <v>0</v>
      </c>
      <c r="K4805" s="5">
        <v>0</v>
      </c>
    </row>
    <row r="4806" spans="1:11" x14ac:dyDescent="0.25">
      <c r="A4806" s="5">
        <f>4799</f>
      </c>
      <c r="B4806" s="5" t="s">
        <v>4814</v>
      </c>
      <c r="C4806" s="5">
        <v>102.7</v>
      </c>
      <c r="D4806" s="5">
        <v>0.1</v>
      </c>
      <c r="E4806" s="5">
        <v>102.9</v>
      </c>
      <c r="F4806" s="5">
        <v>204.4</v>
      </c>
      <c r="G4806" s="5">
        <v>102</v>
      </c>
      <c r="H4806" s="5">
        <v>101.9</v>
      </c>
      <c r="I4806" s="5">
        <v>0</v>
      </c>
      <c r="J4806" s="5">
        <v>0</v>
      </c>
      <c r="K4806" s="5">
        <v>0</v>
      </c>
    </row>
    <row r="4807" spans="1:11" x14ac:dyDescent="0.25">
      <c r="A4807" s="5">
        <f>4800</f>
      </c>
      <c r="B4807" s="5" t="s">
        <v>4815</v>
      </c>
      <c r="C4807" s="5">
        <v>102.7</v>
      </c>
      <c r="D4807" s="5">
        <v>0.1</v>
      </c>
      <c r="E4807" s="5">
        <v>102.9</v>
      </c>
      <c r="F4807" s="5">
        <v>204.4</v>
      </c>
      <c r="G4807" s="5">
        <v>102</v>
      </c>
      <c r="H4807" s="5">
        <v>101.9</v>
      </c>
      <c r="I4807" s="5">
        <v>0</v>
      </c>
      <c r="J4807" s="5">
        <v>0</v>
      </c>
      <c r="K4807" s="5">
        <v>0</v>
      </c>
    </row>
    <row r="4808" spans="1:11" x14ac:dyDescent="0.25">
      <c r="A4808" s="5">
        <f>4801</f>
      </c>
      <c r="B4808" s="5" t="s">
        <v>4816</v>
      </c>
      <c r="C4808" s="5">
        <v>102.7</v>
      </c>
      <c r="D4808" s="5">
        <v>0.1</v>
      </c>
      <c r="E4808" s="5">
        <v>102.9</v>
      </c>
      <c r="F4808" s="5">
        <v>204.4</v>
      </c>
      <c r="G4808" s="5">
        <v>102</v>
      </c>
      <c r="H4808" s="5">
        <v>101.9</v>
      </c>
      <c r="I4808" s="5">
        <v>0</v>
      </c>
      <c r="J4808" s="5">
        <v>0</v>
      </c>
      <c r="K4808" s="5">
        <v>0</v>
      </c>
    </row>
    <row r="4809" spans="1:11" x14ac:dyDescent="0.25">
      <c r="A4809" s="5">
        <f>4802</f>
      </c>
      <c r="B4809" s="5" t="s">
        <v>4817</v>
      </c>
      <c r="C4809" s="5">
        <v>102.7</v>
      </c>
      <c r="D4809" s="5">
        <v>0.1</v>
      </c>
      <c r="E4809" s="5">
        <v>102.9</v>
      </c>
      <c r="F4809" s="5">
        <v>204.4</v>
      </c>
      <c r="G4809" s="5">
        <v>102</v>
      </c>
      <c r="H4809" s="5">
        <v>101.9</v>
      </c>
      <c r="I4809" s="5">
        <v>0</v>
      </c>
      <c r="J4809" s="5">
        <v>0</v>
      </c>
      <c r="K4809" s="5">
        <v>0</v>
      </c>
    </row>
    <row r="4810" spans="1:11" x14ac:dyDescent="0.25">
      <c r="A4810" s="5">
        <f>4803</f>
      </c>
      <c r="B4810" s="5" t="s">
        <v>4818</v>
      </c>
      <c r="C4810" s="5">
        <v>101.4</v>
      </c>
      <c r="D4810" s="5">
        <v>0.1</v>
      </c>
      <c r="E4810" s="5">
        <v>101.5</v>
      </c>
      <c r="F4810" s="5">
        <v>202.9</v>
      </c>
      <c r="G4810" s="5">
        <v>101.2</v>
      </c>
      <c r="H4810" s="5">
        <v>101.1</v>
      </c>
      <c r="I4810" s="5">
        <v>0</v>
      </c>
      <c r="J4810" s="5">
        <v>0</v>
      </c>
      <c r="K4810" s="5">
        <v>0</v>
      </c>
    </row>
    <row r="4811" spans="1:11" x14ac:dyDescent="0.25">
      <c r="A4811" s="5">
        <f>4804</f>
      </c>
      <c r="B4811" s="5" t="s">
        <v>4819</v>
      </c>
      <c r="C4811" s="5">
        <v>101.4</v>
      </c>
      <c r="D4811" s="5">
        <v>0.1</v>
      </c>
      <c r="E4811" s="5">
        <v>101.5</v>
      </c>
      <c r="F4811" s="5">
        <v>202.9</v>
      </c>
      <c r="G4811" s="5">
        <v>101.2</v>
      </c>
      <c r="H4811" s="5">
        <v>101.1</v>
      </c>
      <c r="I4811" s="5">
        <v>0</v>
      </c>
      <c r="J4811" s="5">
        <v>0</v>
      </c>
      <c r="K4811" s="5">
        <v>0</v>
      </c>
    </row>
    <row r="4812" spans="1:11" x14ac:dyDescent="0.25">
      <c r="A4812" s="5">
        <f>4805</f>
      </c>
      <c r="B4812" s="5" t="s">
        <v>4820</v>
      </c>
      <c r="C4812" s="5">
        <v>101.9</v>
      </c>
      <c r="D4812" s="5">
        <v>0.1</v>
      </c>
      <c r="E4812" s="5">
        <v>102.1</v>
      </c>
      <c r="F4812" s="5">
        <v>204.4</v>
      </c>
      <c r="G4812" s="5">
        <v>102</v>
      </c>
      <c r="H4812" s="5">
        <v>101.8</v>
      </c>
      <c r="I4812" s="5">
        <v>0</v>
      </c>
      <c r="J4812" s="5">
        <v>0</v>
      </c>
      <c r="K4812" s="5">
        <v>0</v>
      </c>
    </row>
    <row r="4813" spans="1:11" x14ac:dyDescent="0.25">
      <c r="A4813" s="5">
        <f>4806</f>
      </c>
      <c r="B4813" s="5" t="s">
        <v>4821</v>
      </c>
      <c r="C4813" s="5">
        <v>101.9</v>
      </c>
      <c r="D4813" s="5">
        <v>0.1</v>
      </c>
      <c r="E4813" s="5">
        <v>102.1</v>
      </c>
      <c r="F4813" s="5">
        <v>204.4</v>
      </c>
      <c r="G4813" s="5">
        <v>102</v>
      </c>
      <c r="H4813" s="5">
        <v>101.8</v>
      </c>
      <c r="I4813" s="5">
        <v>0</v>
      </c>
      <c r="J4813" s="5">
        <v>0</v>
      </c>
      <c r="K4813" s="5">
        <v>0</v>
      </c>
    </row>
    <row r="4814" spans="1:11" x14ac:dyDescent="0.25">
      <c r="A4814" s="5">
        <f>4807</f>
      </c>
      <c r="B4814" s="5" t="s">
        <v>4822</v>
      </c>
      <c r="C4814" s="5">
        <v>102.6</v>
      </c>
      <c r="D4814" s="5">
        <v>0.1</v>
      </c>
      <c r="E4814" s="5">
        <v>102.7</v>
      </c>
      <c r="F4814" s="5">
        <v>205.2</v>
      </c>
      <c r="G4814" s="5">
        <v>102.3</v>
      </c>
      <c r="H4814" s="5">
        <v>102.2</v>
      </c>
      <c r="I4814" s="5">
        <v>0</v>
      </c>
      <c r="J4814" s="5">
        <v>0</v>
      </c>
      <c r="K4814" s="5">
        <v>0</v>
      </c>
    </row>
    <row r="4815" spans="1:11" x14ac:dyDescent="0.25">
      <c r="A4815" s="5">
        <f>4808</f>
      </c>
      <c r="B4815" s="5" t="s">
        <v>4823</v>
      </c>
      <c r="C4815" s="5">
        <v>102.6</v>
      </c>
      <c r="D4815" s="5">
        <v>0.1</v>
      </c>
      <c r="E4815" s="5">
        <v>102.7</v>
      </c>
      <c r="F4815" s="5">
        <v>205.2</v>
      </c>
      <c r="G4815" s="5">
        <v>102.3</v>
      </c>
      <c r="H4815" s="5">
        <v>102.2</v>
      </c>
      <c r="I4815" s="5">
        <v>0</v>
      </c>
      <c r="J4815" s="5">
        <v>0</v>
      </c>
      <c r="K4815" s="5">
        <v>0</v>
      </c>
    </row>
    <row r="4816" spans="1:11" x14ac:dyDescent="0.25">
      <c r="A4816" s="5">
        <f>4809</f>
      </c>
      <c r="B4816" s="5" t="s">
        <v>4824</v>
      </c>
      <c r="C4816" s="5">
        <v>99.9</v>
      </c>
      <c r="D4816" s="5">
        <v>0.1</v>
      </c>
      <c r="E4816" s="5">
        <v>100.1</v>
      </c>
      <c r="F4816" s="5">
        <v>200.1</v>
      </c>
      <c r="G4816" s="5">
        <v>99.8</v>
      </c>
      <c r="H4816" s="5">
        <v>99.6</v>
      </c>
      <c r="I4816" s="5">
        <v>0</v>
      </c>
      <c r="J4816" s="5">
        <v>0</v>
      </c>
      <c r="K4816" s="5">
        <v>0</v>
      </c>
    </row>
    <row r="4817" spans="1:11" x14ac:dyDescent="0.25">
      <c r="A4817" s="5">
        <f>4810</f>
      </c>
      <c r="B4817" s="5" t="s">
        <v>4825</v>
      </c>
      <c r="C4817" s="5">
        <v>99.9</v>
      </c>
      <c r="D4817" s="5">
        <v>0.1</v>
      </c>
      <c r="E4817" s="5">
        <v>100.1</v>
      </c>
      <c r="F4817" s="5">
        <v>200.1</v>
      </c>
      <c r="G4817" s="5">
        <v>99.8</v>
      </c>
      <c r="H4817" s="5">
        <v>99.6</v>
      </c>
      <c r="I4817" s="5">
        <v>0</v>
      </c>
      <c r="J4817" s="5">
        <v>0</v>
      </c>
      <c r="K4817" s="5">
        <v>0</v>
      </c>
    </row>
    <row r="4818" spans="1:11" x14ac:dyDescent="0.25">
      <c r="A4818" s="5">
        <f>4811</f>
      </c>
      <c r="B4818" s="5" t="s">
        <v>4826</v>
      </c>
      <c r="C4818" s="5">
        <v>99.9</v>
      </c>
      <c r="D4818" s="5">
        <v>0.1</v>
      </c>
      <c r="E4818" s="5">
        <v>100.1</v>
      </c>
      <c r="F4818" s="5">
        <v>200.1</v>
      </c>
      <c r="G4818" s="5">
        <v>99.8</v>
      </c>
      <c r="H4818" s="5">
        <v>99.6</v>
      </c>
      <c r="I4818" s="5">
        <v>0</v>
      </c>
      <c r="J4818" s="5">
        <v>0</v>
      </c>
      <c r="K4818" s="5">
        <v>0</v>
      </c>
    </row>
    <row r="4819" spans="1:11" x14ac:dyDescent="0.25">
      <c r="A4819" s="5">
        <f>4812</f>
      </c>
      <c r="B4819" s="5" t="s">
        <v>4827</v>
      </c>
      <c r="C4819" s="5">
        <v>99.9</v>
      </c>
      <c r="D4819" s="5">
        <v>0.1</v>
      </c>
      <c r="E4819" s="5">
        <v>100.1</v>
      </c>
      <c r="F4819" s="5">
        <v>200.1</v>
      </c>
      <c r="G4819" s="5">
        <v>99.8</v>
      </c>
      <c r="H4819" s="5">
        <v>99.6</v>
      </c>
      <c r="I4819" s="5">
        <v>0</v>
      </c>
      <c r="J4819" s="5">
        <v>0</v>
      </c>
      <c r="K4819" s="5">
        <v>0</v>
      </c>
    </row>
    <row r="4820" spans="1:11" x14ac:dyDescent="0.25">
      <c r="A4820" s="5">
        <f>4813</f>
      </c>
      <c r="B4820" s="5" t="s">
        <v>4828</v>
      </c>
      <c r="C4820" s="5">
        <v>100</v>
      </c>
      <c r="D4820" s="5">
        <v>0.1</v>
      </c>
      <c r="E4820" s="5">
        <v>100.1</v>
      </c>
      <c r="F4820" s="5">
        <v>200.5</v>
      </c>
      <c r="G4820" s="5">
        <v>100</v>
      </c>
      <c r="H4820" s="5">
        <v>99.8</v>
      </c>
      <c r="I4820" s="5">
        <v>0</v>
      </c>
      <c r="J4820" s="5">
        <v>0</v>
      </c>
      <c r="K4820" s="5">
        <v>0</v>
      </c>
    </row>
    <row r="4821" spans="1:11" x14ac:dyDescent="0.25">
      <c r="A4821" s="5">
        <f>4814</f>
      </c>
      <c r="B4821" s="5" t="s">
        <v>4829</v>
      </c>
      <c r="C4821" s="5">
        <v>100</v>
      </c>
      <c r="D4821" s="5">
        <v>0.1</v>
      </c>
      <c r="E4821" s="5">
        <v>100.1</v>
      </c>
      <c r="F4821" s="5">
        <v>200.5</v>
      </c>
      <c r="G4821" s="5">
        <v>100</v>
      </c>
      <c r="H4821" s="5">
        <v>99.8</v>
      </c>
      <c r="I4821" s="5">
        <v>0</v>
      </c>
      <c r="J4821" s="5">
        <v>0</v>
      </c>
      <c r="K4821" s="5">
        <v>0</v>
      </c>
    </row>
    <row r="4822" spans="1:11" x14ac:dyDescent="0.25">
      <c r="A4822" s="5">
        <f>4815</f>
      </c>
      <c r="B4822" s="5" t="s">
        <v>4830</v>
      </c>
      <c r="C4822" s="5">
        <v>100.3</v>
      </c>
      <c r="D4822" s="5">
        <v>0.1</v>
      </c>
      <c r="E4822" s="5">
        <v>100.5</v>
      </c>
      <c r="F4822" s="5">
        <v>200.2</v>
      </c>
      <c r="G4822" s="5">
        <v>99.9</v>
      </c>
      <c r="H4822" s="5">
        <v>99.7</v>
      </c>
      <c r="I4822" s="5">
        <v>0</v>
      </c>
      <c r="J4822" s="5">
        <v>0</v>
      </c>
      <c r="K4822" s="5">
        <v>0</v>
      </c>
    </row>
    <row r="4823" spans="1:11" x14ac:dyDescent="0.25">
      <c r="A4823" s="5">
        <f>4816</f>
      </c>
      <c r="B4823" s="5" t="s">
        <v>4831</v>
      </c>
      <c r="C4823" s="5">
        <v>100.3</v>
      </c>
      <c r="D4823" s="5">
        <v>0.1</v>
      </c>
      <c r="E4823" s="5">
        <v>100.5</v>
      </c>
      <c r="F4823" s="5">
        <v>200.2</v>
      </c>
      <c r="G4823" s="5">
        <v>99.9</v>
      </c>
      <c r="H4823" s="5">
        <v>99.7</v>
      </c>
      <c r="I4823" s="5">
        <v>0</v>
      </c>
      <c r="J4823" s="5">
        <v>0</v>
      </c>
      <c r="K4823" s="5">
        <v>0</v>
      </c>
    </row>
    <row r="4824" spans="1:11" x14ac:dyDescent="0.25">
      <c r="A4824" s="5">
        <f>4817</f>
      </c>
      <c r="B4824" s="5" t="s">
        <v>4832</v>
      </c>
      <c r="C4824" s="5">
        <v>100.8</v>
      </c>
      <c r="D4824" s="5">
        <v>0.1</v>
      </c>
      <c r="E4824" s="5">
        <v>100.8</v>
      </c>
      <c r="F4824" s="5">
        <v>200.2</v>
      </c>
      <c r="G4824" s="5">
        <v>99.8</v>
      </c>
      <c r="H4824" s="5">
        <v>99.7</v>
      </c>
      <c r="I4824" s="5">
        <v>0</v>
      </c>
      <c r="J4824" s="5">
        <v>0</v>
      </c>
      <c r="K4824" s="5">
        <v>0</v>
      </c>
    </row>
    <row r="4825" spans="1:11" x14ac:dyDescent="0.25">
      <c r="A4825" s="5">
        <f>4818</f>
      </c>
      <c r="B4825" s="5" t="s">
        <v>4833</v>
      </c>
      <c r="C4825" s="5">
        <v>100.8</v>
      </c>
      <c r="D4825" s="5">
        <v>0.1</v>
      </c>
      <c r="E4825" s="5">
        <v>100.8</v>
      </c>
      <c r="F4825" s="5">
        <v>200.2</v>
      </c>
      <c r="G4825" s="5">
        <v>99.8</v>
      </c>
      <c r="H4825" s="5">
        <v>99.7</v>
      </c>
      <c r="I4825" s="5">
        <v>0</v>
      </c>
      <c r="J4825" s="5">
        <v>0</v>
      </c>
      <c r="K4825" s="5">
        <v>0</v>
      </c>
    </row>
    <row r="4826" spans="1:11" x14ac:dyDescent="0.25">
      <c r="A4826" s="5">
        <f>4819</f>
      </c>
      <c r="B4826" s="5" t="s">
        <v>4834</v>
      </c>
      <c r="C4826" s="5">
        <v>100.4</v>
      </c>
      <c r="D4826" s="5">
        <v>0.1</v>
      </c>
      <c r="E4826" s="5">
        <v>100.5</v>
      </c>
      <c r="F4826" s="5">
        <v>200.2</v>
      </c>
      <c r="G4826" s="5">
        <v>99.8</v>
      </c>
      <c r="H4826" s="5">
        <v>99.7</v>
      </c>
      <c r="I4826" s="5">
        <v>0</v>
      </c>
      <c r="J4826" s="5">
        <v>0</v>
      </c>
      <c r="K4826" s="5">
        <v>0</v>
      </c>
    </row>
    <row r="4827" spans="1:11" x14ac:dyDescent="0.25">
      <c r="A4827" s="5">
        <f>4820</f>
      </c>
      <c r="B4827" s="5" t="s">
        <v>4835</v>
      </c>
      <c r="C4827" s="5">
        <v>100.4</v>
      </c>
      <c r="D4827" s="5">
        <v>0.1</v>
      </c>
      <c r="E4827" s="5">
        <v>100.5</v>
      </c>
      <c r="F4827" s="5">
        <v>200.2</v>
      </c>
      <c r="G4827" s="5">
        <v>99.8</v>
      </c>
      <c r="H4827" s="5">
        <v>99.7</v>
      </c>
      <c r="I4827" s="5">
        <v>0</v>
      </c>
      <c r="J4827" s="5">
        <v>0</v>
      </c>
      <c r="K4827" s="5">
        <v>0</v>
      </c>
    </row>
    <row r="4828" spans="1:11" x14ac:dyDescent="0.25">
      <c r="A4828" s="5">
        <f>4821</f>
      </c>
      <c r="B4828" s="5" t="s">
        <v>4836</v>
      </c>
      <c r="C4828" s="5">
        <v>100.4</v>
      </c>
      <c r="D4828" s="5">
        <v>0.1</v>
      </c>
      <c r="E4828" s="5">
        <v>100.5</v>
      </c>
      <c r="F4828" s="5">
        <v>200.2</v>
      </c>
      <c r="G4828" s="5">
        <v>99.8</v>
      </c>
      <c r="H4828" s="5">
        <v>99.7</v>
      </c>
      <c r="I4828" s="5">
        <v>0</v>
      </c>
      <c r="J4828" s="5">
        <v>0</v>
      </c>
      <c r="K4828" s="5">
        <v>0</v>
      </c>
    </row>
    <row r="4829" spans="1:11" x14ac:dyDescent="0.25">
      <c r="A4829" s="5">
        <f>4822</f>
      </c>
      <c r="B4829" s="5" t="s">
        <v>4837</v>
      </c>
      <c r="C4829" s="5">
        <v>100.4</v>
      </c>
      <c r="D4829" s="5">
        <v>0.1</v>
      </c>
      <c r="E4829" s="5">
        <v>100.5</v>
      </c>
      <c r="F4829" s="5">
        <v>200.2</v>
      </c>
      <c r="G4829" s="5">
        <v>99.8</v>
      </c>
      <c r="H4829" s="5">
        <v>99.7</v>
      </c>
      <c r="I4829" s="5">
        <v>0</v>
      </c>
      <c r="J4829" s="5">
        <v>0</v>
      </c>
      <c r="K4829" s="5">
        <v>0</v>
      </c>
    </row>
    <row r="4830" spans="1:11" x14ac:dyDescent="0.25">
      <c r="A4830" s="5">
        <f>4823</f>
      </c>
      <c r="B4830" s="5" t="s">
        <v>4838</v>
      </c>
      <c r="C4830" s="5">
        <v>100.7</v>
      </c>
      <c r="D4830" s="5">
        <v>0.1</v>
      </c>
      <c r="E4830" s="5">
        <v>100.8</v>
      </c>
      <c r="F4830" s="5">
        <v>201.8</v>
      </c>
      <c r="G4830" s="5">
        <v>100.6</v>
      </c>
      <c r="H4830" s="5">
        <v>100.5</v>
      </c>
      <c r="I4830" s="5">
        <v>0</v>
      </c>
      <c r="J4830" s="5">
        <v>0</v>
      </c>
      <c r="K4830" s="5">
        <v>0</v>
      </c>
    </row>
    <row r="4831" spans="1:11" x14ac:dyDescent="0.25">
      <c r="A4831" s="5">
        <f>4824</f>
      </c>
      <c r="B4831" s="5" t="s">
        <v>4839</v>
      </c>
      <c r="C4831" s="5">
        <v>100.7</v>
      </c>
      <c r="D4831" s="5">
        <v>0.1</v>
      </c>
      <c r="E4831" s="5">
        <v>100.8</v>
      </c>
      <c r="F4831" s="5">
        <v>201.8</v>
      </c>
      <c r="G4831" s="5">
        <v>100.6</v>
      </c>
      <c r="H4831" s="5">
        <v>100.5</v>
      </c>
      <c r="I4831" s="5">
        <v>0</v>
      </c>
      <c r="J4831" s="5">
        <v>0</v>
      </c>
      <c r="K4831" s="5">
        <v>0</v>
      </c>
    </row>
    <row r="4832" spans="1:11" x14ac:dyDescent="0.25">
      <c r="A4832" s="5">
        <f>4825</f>
      </c>
      <c r="B4832" s="5" t="s">
        <v>4840</v>
      </c>
      <c r="C4832" s="5">
        <v>0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</row>
    <row r="4833" spans="1:11" x14ac:dyDescent="0.25">
      <c r="A4833" s="5">
        <f>4826</f>
      </c>
      <c r="B4833" s="5" t="s">
        <v>4841</v>
      </c>
      <c r="C4833" s="5">
        <v>0</v>
      </c>
      <c r="D4833" s="5">
        <v>0</v>
      </c>
      <c r="E4833" s="5">
        <v>0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</row>
    <row r="4834" spans="1:11" x14ac:dyDescent="0.25">
      <c r="A4834" s="5">
        <f>4827</f>
      </c>
      <c r="B4834" s="5" t="s">
        <v>4842</v>
      </c>
      <c r="C4834" s="5">
        <v>0</v>
      </c>
      <c r="D4834" s="5">
        <v>0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</row>
    <row r="4835" spans="1:11" x14ac:dyDescent="0.25">
      <c r="A4835" s="5">
        <f>4828</f>
      </c>
      <c r="B4835" s="5" t="s">
        <v>4843</v>
      </c>
      <c r="C4835" s="5">
        <v>0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</row>
    <row r="4836" spans="1:11" x14ac:dyDescent="0.25">
      <c r="A4836" s="5">
        <f>4829</f>
      </c>
      <c r="B4836" s="5" t="s">
        <v>4844</v>
      </c>
      <c r="C4836" s="5">
        <v>0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</row>
    <row r="4837" spans="1:11" x14ac:dyDescent="0.25">
      <c r="A4837" s="5">
        <f>4830</f>
      </c>
      <c r="B4837" s="5" t="s">
        <v>4845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</row>
    <row r="4838" spans="1:11" x14ac:dyDescent="0.25">
      <c r="A4838" s="5">
        <f>4831</f>
      </c>
      <c r="B4838" s="5" t="s">
        <v>4846</v>
      </c>
      <c r="C4838" s="5">
        <v>0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</row>
    <row r="4839" spans="1:11" x14ac:dyDescent="0.25">
      <c r="A4839" s="5">
        <f>4832</f>
      </c>
      <c r="B4839" s="5" t="s">
        <v>4847</v>
      </c>
      <c r="C4839" s="5">
        <v>0</v>
      </c>
      <c r="D4839" s="5">
        <v>0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</row>
    <row r="4840" spans="1:11" x14ac:dyDescent="0.25">
      <c r="A4840" s="5">
        <f>4833</f>
      </c>
      <c r="B4840" s="5" t="s">
        <v>4848</v>
      </c>
      <c r="C4840" s="5">
        <v>0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</row>
    <row r="4841" spans="1:11" x14ac:dyDescent="0.25">
      <c r="A4841" s="5">
        <f>4834</f>
      </c>
      <c r="B4841" s="5" t="s">
        <v>4849</v>
      </c>
      <c r="C4841" s="5">
        <v>0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</row>
    <row r="4842" spans="1:11" x14ac:dyDescent="0.25">
      <c r="A4842" s="5">
        <f>4835</f>
      </c>
      <c r="B4842" s="5" t="s">
        <v>4850</v>
      </c>
      <c r="C4842" s="5">
        <v>0</v>
      </c>
      <c r="D4842" s="5">
        <v>0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</row>
    <row r="4843" spans="1:11" x14ac:dyDescent="0.25">
      <c r="A4843" s="5">
        <f>4836</f>
      </c>
      <c r="B4843" s="5" t="s">
        <v>4851</v>
      </c>
      <c r="C4843" s="5">
        <v>0</v>
      </c>
      <c r="D4843" s="5">
        <v>0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</row>
    <row r="4844" spans="1:11" x14ac:dyDescent="0.25">
      <c r="A4844" s="5">
        <f>4837</f>
      </c>
      <c r="B4844" s="5" t="s">
        <v>4852</v>
      </c>
      <c r="C4844" s="5">
        <v>0</v>
      </c>
      <c r="D4844" s="5">
        <v>0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</row>
    <row r="4845" spans="1:11" x14ac:dyDescent="0.25">
      <c r="A4845" s="5">
        <f>4838</f>
      </c>
      <c r="B4845" s="5" t="s">
        <v>4853</v>
      </c>
      <c r="C4845" s="5">
        <v>0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</row>
    <row r="4846" spans="1:11" x14ac:dyDescent="0.25">
      <c r="A4846" s="5">
        <f>4839</f>
      </c>
      <c r="B4846" s="5" t="s">
        <v>4854</v>
      </c>
      <c r="C4846" s="5">
        <v>0</v>
      </c>
      <c r="D4846" s="5">
        <v>0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</row>
    <row r="4847" spans="1:11" x14ac:dyDescent="0.25">
      <c r="A4847" s="5">
        <f>4840</f>
      </c>
      <c r="B4847" s="5" t="s">
        <v>4855</v>
      </c>
      <c r="C4847" s="5">
        <v>0</v>
      </c>
      <c r="D4847" s="5">
        <v>0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</row>
    <row r="4848" spans="1:11" x14ac:dyDescent="0.25">
      <c r="A4848" s="5">
        <f>4841</f>
      </c>
      <c r="B4848" s="5" t="s">
        <v>4856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</row>
    <row r="4849" spans="1:11" x14ac:dyDescent="0.25">
      <c r="A4849" s="5">
        <f>4842</f>
      </c>
      <c r="B4849" s="5" t="s">
        <v>4857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</row>
    <row r="4850" spans="1:11" x14ac:dyDescent="0.25">
      <c r="A4850" s="5">
        <f>4843</f>
      </c>
      <c r="B4850" s="5" t="s">
        <v>4858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</row>
    <row r="4851" spans="1:11" x14ac:dyDescent="0.25">
      <c r="A4851" s="5">
        <f>4844</f>
      </c>
      <c r="B4851" s="5" t="s">
        <v>4859</v>
      </c>
      <c r="C4851" s="5">
        <v>0</v>
      </c>
      <c r="D4851" s="5">
        <v>0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</row>
    <row r="4852" spans="1:11" x14ac:dyDescent="0.25">
      <c r="A4852" s="5">
        <f>4845</f>
      </c>
      <c r="B4852" s="5" t="s">
        <v>4860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</row>
    <row r="4853" spans="1:11" x14ac:dyDescent="0.25">
      <c r="A4853" s="5">
        <f>4846</f>
      </c>
      <c r="B4853" s="5" t="s">
        <v>4861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</row>
    <row r="4854" spans="1:11" x14ac:dyDescent="0.25">
      <c r="A4854" s="5">
        <f>4847</f>
      </c>
      <c r="B4854" s="5" t="s">
        <v>4862</v>
      </c>
      <c r="C4854" s="5">
        <v>0</v>
      </c>
      <c r="D4854" s="5">
        <v>0</v>
      </c>
      <c r="E4854" s="5">
        <v>0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</row>
    <row r="4855" spans="1:11" x14ac:dyDescent="0.25">
      <c r="A4855" s="5">
        <f>4848</f>
      </c>
      <c r="B4855" s="5" t="s">
        <v>4863</v>
      </c>
      <c r="C4855" s="5">
        <v>0</v>
      </c>
      <c r="D4855" s="5">
        <v>0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</row>
    <row r="4856" spans="1:11" x14ac:dyDescent="0.25">
      <c r="A4856" s="5">
        <f>4849</f>
      </c>
      <c r="B4856" s="5" t="s">
        <v>4864</v>
      </c>
      <c r="C4856" s="5">
        <v>0</v>
      </c>
      <c r="D4856" s="5">
        <v>0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</row>
    <row r="4857" spans="1:11" x14ac:dyDescent="0.25">
      <c r="A4857" s="5">
        <f>4850</f>
      </c>
      <c r="B4857" s="5" t="s">
        <v>4865</v>
      </c>
      <c r="C4857" s="5">
        <v>0</v>
      </c>
      <c r="D4857" s="5">
        <v>0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</row>
    <row r="4858" spans="1:11" x14ac:dyDescent="0.25">
      <c r="A4858" s="5">
        <f>4851</f>
      </c>
      <c r="B4858" s="5" t="s">
        <v>4866</v>
      </c>
      <c r="C4858" s="5">
        <v>0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</row>
    <row r="4859" spans="1:11" x14ac:dyDescent="0.25">
      <c r="A4859" s="5">
        <f>4852</f>
      </c>
      <c r="B4859" s="5" t="s">
        <v>4867</v>
      </c>
      <c r="C4859" s="5">
        <v>0</v>
      </c>
      <c r="D4859" s="5">
        <v>0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</row>
    <row r="4860" spans="1:11" x14ac:dyDescent="0.25">
      <c r="A4860" s="5">
        <f>4853</f>
      </c>
      <c r="B4860" s="5" t="s">
        <v>4868</v>
      </c>
      <c r="C4860" s="5">
        <v>0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</row>
    <row r="4861" spans="1:11" x14ac:dyDescent="0.25">
      <c r="A4861" s="5">
        <f>4854</f>
      </c>
      <c r="B4861" s="5" t="s">
        <v>4869</v>
      </c>
      <c r="C4861" s="5">
        <v>0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</row>
    <row r="4862" spans="1:11" x14ac:dyDescent="0.25">
      <c r="A4862" s="5">
        <f>4855</f>
      </c>
      <c r="B4862" s="5" t="s">
        <v>4870</v>
      </c>
      <c r="C4862" s="5">
        <v>0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</row>
    <row r="4863" spans="1:11" x14ac:dyDescent="0.25">
      <c r="A4863" s="5">
        <f>4856</f>
      </c>
      <c r="B4863" s="5" t="s">
        <v>4871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</row>
    <row r="4864" spans="1:11" x14ac:dyDescent="0.25">
      <c r="A4864" s="5">
        <f>4857</f>
      </c>
      <c r="B4864" s="5" t="s">
        <v>4872</v>
      </c>
      <c r="C4864" s="5">
        <v>0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</row>
    <row r="4865" spans="1:11" x14ac:dyDescent="0.25">
      <c r="A4865" s="5">
        <f>4858</f>
      </c>
      <c r="B4865" s="5" t="s">
        <v>4873</v>
      </c>
      <c r="C4865" s="5">
        <v>0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</row>
    <row r="4866" spans="1:11" x14ac:dyDescent="0.25">
      <c r="A4866" s="5">
        <f>4859</f>
      </c>
      <c r="B4866" s="5" t="s">
        <v>4874</v>
      </c>
      <c r="C4866" s="5">
        <v>0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</row>
    <row r="4867" spans="1:11" x14ac:dyDescent="0.25">
      <c r="A4867" s="5">
        <f>4860</f>
      </c>
      <c r="B4867" s="5" t="s">
        <v>4875</v>
      </c>
      <c r="C4867" s="5">
        <v>0</v>
      </c>
      <c r="D4867" s="5">
        <v>0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</row>
    <row r="4868" spans="1:11" x14ac:dyDescent="0.25">
      <c r="A4868" s="5">
        <f>4861</f>
      </c>
      <c r="B4868" s="5" t="s">
        <v>4876</v>
      </c>
      <c r="C4868" s="5">
        <v>0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</row>
    <row r="4869" spans="1:11" x14ac:dyDescent="0.25">
      <c r="A4869" s="5">
        <f>4862</f>
      </c>
      <c r="B4869" s="5" t="s">
        <v>4877</v>
      </c>
      <c r="C4869" s="5">
        <v>0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</row>
    <row r="4870" spans="1:11" x14ac:dyDescent="0.25">
      <c r="A4870" s="5">
        <f>4863</f>
      </c>
      <c r="B4870" s="5" t="s">
        <v>4878</v>
      </c>
      <c r="C4870" s="5">
        <v>0</v>
      </c>
      <c r="D4870" s="5">
        <v>0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</row>
    <row r="4871" spans="1:11" x14ac:dyDescent="0.25">
      <c r="A4871" s="5">
        <f>4864</f>
      </c>
      <c r="B4871" s="5" t="s">
        <v>4879</v>
      </c>
      <c r="C4871" s="5">
        <v>0</v>
      </c>
      <c r="D4871" s="5">
        <v>0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</row>
    <row r="4872" spans="1:11" x14ac:dyDescent="0.25">
      <c r="A4872" s="5">
        <f>4865</f>
      </c>
      <c r="B4872" s="5" t="s">
        <v>4880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</row>
    <row r="4873" spans="1:11" x14ac:dyDescent="0.25">
      <c r="A4873" s="5">
        <f>4866</f>
      </c>
      <c r="B4873" s="5" t="s">
        <v>4881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</row>
    <row r="4874" spans="1:11" x14ac:dyDescent="0.25">
      <c r="A4874" s="5">
        <f>4867</f>
      </c>
      <c r="B4874" s="5" t="s">
        <v>4882</v>
      </c>
      <c r="C4874" s="5">
        <v>0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</row>
    <row r="4875" spans="1:11" x14ac:dyDescent="0.25">
      <c r="A4875" s="5">
        <f>4868</f>
      </c>
      <c r="B4875" s="5" t="s">
        <v>4883</v>
      </c>
      <c r="C4875" s="5">
        <v>0</v>
      </c>
      <c r="D4875" s="5">
        <v>0</v>
      </c>
      <c r="E4875" s="5">
        <v>0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</row>
    <row r="4876" spans="1:11" x14ac:dyDescent="0.25">
      <c r="A4876" s="5">
        <f>4869</f>
      </c>
      <c r="B4876" s="5" t="s">
        <v>4884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</row>
    <row r="4877" spans="1:11" x14ac:dyDescent="0.25">
      <c r="A4877" s="5">
        <f>4870</f>
      </c>
      <c r="B4877" s="5" t="s">
        <v>4885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</row>
    <row r="4878" spans="1:11" x14ac:dyDescent="0.25">
      <c r="A4878" s="5">
        <f>4871</f>
      </c>
      <c r="B4878" s="5" t="s">
        <v>4886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</row>
    <row r="4879" spans="1:11" x14ac:dyDescent="0.25">
      <c r="A4879" s="5">
        <f>4872</f>
      </c>
      <c r="B4879" s="5" t="s">
        <v>4887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</row>
    <row r="4880" spans="1:11" x14ac:dyDescent="0.25">
      <c r="A4880" s="5">
        <f>4873</f>
      </c>
      <c r="B4880" s="5" t="s">
        <v>4888</v>
      </c>
      <c r="C4880" s="5">
        <v>0</v>
      </c>
      <c r="D4880" s="5">
        <v>0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</row>
    <row r="4881" spans="1:11" x14ac:dyDescent="0.25">
      <c r="A4881" s="5">
        <f>4874</f>
      </c>
      <c r="B4881" s="5" t="s">
        <v>4889</v>
      </c>
      <c r="C4881" s="5">
        <v>0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</row>
    <row r="4882" spans="1:11" x14ac:dyDescent="0.25">
      <c r="A4882" s="5">
        <f>4875</f>
      </c>
      <c r="B4882" s="5" t="s">
        <v>4890</v>
      </c>
      <c r="C4882" s="5">
        <v>0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</row>
    <row r="4883" spans="1:11" x14ac:dyDescent="0.25">
      <c r="A4883" s="5">
        <f>4876</f>
      </c>
      <c r="B4883" s="5" t="s">
        <v>4891</v>
      </c>
      <c r="C4883" s="5">
        <v>0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</row>
    <row r="4884" spans="1:11" x14ac:dyDescent="0.25">
      <c r="A4884" s="5">
        <f>4877</f>
      </c>
      <c r="B4884" s="5" t="s">
        <v>4892</v>
      </c>
      <c r="C4884" s="5">
        <v>0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</row>
    <row r="4885" spans="1:11" x14ac:dyDescent="0.25">
      <c r="A4885" s="5">
        <f>4878</f>
      </c>
      <c r="B4885" s="5" t="s">
        <v>4893</v>
      </c>
      <c r="C4885" s="5">
        <v>0</v>
      </c>
      <c r="D4885" s="5">
        <v>0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</row>
    <row r="4886" spans="1:11" x14ac:dyDescent="0.25">
      <c r="A4886" s="5">
        <f>4879</f>
      </c>
      <c r="B4886" s="5" t="s">
        <v>4894</v>
      </c>
      <c r="C4886" s="5">
        <v>0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</row>
    <row r="4887" spans="1:11" x14ac:dyDescent="0.25">
      <c r="A4887" s="5">
        <f>4880</f>
      </c>
      <c r="B4887" s="5" t="s">
        <v>4895</v>
      </c>
      <c r="C4887" s="5">
        <v>0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</row>
    <row r="4888" spans="1:11" x14ac:dyDescent="0.25">
      <c r="A4888" s="5">
        <f>4881</f>
      </c>
      <c r="B4888" s="5" t="s">
        <v>4896</v>
      </c>
      <c r="C4888" s="5">
        <v>0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</row>
    <row r="4889" spans="1:11" x14ac:dyDescent="0.25">
      <c r="A4889" s="5">
        <f>4882</f>
      </c>
      <c r="B4889" s="5" t="s">
        <v>4897</v>
      </c>
      <c r="C4889" s="5">
        <v>0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</row>
    <row r="4890" spans="1:11" x14ac:dyDescent="0.25">
      <c r="A4890" s="5">
        <f>4883</f>
      </c>
      <c r="B4890" s="5" t="s">
        <v>4898</v>
      </c>
      <c r="C4890" s="5">
        <v>0</v>
      </c>
      <c r="D4890" s="5">
        <v>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</row>
    <row r="4891" spans="1:11" x14ac:dyDescent="0.25">
      <c r="A4891" s="5">
        <f>4884</f>
      </c>
      <c r="B4891" s="5" t="s">
        <v>4899</v>
      </c>
      <c r="C4891" s="5">
        <v>0</v>
      </c>
      <c r="D4891" s="5">
        <v>0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</row>
    <row r="4892" spans="1:11" x14ac:dyDescent="0.25">
      <c r="A4892" s="5">
        <f>4885</f>
      </c>
      <c r="B4892" s="5" t="s">
        <v>4900</v>
      </c>
      <c r="C4892" s="5">
        <v>0</v>
      </c>
      <c r="D4892" s="5">
        <v>0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</row>
    <row r="4893" spans="1:11" x14ac:dyDescent="0.25">
      <c r="A4893" s="5">
        <f>4886</f>
      </c>
      <c r="B4893" s="5" t="s">
        <v>4901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</row>
    <row r="4894" spans="1:11" x14ac:dyDescent="0.25">
      <c r="A4894" s="5">
        <f>4887</f>
      </c>
      <c r="B4894" s="5" t="s">
        <v>4902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</row>
    <row r="4895" spans="1:11" x14ac:dyDescent="0.25">
      <c r="A4895" s="5">
        <f>4888</f>
      </c>
      <c r="B4895" s="5" t="s">
        <v>4903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</row>
    <row r="4896" spans="1:11" x14ac:dyDescent="0.25">
      <c r="A4896" s="5">
        <f>4889</f>
      </c>
      <c r="B4896" s="5" t="s">
        <v>4904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</row>
    <row r="4897" spans="1:11" x14ac:dyDescent="0.25">
      <c r="A4897" s="5">
        <f>4890</f>
      </c>
      <c r="B4897" s="5" t="s">
        <v>4905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</row>
    <row r="4898" spans="1:11" x14ac:dyDescent="0.25">
      <c r="A4898" s="5">
        <f>4891</f>
      </c>
      <c r="B4898" s="5" t="s">
        <v>4906</v>
      </c>
      <c r="C4898" s="5">
        <v>0</v>
      </c>
      <c r="D4898" s="5">
        <v>0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</row>
    <row r="4899" spans="1:11" x14ac:dyDescent="0.25">
      <c r="A4899" s="5">
        <f>4892</f>
      </c>
      <c r="B4899" s="5" t="s">
        <v>4907</v>
      </c>
      <c r="C4899" s="5">
        <v>0</v>
      </c>
      <c r="D4899" s="5">
        <v>0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</row>
    <row r="4900" spans="1:11" x14ac:dyDescent="0.25">
      <c r="A4900" s="5">
        <f>4893</f>
      </c>
      <c r="B4900" s="5" t="s">
        <v>4908</v>
      </c>
      <c r="C4900" s="5">
        <v>0</v>
      </c>
      <c r="D4900" s="5">
        <v>0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</row>
    <row r="4901" spans="1:11" x14ac:dyDescent="0.25">
      <c r="A4901" s="5">
        <f>4894</f>
      </c>
      <c r="B4901" s="5" t="s">
        <v>4909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</row>
    <row r="4902" spans="1:11" x14ac:dyDescent="0.25">
      <c r="A4902" s="5">
        <f>4895</f>
      </c>
      <c r="B4902" s="5" t="s">
        <v>4910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</row>
    <row r="4903" spans="1:11" x14ac:dyDescent="0.25">
      <c r="A4903" s="5">
        <f>4896</f>
      </c>
      <c r="B4903" s="5" t="s">
        <v>4911</v>
      </c>
      <c r="C4903" s="5">
        <v>0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</row>
    <row r="4904" spans="1:11" x14ac:dyDescent="0.25">
      <c r="A4904" s="5">
        <f>4897</f>
      </c>
      <c r="B4904" s="5" t="s">
        <v>4912</v>
      </c>
      <c r="C4904" s="5">
        <v>0</v>
      </c>
      <c r="D4904" s="5">
        <v>0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</row>
    <row r="4905" spans="1:11" x14ac:dyDescent="0.25">
      <c r="A4905" s="5">
        <f>4898</f>
      </c>
      <c r="B4905" s="5" t="s">
        <v>4913</v>
      </c>
      <c r="C4905" s="5">
        <v>0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</row>
    <row r="4906" spans="1:11" x14ac:dyDescent="0.25">
      <c r="A4906" s="5">
        <f>4899</f>
      </c>
      <c r="B4906" s="5" t="s">
        <v>4914</v>
      </c>
      <c r="C4906" s="5">
        <v>0</v>
      </c>
      <c r="D4906" s="5">
        <v>0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</row>
    <row r="4907" spans="1:11" x14ac:dyDescent="0.25">
      <c r="A4907" s="5">
        <f>4900</f>
      </c>
      <c r="B4907" s="5" t="s">
        <v>4915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</row>
    <row r="4908" spans="1:11" x14ac:dyDescent="0.25">
      <c r="A4908" s="5">
        <f>4901</f>
      </c>
      <c r="B4908" s="5" t="s">
        <v>4916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</row>
    <row r="4909" spans="1:11" x14ac:dyDescent="0.25">
      <c r="A4909" s="5">
        <f>4902</f>
      </c>
      <c r="B4909" s="5" t="s">
        <v>4917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</row>
    <row r="4910" spans="1:11" x14ac:dyDescent="0.25">
      <c r="A4910" s="5">
        <f>4903</f>
      </c>
      <c r="B4910" s="5" t="s">
        <v>4918</v>
      </c>
      <c r="C4910" s="5">
        <v>0</v>
      </c>
      <c r="D4910" s="5">
        <v>0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</row>
    <row r="4911" spans="1:11" x14ac:dyDescent="0.25">
      <c r="A4911" s="5">
        <f>4904</f>
      </c>
      <c r="B4911" s="5" t="s">
        <v>4919</v>
      </c>
      <c r="C4911" s="5">
        <v>0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</row>
    <row r="4912" spans="1:11" x14ac:dyDescent="0.25">
      <c r="A4912" s="5">
        <f>4905</f>
      </c>
      <c r="B4912" s="5" t="s">
        <v>4920</v>
      </c>
      <c r="C4912" s="5">
        <v>0</v>
      </c>
      <c r="D4912" s="5">
        <v>0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</row>
    <row r="4913" spans="1:11" x14ac:dyDescent="0.25">
      <c r="A4913" s="5">
        <f>4906</f>
      </c>
      <c r="B4913" s="5" t="s">
        <v>4921</v>
      </c>
      <c r="C4913" s="5">
        <v>0</v>
      </c>
      <c r="D4913" s="5">
        <v>0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</row>
    <row r="4914" spans="1:11" x14ac:dyDescent="0.25">
      <c r="A4914" s="5">
        <f>4907</f>
      </c>
      <c r="B4914" s="5" t="s">
        <v>4922</v>
      </c>
      <c r="C4914" s="5">
        <v>0</v>
      </c>
      <c r="D4914" s="5">
        <v>0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</row>
    <row r="4915" spans="1:11" x14ac:dyDescent="0.25">
      <c r="A4915" s="5">
        <f>4908</f>
      </c>
      <c r="B4915" s="5" t="s">
        <v>4923</v>
      </c>
      <c r="C4915" s="5">
        <v>0</v>
      </c>
      <c r="D4915" s="5">
        <v>0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</row>
    <row r="4916" spans="1:11" x14ac:dyDescent="0.25">
      <c r="A4916" s="5">
        <f>4909</f>
      </c>
      <c r="B4916" s="5" t="s">
        <v>4924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</row>
    <row r="4917" spans="1:11" x14ac:dyDescent="0.25">
      <c r="A4917" s="5">
        <f>4910</f>
      </c>
      <c r="B4917" s="5" t="s">
        <v>4925</v>
      </c>
      <c r="C4917" s="5">
        <v>0</v>
      </c>
      <c r="D4917" s="5">
        <v>0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</row>
    <row r="4918" spans="1:11" x14ac:dyDescent="0.25">
      <c r="A4918" s="5">
        <f>4911</f>
      </c>
      <c r="B4918" s="5" t="s">
        <v>4926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</row>
    <row r="4919" spans="1:11" x14ac:dyDescent="0.25">
      <c r="A4919" s="5">
        <f>4912</f>
      </c>
      <c r="B4919" s="5" t="s">
        <v>4927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</row>
    <row r="4920" spans="1:11" x14ac:dyDescent="0.25">
      <c r="A4920" s="5">
        <f>4913</f>
      </c>
      <c r="B4920" s="5" t="s">
        <v>4928</v>
      </c>
      <c r="C4920" s="5">
        <v>0</v>
      </c>
      <c r="D4920" s="5">
        <v>0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</row>
    <row r="4921" spans="1:11" x14ac:dyDescent="0.25">
      <c r="A4921" s="5">
        <f>4914</f>
      </c>
      <c r="B4921" s="5" t="s">
        <v>4929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</row>
    <row r="4922" spans="1:11" x14ac:dyDescent="0.25">
      <c r="A4922" s="5">
        <f>4915</f>
      </c>
      <c r="B4922" s="5" t="s">
        <v>4930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</row>
    <row r="4923" spans="1:11" x14ac:dyDescent="0.25">
      <c r="A4923" s="5">
        <f>4916</f>
      </c>
      <c r="B4923" s="5" t="s">
        <v>4931</v>
      </c>
      <c r="C4923" s="5">
        <v>0</v>
      </c>
      <c r="D4923" s="5">
        <v>0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</row>
    <row r="4924" spans="1:11" x14ac:dyDescent="0.25">
      <c r="A4924" s="5">
        <f>4917</f>
      </c>
      <c r="B4924" s="5" t="s">
        <v>4932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</row>
    <row r="4925" spans="1:11" x14ac:dyDescent="0.25">
      <c r="A4925" s="5">
        <f>4918</f>
      </c>
      <c r="B4925" s="5" t="s">
        <v>4933</v>
      </c>
      <c r="C4925" s="5">
        <v>0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</row>
    <row r="4926" spans="1:11" x14ac:dyDescent="0.25">
      <c r="A4926" s="5">
        <f>4919</f>
      </c>
      <c r="B4926" s="5" t="s">
        <v>4934</v>
      </c>
      <c r="C4926" s="5">
        <v>0</v>
      </c>
      <c r="D4926" s="5">
        <v>0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</row>
    <row r="4927" spans="1:11" x14ac:dyDescent="0.25">
      <c r="A4927" s="5">
        <f>4920</f>
      </c>
      <c r="B4927" s="5" t="s">
        <v>4935</v>
      </c>
      <c r="C4927" s="5">
        <v>0</v>
      </c>
      <c r="D4927" s="5">
        <v>0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</row>
    <row r="4928" spans="1:11" x14ac:dyDescent="0.25">
      <c r="A4928" s="5">
        <f>4921</f>
      </c>
      <c r="B4928" s="5" t="s">
        <v>4936</v>
      </c>
      <c r="C4928" s="5">
        <v>0</v>
      </c>
      <c r="D4928" s="5">
        <v>0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0</v>
      </c>
    </row>
    <row r="4929" spans="1:11" x14ac:dyDescent="0.25">
      <c r="A4929" s="5">
        <f>4922</f>
      </c>
      <c r="B4929" s="5" t="s">
        <v>4937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</row>
    <row r="4930" spans="1:11" x14ac:dyDescent="0.25">
      <c r="A4930" s="5">
        <f>4923</f>
      </c>
      <c r="B4930" s="5" t="s">
        <v>4938</v>
      </c>
      <c r="C4930" s="5">
        <v>0</v>
      </c>
      <c r="D4930" s="5">
        <v>0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</row>
    <row r="4931" spans="1:11" x14ac:dyDescent="0.25">
      <c r="A4931" s="5">
        <f>4924</f>
      </c>
      <c r="B4931" s="5" t="s">
        <v>4939</v>
      </c>
      <c r="C4931" s="5">
        <v>0</v>
      </c>
      <c r="D4931" s="5">
        <v>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</row>
    <row r="4932" spans="1:11" x14ac:dyDescent="0.25">
      <c r="A4932" s="5">
        <f>4925</f>
      </c>
      <c r="B4932" s="5" t="s">
        <v>4940</v>
      </c>
      <c r="C4932" s="5">
        <v>0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</row>
    <row r="4933" spans="1:11" x14ac:dyDescent="0.25">
      <c r="A4933" s="5">
        <f>4926</f>
      </c>
      <c r="B4933" s="5" t="s">
        <v>4941</v>
      </c>
      <c r="C4933" s="5">
        <v>0</v>
      </c>
      <c r="D4933" s="5">
        <v>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</row>
    <row r="4934" spans="1:11" x14ac:dyDescent="0.25">
      <c r="A4934" s="5">
        <f>4927</f>
      </c>
      <c r="B4934" s="5" t="s">
        <v>4942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</row>
    <row r="4935" spans="1:11" x14ac:dyDescent="0.25">
      <c r="A4935" s="5">
        <f>4928</f>
      </c>
      <c r="B4935" s="5" t="s">
        <v>4943</v>
      </c>
      <c r="C4935" s="5">
        <v>0</v>
      </c>
      <c r="D4935" s="5">
        <v>0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</row>
    <row r="4936" spans="1:11" x14ac:dyDescent="0.25">
      <c r="A4936" s="5">
        <f>4929</f>
      </c>
      <c r="B4936" s="5" t="s">
        <v>4944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</row>
    <row r="4937" spans="1:11" x14ac:dyDescent="0.25">
      <c r="A4937" s="5">
        <f>4930</f>
      </c>
      <c r="B4937" s="5" t="s">
        <v>4945</v>
      </c>
      <c r="C4937" s="5">
        <v>0</v>
      </c>
      <c r="D4937" s="5">
        <v>0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</row>
    <row r="4938" spans="1:11" x14ac:dyDescent="0.25">
      <c r="A4938" s="5">
        <f>4931</f>
      </c>
      <c r="B4938" s="5" t="s">
        <v>4946</v>
      </c>
      <c r="C4938" s="5">
        <v>0</v>
      </c>
      <c r="D4938" s="5">
        <v>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</row>
    <row r="4939" spans="1:11" x14ac:dyDescent="0.25">
      <c r="A4939" s="5">
        <f>4932</f>
      </c>
      <c r="B4939" s="5" t="s">
        <v>4947</v>
      </c>
      <c r="C4939" s="5">
        <v>0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</row>
    <row r="4940" spans="1:11" x14ac:dyDescent="0.25">
      <c r="A4940" s="5">
        <f>4933</f>
      </c>
      <c r="B4940" s="5" t="s">
        <v>4948</v>
      </c>
      <c r="C4940" s="5">
        <v>0</v>
      </c>
      <c r="D4940" s="5">
        <v>0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</row>
    <row r="4941" spans="1:11" x14ac:dyDescent="0.25">
      <c r="A4941" s="5">
        <f>4934</f>
      </c>
      <c r="B4941" s="5" t="s">
        <v>4949</v>
      </c>
      <c r="C4941" s="5">
        <v>0</v>
      </c>
      <c r="D4941" s="5">
        <v>0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</row>
    <row r="4942" spans="1:11" x14ac:dyDescent="0.25">
      <c r="A4942" s="5">
        <f>4935</f>
      </c>
      <c r="B4942" s="5" t="s">
        <v>4950</v>
      </c>
      <c r="C4942" s="5">
        <v>0</v>
      </c>
      <c r="D4942" s="5">
        <v>0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</row>
    <row r="4943" spans="1:11" x14ac:dyDescent="0.25">
      <c r="A4943" s="5">
        <f>4936</f>
      </c>
      <c r="B4943" s="5" t="s">
        <v>4951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</row>
    <row r="4944" spans="1:11" x14ac:dyDescent="0.25">
      <c r="A4944" s="5">
        <f>4937</f>
      </c>
      <c r="B4944" s="5" t="s">
        <v>4952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</row>
    <row r="4945" spans="1:11" x14ac:dyDescent="0.25">
      <c r="A4945" s="5">
        <f>4938</f>
      </c>
      <c r="B4945" s="5" t="s">
        <v>4953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</row>
    <row r="4946" spans="1:11" x14ac:dyDescent="0.25">
      <c r="A4946" s="5">
        <f>4939</f>
      </c>
      <c r="B4946" s="5" t="s">
        <v>4954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</row>
    <row r="4947" spans="1:11" x14ac:dyDescent="0.25">
      <c r="A4947" s="5">
        <f>4940</f>
      </c>
      <c r="B4947" s="5" t="s">
        <v>4955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</row>
    <row r="4948" spans="1:11" x14ac:dyDescent="0.25">
      <c r="A4948" s="5">
        <f>4941</f>
      </c>
      <c r="B4948" s="5" t="s">
        <v>4956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</row>
    <row r="4949" spans="1:11" x14ac:dyDescent="0.25">
      <c r="A4949" s="5">
        <f>4942</f>
      </c>
      <c r="B4949" s="5" t="s">
        <v>4957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</row>
    <row r="4950" spans="1:11" x14ac:dyDescent="0.25">
      <c r="A4950" s="5">
        <f>4943</f>
      </c>
      <c r="B4950" s="5" t="s">
        <v>4958</v>
      </c>
      <c r="C4950" s="5">
        <v>0</v>
      </c>
      <c r="D4950" s="5">
        <v>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</row>
    <row r="4951" spans="1:11" x14ac:dyDescent="0.25">
      <c r="A4951" s="5">
        <f>4944</f>
      </c>
      <c r="B4951" s="5" t="s">
        <v>4959</v>
      </c>
      <c r="C4951" s="5">
        <v>0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</row>
    <row r="4952" spans="1:11" x14ac:dyDescent="0.25">
      <c r="A4952" s="5">
        <f>4945</f>
      </c>
      <c r="B4952" s="5" t="s">
        <v>4960</v>
      </c>
      <c r="C4952" s="5">
        <v>0</v>
      </c>
      <c r="D4952" s="5">
        <v>0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</row>
    <row r="4953" spans="1:11" x14ac:dyDescent="0.25">
      <c r="A4953" s="5">
        <f>4946</f>
      </c>
      <c r="B4953" s="5" t="s">
        <v>4961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</row>
    <row r="4954" spans="1:11" x14ac:dyDescent="0.25">
      <c r="A4954" s="5">
        <f>4947</f>
      </c>
      <c r="B4954" s="5" t="s">
        <v>4962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</row>
    <row r="4955" spans="1:11" x14ac:dyDescent="0.25">
      <c r="A4955" s="5">
        <f>4948</f>
      </c>
      <c r="B4955" s="5" t="s">
        <v>4963</v>
      </c>
      <c r="C4955" s="5">
        <v>0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</row>
    <row r="4956" spans="1:11" x14ac:dyDescent="0.25">
      <c r="A4956" s="5">
        <f>4949</f>
      </c>
      <c r="B4956" s="5" t="s">
        <v>4964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</row>
    <row r="4957" spans="1:11" x14ac:dyDescent="0.25">
      <c r="A4957" s="5">
        <f>4950</f>
      </c>
      <c r="B4957" s="5" t="s">
        <v>4965</v>
      </c>
      <c r="C4957" s="5">
        <v>0</v>
      </c>
      <c r="D4957" s="5">
        <v>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</row>
    <row r="4958" spans="1:11" x14ac:dyDescent="0.25">
      <c r="A4958" s="5">
        <f>4951</f>
      </c>
      <c r="B4958" s="5" t="s">
        <v>4966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</row>
    <row r="4959" spans="1:11" x14ac:dyDescent="0.25">
      <c r="A4959" s="5">
        <f>4952</f>
      </c>
      <c r="B4959" s="5" t="s">
        <v>4967</v>
      </c>
      <c r="C4959" s="5">
        <v>0</v>
      </c>
      <c r="D4959" s="5">
        <v>0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</row>
    <row r="4960" spans="1:11" x14ac:dyDescent="0.25">
      <c r="A4960" s="5">
        <f>4953</f>
      </c>
      <c r="B4960" s="5" t="s">
        <v>4968</v>
      </c>
      <c r="C4960" s="5">
        <v>0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</row>
    <row r="4961" spans="1:11" x14ac:dyDescent="0.25">
      <c r="A4961" s="5">
        <f>4954</f>
      </c>
      <c r="B4961" s="5" t="s">
        <v>4969</v>
      </c>
      <c r="C4961" s="5">
        <v>0</v>
      </c>
      <c r="D4961" s="5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</row>
    <row r="4962" spans="1:11" x14ac:dyDescent="0.25">
      <c r="A4962" s="5">
        <f>4955</f>
      </c>
      <c r="B4962" s="5" t="s">
        <v>4970</v>
      </c>
      <c r="C4962" s="5">
        <v>0</v>
      </c>
      <c r="D4962" s="5">
        <v>0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</row>
    <row r="4963" spans="1:11" x14ac:dyDescent="0.25">
      <c r="A4963" s="5">
        <f>4956</f>
      </c>
      <c r="B4963" s="5" t="s">
        <v>4971</v>
      </c>
      <c r="C4963" s="5">
        <v>0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</row>
    <row r="4964" spans="1:11" x14ac:dyDescent="0.25">
      <c r="A4964" s="5">
        <f>4957</f>
      </c>
      <c r="B4964" s="5" t="s">
        <v>4972</v>
      </c>
      <c r="C4964" s="5">
        <v>0</v>
      </c>
      <c r="D4964" s="5">
        <v>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</row>
    <row r="4965" spans="1:11" x14ac:dyDescent="0.25">
      <c r="A4965" s="5">
        <f>4958</f>
      </c>
      <c r="B4965" s="5" t="s">
        <v>4973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</row>
    <row r="4966" spans="1:11" x14ac:dyDescent="0.25">
      <c r="A4966" s="5">
        <f>4959</f>
      </c>
      <c r="B4966" s="5" t="s">
        <v>4974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</row>
    <row r="4967" spans="1:11" x14ac:dyDescent="0.25">
      <c r="A4967" s="5">
        <f>4960</f>
      </c>
      <c r="B4967" s="5" t="s">
        <v>4975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</row>
    <row r="4968" spans="1:11" x14ac:dyDescent="0.25">
      <c r="A4968" s="5">
        <f>4961</f>
      </c>
      <c r="B4968" s="5" t="s">
        <v>4976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</row>
    <row r="4969" spans="1:11" x14ac:dyDescent="0.25">
      <c r="A4969" s="5">
        <f>4962</f>
      </c>
      <c r="B4969" s="5" t="s">
        <v>4977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</row>
    <row r="4970" spans="1:11" x14ac:dyDescent="0.25">
      <c r="A4970" s="5">
        <f>4963</f>
      </c>
      <c r="B4970" s="5" t="s">
        <v>4978</v>
      </c>
      <c r="C4970" s="5">
        <v>0</v>
      </c>
      <c r="D4970" s="5">
        <v>0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</row>
    <row r="4971" spans="1:11" x14ac:dyDescent="0.25">
      <c r="A4971" s="5">
        <f>4964</f>
      </c>
      <c r="B4971" s="5" t="s">
        <v>4979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</row>
    <row r="4972" spans="1:11" x14ac:dyDescent="0.25">
      <c r="A4972" s="5">
        <f>4965</f>
      </c>
      <c r="B4972" s="5" t="s">
        <v>4980</v>
      </c>
      <c r="C4972" s="5">
        <v>0</v>
      </c>
      <c r="D4972" s="5">
        <v>0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</row>
    <row r="4973" spans="1:11" x14ac:dyDescent="0.25">
      <c r="A4973" s="5">
        <f>4966</f>
      </c>
      <c r="B4973" s="5" t="s">
        <v>4981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</row>
    <row r="4974" spans="1:11" x14ac:dyDescent="0.25">
      <c r="A4974" s="5">
        <f>4967</f>
      </c>
      <c r="B4974" s="5" t="s">
        <v>4982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</row>
    <row r="4975" spans="1:11" x14ac:dyDescent="0.25">
      <c r="A4975" s="5">
        <f>4968</f>
      </c>
      <c r="B4975" s="5" t="s">
        <v>4983</v>
      </c>
      <c r="C4975" s="5">
        <v>0</v>
      </c>
      <c r="D4975" s="5">
        <v>0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</row>
    <row r="4976" spans="1:11" x14ac:dyDescent="0.25">
      <c r="A4976" s="5">
        <f>4969</f>
      </c>
      <c r="B4976" s="5" t="s">
        <v>4984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</row>
    <row r="4977" spans="1:11" x14ac:dyDescent="0.25">
      <c r="A4977" s="5">
        <f>4970</f>
      </c>
      <c r="B4977" s="5" t="s">
        <v>4985</v>
      </c>
      <c r="C4977" s="5">
        <v>0</v>
      </c>
      <c r="D4977" s="5">
        <v>0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</row>
    <row r="4978" spans="1:11" x14ac:dyDescent="0.25">
      <c r="A4978" s="5">
        <f>4971</f>
      </c>
      <c r="B4978" s="5" t="s">
        <v>4986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</row>
    <row r="4979" spans="1:11" x14ac:dyDescent="0.25">
      <c r="A4979" s="5">
        <f>4972</f>
      </c>
      <c r="B4979" s="5" t="s">
        <v>4987</v>
      </c>
      <c r="C4979" s="5">
        <v>0</v>
      </c>
      <c r="D4979" s="5">
        <v>0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</row>
    <row r="4980" spans="1:11" x14ac:dyDescent="0.25">
      <c r="A4980" s="5">
        <f>4973</f>
      </c>
      <c r="B4980" s="5" t="s">
        <v>4988</v>
      </c>
      <c r="C4980" s="5">
        <v>0</v>
      </c>
      <c r="D4980" s="5">
        <v>0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</row>
    <row r="4981" spans="1:11" x14ac:dyDescent="0.25">
      <c r="A4981" s="5">
        <f>4974</f>
      </c>
      <c r="B4981" s="5" t="s">
        <v>4989</v>
      </c>
      <c r="C4981" s="5">
        <v>0</v>
      </c>
      <c r="D4981" s="5">
        <v>0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</row>
    <row r="4982" spans="1:11" x14ac:dyDescent="0.25">
      <c r="A4982" s="5">
        <f>4975</f>
      </c>
      <c r="B4982" s="5" t="s">
        <v>4990</v>
      </c>
      <c r="C4982" s="5">
        <v>0</v>
      </c>
      <c r="D4982" s="5">
        <v>0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</row>
    <row r="4983" spans="1:11" x14ac:dyDescent="0.25">
      <c r="A4983" s="5">
        <f>4976</f>
      </c>
      <c r="B4983" s="5" t="s">
        <v>4991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</row>
    <row r="4984" spans="1:11" x14ac:dyDescent="0.25">
      <c r="A4984" s="5">
        <f>4977</f>
      </c>
      <c r="B4984" s="5" t="s">
        <v>4992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</row>
    <row r="4985" spans="1:11" x14ac:dyDescent="0.25">
      <c r="A4985" s="5">
        <f>4978</f>
      </c>
      <c r="B4985" s="5" t="s">
        <v>4993</v>
      </c>
      <c r="C4985" s="5">
        <v>0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</row>
    <row r="4986" spans="1:11" x14ac:dyDescent="0.25">
      <c r="A4986" s="5">
        <f>4979</f>
      </c>
      <c r="B4986" s="5" t="s">
        <v>4994</v>
      </c>
      <c r="C4986" s="5">
        <v>0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</row>
    <row r="4987" spans="1:11" x14ac:dyDescent="0.25">
      <c r="A4987" s="5">
        <f>4980</f>
      </c>
      <c r="B4987" s="5" t="s">
        <v>4995</v>
      </c>
      <c r="C4987" s="5">
        <v>0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</row>
    <row r="4988" spans="1:11" x14ac:dyDescent="0.25">
      <c r="A4988" s="5">
        <f>4981</f>
      </c>
      <c r="B4988" s="5" t="s">
        <v>4996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</row>
    <row r="4989" spans="1:11" x14ac:dyDescent="0.25">
      <c r="A4989" s="5">
        <f>4982</f>
      </c>
      <c r="B4989" s="5" t="s">
        <v>4997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</row>
    <row r="4990" spans="1:11" x14ac:dyDescent="0.25">
      <c r="A4990" s="5">
        <f>4983</f>
      </c>
      <c r="B4990" s="5" t="s">
        <v>4998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</row>
    <row r="4991" spans="1:11" x14ac:dyDescent="0.25">
      <c r="A4991" s="5">
        <f>4984</f>
      </c>
      <c r="B4991" s="5" t="s">
        <v>4999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</row>
    <row r="4992" spans="1:11" x14ac:dyDescent="0.25">
      <c r="A4992" s="5">
        <f>4985</f>
      </c>
      <c r="B4992" s="5" t="s">
        <v>5000</v>
      </c>
      <c r="C4992" s="5">
        <v>0</v>
      </c>
      <c r="D4992" s="5">
        <v>0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</row>
    <row r="4993" spans="1:11" x14ac:dyDescent="0.25">
      <c r="A4993" s="5">
        <f>4986</f>
      </c>
      <c r="B4993" s="5" t="s">
        <v>5001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</row>
    <row r="4994" spans="1:11" x14ac:dyDescent="0.25">
      <c r="A4994" s="5">
        <f>4987</f>
      </c>
      <c r="B4994" s="5" t="s">
        <v>5002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</row>
    <row r="4995" spans="1:11" x14ac:dyDescent="0.25">
      <c r="A4995" s="5">
        <f>4988</f>
      </c>
      <c r="B4995" s="5" t="s">
        <v>5003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</row>
    <row r="4996" spans="1:11" x14ac:dyDescent="0.25">
      <c r="A4996" s="5">
        <f>4989</f>
      </c>
      <c r="B4996" s="5" t="s">
        <v>5004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</row>
    <row r="4997" spans="1:11" x14ac:dyDescent="0.25">
      <c r="A4997" s="5">
        <f>4990</f>
      </c>
      <c r="B4997" s="5" t="s">
        <v>5005</v>
      </c>
      <c r="C4997" s="5">
        <v>0</v>
      </c>
      <c r="D4997" s="5">
        <v>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</row>
    <row r="4998" spans="1:11" x14ac:dyDescent="0.25">
      <c r="A4998" s="5">
        <f>4991</f>
      </c>
      <c r="B4998" s="5" t="s">
        <v>5006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</row>
    <row r="4999" spans="1:11" x14ac:dyDescent="0.25">
      <c r="A4999" s="5">
        <f>4992</f>
      </c>
      <c r="B4999" s="5" t="s">
        <v>5007</v>
      </c>
      <c r="C4999" s="5">
        <v>0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</row>
    <row r="5000" spans="1:11" x14ac:dyDescent="0.25">
      <c r="A5000" s="5">
        <f>4993</f>
      </c>
      <c r="B5000" s="5" t="s">
        <v>5008</v>
      </c>
      <c r="C5000" s="5">
        <v>0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</row>
    <row r="5001" spans="1:11" x14ac:dyDescent="0.25">
      <c r="A5001" s="5">
        <f>4994</f>
      </c>
      <c r="B5001" s="5" t="s">
        <v>5009</v>
      </c>
      <c r="C5001" s="5">
        <v>0</v>
      </c>
      <c r="D5001" s="5">
        <v>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</row>
    <row r="5002" spans="1:11" x14ac:dyDescent="0.25">
      <c r="A5002" s="5">
        <f>4995</f>
      </c>
      <c r="B5002" s="5" t="s">
        <v>5010</v>
      </c>
      <c r="C5002" s="5">
        <v>0</v>
      </c>
      <c r="D5002" s="5">
        <v>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</row>
    <row r="5003" spans="1:11" x14ac:dyDescent="0.25">
      <c r="A5003" s="5">
        <f>4996</f>
      </c>
      <c r="B5003" s="5" t="s">
        <v>5011</v>
      </c>
      <c r="C5003" s="5">
        <v>0</v>
      </c>
      <c r="D5003" s="5">
        <v>0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</row>
    <row r="5004" spans="1:11" x14ac:dyDescent="0.25">
      <c r="A5004" s="5">
        <f>4997</f>
      </c>
      <c r="B5004" s="5" t="s">
        <v>5012</v>
      </c>
      <c r="C5004" s="5">
        <v>0</v>
      </c>
      <c r="D5004" s="5">
        <v>0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</row>
    <row r="5005" spans="1:11" x14ac:dyDescent="0.25">
      <c r="A5005" s="5">
        <f>4998</f>
      </c>
      <c r="B5005" s="5" t="s">
        <v>5013</v>
      </c>
      <c r="C5005" s="5">
        <v>0</v>
      </c>
      <c r="D5005" s="5">
        <v>0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</row>
    <row r="5006" spans="1:11" x14ac:dyDescent="0.25">
      <c r="A5006" s="5">
        <f>4999</f>
      </c>
      <c r="B5006" s="5" t="s">
        <v>5014</v>
      </c>
      <c r="C5006" s="5">
        <v>0</v>
      </c>
      <c r="D5006" s="5">
        <v>0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</row>
    <row r="5007" spans="1:11" x14ac:dyDescent="0.25">
      <c r="A5007" s="5">
        <f>5000</f>
      </c>
      <c r="B5007" s="5" t="s">
        <v>5015</v>
      </c>
      <c r="C5007" s="5">
        <v>0</v>
      </c>
      <c r="D5007" s="5">
        <v>0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</row>
    <row r="5008" spans="1:11" x14ac:dyDescent="0.25">
      <c r="A5008" s="5">
        <f>5001</f>
      </c>
      <c r="B5008" s="5" t="s">
        <v>5016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</row>
    <row r="5009" spans="1:11" x14ac:dyDescent="0.25">
      <c r="A5009" s="5">
        <f>5002</f>
      </c>
      <c r="B5009" s="5" t="s">
        <v>5017</v>
      </c>
      <c r="C5009" s="5">
        <v>0</v>
      </c>
      <c r="D5009" s="5">
        <v>0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</row>
    <row r="5010" spans="1:11" x14ac:dyDescent="0.25">
      <c r="A5010" s="5">
        <f>5003</f>
      </c>
      <c r="B5010" s="5" t="s">
        <v>5018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</row>
    <row r="5011" spans="1:11" x14ac:dyDescent="0.25">
      <c r="A5011" s="5">
        <f>5004</f>
      </c>
      <c r="B5011" s="5" t="s">
        <v>5019</v>
      </c>
      <c r="C5011" s="5">
        <v>0</v>
      </c>
      <c r="D5011" s="5">
        <v>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</row>
    <row r="5012" spans="1:11" x14ac:dyDescent="0.25">
      <c r="A5012" s="5">
        <f>5005</f>
      </c>
      <c r="B5012" s="5" t="s">
        <v>5020</v>
      </c>
      <c r="C5012" s="5">
        <v>0</v>
      </c>
      <c r="D5012" s="5">
        <v>0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</row>
    <row r="5013" spans="1:11" x14ac:dyDescent="0.25">
      <c r="A5013" s="5">
        <f>5006</f>
      </c>
      <c r="B5013" s="5" t="s">
        <v>5021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</row>
    <row r="5014" spans="1:11" x14ac:dyDescent="0.25">
      <c r="A5014" s="5">
        <f>5007</f>
      </c>
      <c r="B5014" s="5" t="s">
        <v>5022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</row>
    <row r="5015" spans="1:11" x14ac:dyDescent="0.25">
      <c r="A5015" s="5">
        <f>5008</f>
      </c>
      <c r="B5015" s="5" t="s">
        <v>5023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</row>
    <row r="5016" spans="1:11" x14ac:dyDescent="0.25">
      <c r="A5016" s="5">
        <f>5009</f>
      </c>
      <c r="B5016" s="5" t="s">
        <v>5024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</row>
    <row r="5017" spans="1:11" x14ac:dyDescent="0.25">
      <c r="A5017" s="5">
        <f>5010</f>
      </c>
      <c r="B5017" s="5" t="s">
        <v>5025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</row>
    <row r="5018" spans="1:11" x14ac:dyDescent="0.25">
      <c r="A5018" s="5">
        <f>5011</f>
      </c>
      <c r="B5018" s="5" t="s">
        <v>5026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</row>
    <row r="5019" spans="1:11" x14ac:dyDescent="0.25">
      <c r="A5019" s="5">
        <f>5012</f>
      </c>
      <c r="B5019" s="5" t="s">
        <v>5027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</row>
    <row r="5020" spans="1:11" x14ac:dyDescent="0.25">
      <c r="A5020" s="5">
        <f>5013</f>
      </c>
      <c r="B5020" s="5" t="s">
        <v>5028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</row>
    <row r="5021" spans="1:11" x14ac:dyDescent="0.25">
      <c r="A5021" s="5">
        <f>5014</f>
      </c>
      <c r="B5021" s="5" t="s">
        <v>5029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</row>
    <row r="5022" spans="1:11" x14ac:dyDescent="0.25">
      <c r="A5022" s="5">
        <f>5015</f>
      </c>
      <c r="B5022" s="5" t="s">
        <v>5030</v>
      </c>
      <c r="C5022" s="5">
        <v>0</v>
      </c>
      <c r="D5022" s="5">
        <v>0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</row>
    <row r="5023" spans="1:11" x14ac:dyDescent="0.25">
      <c r="A5023" s="5">
        <f>5016</f>
      </c>
      <c r="B5023" s="5" t="s">
        <v>5031</v>
      </c>
      <c r="C5023" s="5">
        <v>0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</row>
    <row r="5024" spans="1:11" x14ac:dyDescent="0.25">
      <c r="A5024" s="5">
        <f>5017</f>
      </c>
      <c r="B5024" s="5" t="s">
        <v>5032</v>
      </c>
      <c r="C5024" s="5">
        <v>0</v>
      </c>
      <c r="D5024" s="5">
        <v>0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</row>
    <row r="5025" spans="1:11" x14ac:dyDescent="0.25">
      <c r="A5025" s="5">
        <f>5018</f>
      </c>
      <c r="B5025" s="5" t="s">
        <v>5033</v>
      </c>
      <c r="C5025" s="5">
        <v>0</v>
      </c>
      <c r="D5025" s="5">
        <v>0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</row>
    <row r="5026" spans="1:11" x14ac:dyDescent="0.25">
      <c r="A5026" s="5">
        <f>5019</f>
      </c>
      <c r="B5026" s="5" t="s">
        <v>5034</v>
      </c>
      <c r="C5026" s="5">
        <v>0</v>
      </c>
      <c r="D5026" s="5">
        <v>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</row>
    <row r="5027" spans="1:11" x14ac:dyDescent="0.25">
      <c r="A5027" s="5">
        <f>5020</f>
      </c>
      <c r="B5027" s="5" t="s">
        <v>5035</v>
      </c>
      <c r="C5027" s="5">
        <v>0</v>
      </c>
      <c r="D5027" s="5">
        <v>0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</row>
    <row r="5028" spans="1:11" x14ac:dyDescent="0.25">
      <c r="A5028" s="5">
        <f>5021</f>
      </c>
      <c r="B5028" s="5" t="s">
        <v>5036</v>
      </c>
      <c r="C5028" s="5">
        <v>0</v>
      </c>
      <c r="D5028" s="5">
        <v>0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</row>
    <row r="5029" spans="1:11" x14ac:dyDescent="0.25">
      <c r="A5029" s="5">
        <f>5022</f>
      </c>
      <c r="B5029" s="5" t="s">
        <v>5037</v>
      </c>
      <c r="C5029" s="5">
        <v>0</v>
      </c>
      <c r="D5029" s="5">
        <v>0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</row>
    <row r="5030" spans="1:11" x14ac:dyDescent="0.25">
      <c r="A5030" s="5">
        <f>5023</f>
      </c>
      <c r="B5030" s="5" t="s">
        <v>5038</v>
      </c>
      <c r="C5030" s="5">
        <v>0</v>
      </c>
      <c r="D5030" s="5">
        <v>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</row>
    <row r="5031" spans="1:11" x14ac:dyDescent="0.25">
      <c r="A5031" s="5">
        <f>5024</f>
      </c>
      <c r="B5031" s="5" t="s">
        <v>5039</v>
      </c>
      <c r="C5031" s="5">
        <v>0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</row>
    <row r="5032" spans="1:11" x14ac:dyDescent="0.25">
      <c r="A5032" s="5">
        <f>5025</f>
      </c>
      <c r="B5032" s="5" t="s">
        <v>5040</v>
      </c>
      <c r="C5032" s="5">
        <v>0</v>
      </c>
      <c r="D5032" s="5">
        <v>0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</row>
    <row r="5033" spans="1:11" x14ac:dyDescent="0.25">
      <c r="A5033" s="5">
        <f>5026</f>
      </c>
      <c r="B5033" s="5" t="s">
        <v>5041</v>
      </c>
      <c r="C5033" s="5">
        <v>0</v>
      </c>
      <c r="D5033" s="5">
        <v>0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</row>
    <row r="5034" spans="1:11" x14ac:dyDescent="0.25">
      <c r="A5034" s="5">
        <f>5027</f>
      </c>
      <c r="B5034" s="5" t="s">
        <v>5042</v>
      </c>
      <c r="C5034" s="5">
        <v>0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</row>
    <row r="5035" spans="1:11" x14ac:dyDescent="0.25">
      <c r="A5035" s="5">
        <f>5028</f>
      </c>
      <c r="B5035" s="5" t="s">
        <v>5043</v>
      </c>
      <c r="C5035" s="5">
        <v>0</v>
      </c>
      <c r="D5035" s="5">
        <v>0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</row>
    <row r="5036" spans="1:11" x14ac:dyDescent="0.25">
      <c r="A5036" s="5">
        <f>5029</f>
      </c>
      <c r="B5036" s="5" t="s">
        <v>5044</v>
      </c>
      <c r="C5036" s="5">
        <v>0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</row>
    <row r="5037" spans="1:11" x14ac:dyDescent="0.25">
      <c r="A5037" s="5">
        <f>5030</f>
      </c>
      <c r="B5037" s="5" t="s">
        <v>5045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</row>
    <row r="5038" spans="1:11" x14ac:dyDescent="0.25">
      <c r="A5038" s="5">
        <f>5031</f>
      </c>
      <c r="B5038" s="5" t="s">
        <v>5046</v>
      </c>
      <c r="C5038" s="5">
        <v>0</v>
      </c>
      <c r="D5038" s="5">
        <v>0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</row>
    <row r="5039" spans="1:11" x14ac:dyDescent="0.25">
      <c r="A5039" s="5">
        <f>5032</f>
      </c>
      <c r="B5039" s="5" t="s">
        <v>5047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</row>
    <row r="5040" spans="1:11" x14ac:dyDescent="0.25">
      <c r="A5040" s="5">
        <f>5033</f>
      </c>
      <c r="B5040" s="5" t="s">
        <v>5048</v>
      </c>
      <c r="C5040" s="5">
        <v>0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</row>
    <row r="5041" spans="1:11" x14ac:dyDescent="0.25">
      <c r="A5041" s="5">
        <f>5034</f>
      </c>
      <c r="B5041" s="5" t="s">
        <v>5049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</row>
    <row r="5042" spans="1:11" x14ac:dyDescent="0.25">
      <c r="A5042" s="5">
        <f>5035</f>
      </c>
      <c r="B5042" s="5" t="s">
        <v>5050</v>
      </c>
      <c r="C5042" s="5">
        <v>0</v>
      </c>
      <c r="D5042" s="5">
        <v>0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</row>
    <row r="5043" spans="1:11" x14ac:dyDescent="0.25">
      <c r="A5043" s="5">
        <f>5036</f>
      </c>
      <c r="B5043" s="5" t="s">
        <v>5051</v>
      </c>
      <c r="C5043" s="5">
        <v>0</v>
      </c>
      <c r="D5043" s="5">
        <v>0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</row>
    <row r="5044" spans="1:11" x14ac:dyDescent="0.25">
      <c r="A5044" s="5">
        <f>5037</f>
      </c>
      <c r="B5044" s="5" t="s">
        <v>5052</v>
      </c>
      <c r="C5044" s="5">
        <v>0</v>
      </c>
      <c r="D5044" s="5">
        <v>0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</row>
    <row r="5045" spans="1:11" x14ac:dyDescent="0.25">
      <c r="A5045" s="5">
        <f>5038</f>
      </c>
      <c r="B5045" s="5" t="s">
        <v>5053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</row>
    <row r="5046" spans="1:11" x14ac:dyDescent="0.25">
      <c r="A5046" s="5">
        <f>5039</f>
      </c>
      <c r="B5046" s="5" t="s">
        <v>5054</v>
      </c>
      <c r="C5046" s="5">
        <v>0</v>
      </c>
      <c r="D5046" s="5">
        <v>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</row>
    <row r="5047" spans="1:11" x14ac:dyDescent="0.25">
      <c r="A5047" s="5">
        <f>5040</f>
      </c>
      <c r="B5047" s="5" t="s">
        <v>5055</v>
      </c>
      <c r="C5047" s="5">
        <v>0</v>
      </c>
      <c r="D5047" s="5">
        <v>0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</row>
    <row r="5048" spans="1:11" x14ac:dyDescent="0.25">
      <c r="A5048" s="5">
        <f>5041</f>
      </c>
      <c r="B5048" s="5" t="s">
        <v>5056</v>
      </c>
      <c r="C5048" s="5">
        <v>0</v>
      </c>
      <c r="D5048" s="5">
        <v>0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</row>
    <row r="5049" spans="1:11" x14ac:dyDescent="0.25">
      <c r="A5049" s="5">
        <f>5042</f>
      </c>
      <c r="B5049" s="5" t="s">
        <v>5057</v>
      </c>
      <c r="C5049" s="5">
        <v>0</v>
      </c>
      <c r="D5049" s="5">
        <v>0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</row>
    <row r="5050" spans="1:11" x14ac:dyDescent="0.25">
      <c r="A5050" s="5">
        <f>5043</f>
      </c>
      <c r="B5050" s="5" t="s">
        <v>5058</v>
      </c>
      <c r="C5050" s="5">
        <v>0</v>
      </c>
      <c r="D5050" s="5">
        <v>0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</row>
    <row r="5051" spans="1:11" x14ac:dyDescent="0.25">
      <c r="A5051" s="5">
        <f>5044</f>
      </c>
      <c r="B5051" s="5" t="s">
        <v>5059</v>
      </c>
      <c r="C5051" s="5">
        <v>0</v>
      </c>
      <c r="D5051" s="5">
        <v>0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</row>
    <row r="5052" spans="1:11" x14ac:dyDescent="0.25">
      <c r="A5052" s="5">
        <f>5045</f>
      </c>
      <c r="B5052" s="5" t="s">
        <v>5060</v>
      </c>
      <c r="C5052" s="5">
        <v>0</v>
      </c>
      <c r="D5052" s="5">
        <v>0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</row>
    <row r="5053" spans="1:11" x14ac:dyDescent="0.25">
      <c r="A5053" s="5">
        <f>5046</f>
      </c>
      <c r="B5053" s="5" t="s">
        <v>5061</v>
      </c>
      <c r="C5053" s="5">
        <v>0</v>
      </c>
      <c r="D5053" s="5">
        <v>0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</row>
    <row r="5054" spans="1:11" x14ac:dyDescent="0.25">
      <c r="A5054" s="5">
        <f>5047</f>
      </c>
      <c r="B5054" s="5" t="s">
        <v>5062</v>
      </c>
      <c r="C5054" s="5">
        <v>0</v>
      </c>
      <c r="D5054" s="5">
        <v>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</row>
    <row r="5055" spans="1:11" x14ac:dyDescent="0.25">
      <c r="A5055" s="5">
        <f>5048</f>
      </c>
      <c r="B5055" s="5" t="s">
        <v>5063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</row>
    <row r="5056" spans="1:11" x14ac:dyDescent="0.25">
      <c r="A5056" s="5">
        <f>5049</f>
      </c>
      <c r="B5056" s="5" t="s">
        <v>5064</v>
      </c>
      <c r="C5056" s="5">
        <v>0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</row>
    <row r="5057" spans="1:11" x14ac:dyDescent="0.25">
      <c r="A5057" s="5">
        <f>5050</f>
      </c>
      <c r="B5057" s="5" t="s">
        <v>5065</v>
      </c>
      <c r="C5057" s="5">
        <v>0</v>
      </c>
      <c r="D5057" s="5">
        <v>0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</row>
    <row r="5058" spans="1:11" x14ac:dyDescent="0.25">
      <c r="A5058" s="5">
        <f>5051</f>
      </c>
      <c r="B5058" s="5" t="s">
        <v>5066</v>
      </c>
      <c r="C5058" s="5">
        <v>0</v>
      </c>
      <c r="D5058" s="5">
        <v>0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</row>
    <row r="5059" spans="1:11" x14ac:dyDescent="0.25">
      <c r="A5059" s="5">
        <f>5052</f>
      </c>
      <c r="B5059" s="5" t="s">
        <v>5067</v>
      </c>
      <c r="C5059" s="5">
        <v>0</v>
      </c>
      <c r="D5059" s="5">
        <v>0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</row>
    <row r="5060" spans="1:11" x14ac:dyDescent="0.25">
      <c r="A5060" s="5">
        <f>5053</f>
      </c>
      <c r="B5060" s="5" t="s">
        <v>5068</v>
      </c>
      <c r="C5060" s="5">
        <v>0</v>
      </c>
      <c r="D5060" s="5">
        <v>0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</row>
    <row r="5061" spans="1:11" x14ac:dyDescent="0.25">
      <c r="A5061" s="5">
        <f>5054</f>
      </c>
      <c r="B5061" s="5" t="s">
        <v>5069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</row>
    <row r="5062" spans="1:11" x14ac:dyDescent="0.25">
      <c r="A5062" s="5">
        <f>5055</f>
      </c>
      <c r="B5062" s="5" t="s">
        <v>5070</v>
      </c>
      <c r="C5062" s="5">
        <v>0</v>
      </c>
      <c r="D5062" s="5">
        <v>0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</row>
    <row r="5063" spans="1:11" x14ac:dyDescent="0.25">
      <c r="A5063" s="5">
        <f>5056</f>
      </c>
      <c r="B5063" s="5" t="s">
        <v>5071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</row>
    <row r="5064" spans="1:11" x14ac:dyDescent="0.25">
      <c r="A5064" s="5">
        <f>5057</f>
      </c>
      <c r="B5064" s="5" t="s">
        <v>5072</v>
      </c>
      <c r="C5064" s="5">
        <v>0</v>
      </c>
      <c r="D5064" s="5">
        <v>0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</row>
    <row r="5065" spans="1:11" x14ac:dyDescent="0.25">
      <c r="A5065" s="5">
        <f>5058</f>
      </c>
      <c r="B5065" s="5" t="s">
        <v>5073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</row>
    <row r="5066" spans="1:11" x14ac:dyDescent="0.25">
      <c r="A5066" s="5">
        <f>5059</f>
      </c>
      <c r="B5066" s="5" t="s">
        <v>5074</v>
      </c>
      <c r="C5066" s="5">
        <v>0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</row>
    <row r="5067" spans="1:11" x14ac:dyDescent="0.25">
      <c r="A5067" s="5">
        <f>5060</f>
      </c>
      <c r="B5067" s="5" t="s">
        <v>5075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</row>
    <row r="5068" spans="1:11" x14ac:dyDescent="0.25">
      <c r="A5068" s="5">
        <f>5061</f>
      </c>
      <c r="B5068" s="5" t="s">
        <v>5076</v>
      </c>
      <c r="C5068" s="5">
        <v>0</v>
      </c>
      <c r="D5068" s="5">
        <v>0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</row>
    <row r="5069" spans="1:11" x14ac:dyDescent="0.25">
      <c r="A5069" s="5">
        <f>5062</f>
      </c>
      <c r="B5069" s="5" t="s">
        <v>5077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</row>
    <row r="5070" spans="1:11" x14ac:dyDescent="0.25">
      <c r="A5070" s="5">
        <f>5063</f>
      </c>
      <c r="B5070" s="5" t="s">
        <v>5078</v>
      </c>
      <c r="C5070" s="5">
        <v>0</v>
      </c>
      <c r="D5070" s="5">
        <v>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</row>
    <row r="5071" spans="1:11" x14ac:dyDescent="0.25">
      <c r="A5071" s="5">
        <f>5064</f>
      </c>
      <c r="B5071" s="5" t="s">
        <v>5079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</row>
    <row r="5072" spans="1:11" x14ac:dyDescent="0.25">
      <c r="A5072" s="5">
        <f>5065</f>
      </c>
      <c r="B5072" s="5" t="s">
        <v>5080</v>
      </c>
      <c r="C5072" s="5">
        <v>0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</row>
    <row r="5073" spans="1:11" x14ac:dyDescent="0.25">
      <c r="A5073" s="5">
        <f>5066</f>
      </c>
      <c r="B5073" s="5" t="s">
        <v>5081</v>
      </c>
      <c r="C5073" s="5">
        <v>0</v>
      </c>
      <c r="D5073" s="5">
        <v>0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</row>
    <row r="5074" spans="1:11" x14ac:dyDescent="0.25">
      <c r="A5074" s="5">
        <f>5067</f>
      </c>
      <c r="B5074" s="5" t="s">
        <v>5082</v>
      </c>
      <c r="C5074" s="5">
        <v>0</v>
      </c>
      <c r="D5074" s="5">
        <v>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</row>
    <row r="5075" spans="1:11" x14ac:dyDescent="0.25">
      <c r="A5075" s="5">
        <f>5068</f>
      </c>
      <c r="B5075" s="5" t="s">
        <v>5083</v>
      </c>
      <c r="C5075" s="5">
        <v>0</v>
      </c>
      <c r="D5075" s="5">
        <v>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</row>
    <row r="5076" spans="1:11" x14ac:dyDescent="0.25">
      <c r="A5076" s="5">
        <f>5069</f>
      </c>
      <c r="B5076" s="5" t="s">
        <v>5084</v>
      </c>
      <c r="C5076" s="5">
        <v>0</v>
      </c>
      <c r="D5076" s="5">
        <v>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</row>
    <row r="5077" spans="1:11" x14ac:dyDescent="0.25">
      <c r="A5077" s="5">
        <f>5070</f>
      </c>
      <c r="B5077" s="5" t="s">
        <v>5085</v>
      </c>
      <c r="C5077" s="5">
        <v>0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</row>
    <row r="5078" spans="1:11" x14ac:dyDescent="0.25">
      <c r="A5078" s="5">
        <f>5071</f>
      </c>
      <c r="B5078" s="5" t="s">
        <v>5086</v>
      </c>
      <c r="C5078" s="5">
        <v>0</v>
      </c>
      <c r="D5078" s="5">
        <v>0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</row>
    <row r="5079" spans="1:11" x14ac:dyDescent="0.25">
      <c r="A5079" s="5">
        <f>5072</f>
      </c>
      <c r="B5079" s="5" t="s">
        <v>5087</v>
      </c>
      <c r="C5079" s="5">
        <v>0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</row>
    <row r="5080" spans="1:11" x14ac:dyDescent="0.25">
      <c r="A5080" s="5">
        <f>5073</f>
      </c>
      <c r="B5080" s="5" t="s">
        <v>5088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</row>
    <row r="5081" spans="1:11" x14ac:dyDescent="0.25">
      <c r="A5081" s="5">
        <f>5074</f>
      </c>
      <c r="B5081" s="5" t="s">
        <v>5089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</row>
    <row r="5082" spans="1:11" x14ac:dyDescent="0.25">
      <c r="A5082" s="5">
        <f>5075</f>
      </c>
      <c r="B5082" s="5" t="s">
        <v>5090</v>
      </c>
      <c r="C5082" s="5">
        <v>0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</row>
    <row r="5083" spans="1:11" x14ac:dyDescent="0.25">
      <c r="A5083" s="5">
        <f>5076</f>
      </c>
      <c r="B5083" s="5" t="s">
        <v>5091</v>
      </c>
      <c r="C5083" s="5">
        <v>0</v>
      </c>
      <c r="D5083" s="5">
        <v>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</row>
    <row r="5084" spans="1:11" x14ac:dyDescent="0.25">
      <c r="A5084" s="5">
        <f>5077</f>
      </c>
      <c r="B5084" s="5" t="s">
        <v>5092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</row>
    <row r="5085" spans="1:11" x14ac:dyDescent="0.25">
      <c r="A5085" s="5">
        <f>5078</f>
      </c>
      <c r="B5085" s="5" t="s">
        <v>5093</v>
      </c>
      <c r="C5085" s="5">
        <v>0</v>
      </c>
      <c r="D5085" s="5">
        <v>0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</row>
    <row r="5086" spans="1:11" x14ac:dyDescent="0.25">
      <c r="A5086" s="5">
        <f>5079</f>
      </c>
      <c r="B5086" s="5" t="s">
        <v>5094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</row>
    <row r="5087" spans="1:11" x14ac:dyDescent="0.25">
      <c r="A5087" s="5">
        <f>5080</f>
      </c>
      <c r="B5087" s="5" t="s">
        <v>5095</v>
      </c>
      <c r="C5087" s="5">
        <v>0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</row>
    <row r="5088" spans="1:11" x14ac:dyDescent="0.25">
      <c r="A5088" s="5">
        <f>5081</f>
      </c>
      <c r="B5088" s="5" t="s">
        <v>5096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</row>
    <row r="5089" spans="1:11" x14ac:dyDescent="0.25">
      <c r="A5089" s="5">
        <f>5082</f>
      </c>
      <c r="B5089" s="5" t="s">
        <v>5097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</row>
    <row r="5090" spans="1:11" x14ac:dyDescent="0.25">
      <c r="A5090" s="5">
        <f>5083</f>
      </c>
      <c r="B5090" s="5" t="s">
        <v>5098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</row>
    <row r="5091" spans="1:11" x14ac:dyDescent="0.25">
      <c r="A5091" s="5">
        <f>5084</f>
      </c>
      <c r="B5091" s="5" t="s">
        <v>5099</v>
      </c>
      <c r="C5091" s="5">
        <v>0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</row>
    <row r="5092" spans="1:11" x14ac:dyDescent="0.25">
      <c r="A5092" s="5">
        <f>5085</f>
      </c>
      <c r="B5092" s="5" t="s">
        <v>5100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</row>
    <row r="5093" spans="1:11" x14ac:dyDescent="0.25">
      <c r="A5093" s="5">
        <f>5086</f>
      </c>
      <c r="B5093" s="5" t="s">
        <v>5101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</row>
    <row r="5094" spans="1:11" x14ac:dyDescent="0.25">
      <c r="A5094" s="5">
        <f>5087</f>
      </c>
      <c r="B5094" s="5" t="s">
        <v>5102</v>
      </c>
      <c r="C5094" s="5">
        <v>0</v>
      </c>
      <c r="D5094" s="5">
        <v>0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</row>
    <row r="5095" spans="1:11" x14ac:dyDescent="0.25">
      <c r="A5095" s="5">
        <f>5088</f>
      </c>
      <c r="B5095" s="5" t="s">
        <v>5103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</row>
    <row r="5096" spans="1:11" x14ac:dyDescent="0.25">
      <c r="A5096" s="5">
        <f>5089</f>
      </c>
      <c r="B5096" s="5" t="s">
        <v>5104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</row>
    <row r="5097" spans="1:11" x14ac:dyDescent="0.25">
      <c r="A5097" s="5">
        <f>5090</f>
      </c>
      <c r="B5097" s="5" t="s">
        <v>5105</v>
      </c>
      <c r="C5097" s="5">
        <v>0</v>
      </c>
      <c r="D5097" s="5">
        <v>0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</row>
    <row r="5098" spans="1:11" x14ac:dyDescent="0.25">
      <c r="A5098" s="5">
        <f>5091</f>
      </c>
      <c r="B5098" s="5" t="s">
        <v>5106</v>
      </c>
      <c r="C5098" s="5">
        <v>0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</row>
    <row r="5099" spans="1:11" x14ac:dyDescent="0.25">
      <c r="A5099" s="5">
        <f>5092</f>
      </c>
      <c r="B5099" s="5" t="s">
        <v>5107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</row>
    <row r="5100" spans="1:11" x14ac:dyDescent="0.25">
      <c r="A5100" s="5">
        <f>5093</f>
      </c>
      <c r="B5100" s="5" t="s">
        <v>5108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</row>
    <row r="5101" spans="1:11" x14ac:dyDescent="0.25">
      <c r="A5101" s="5">
        <f>5094</f>
      </c>
      <c r="B5101" s="5" t="s">
        <v>5109</v>
      </c>
      <c r="C5101" s="5">
        <v>0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</row>
    <row r="5102" spans="1:11" x14ac:dyDescent="0.25">
      <c r="A5102" s="5">
        <f>5095</f>
      </c>
      <c r="B5102" s="5" t="s">
        <v>5110</v>
      </c>
      <c r="C5102" s="5">
        <v>0</v>
      </c>
      <c r="D5102" s="5">
        <v>0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</row>
    <row r="5103" spans="1:11" x14ac:dyDescent="0.25">
      <c r="A5103" s="5">
        <f>5096</f>
      </c>
      <c r="B5103" s="5" t="s">
        <v>5111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</row>
    <row r="5104" spans="1:11" x14ac:dyDescent="0.25">
      <c r="A5104" s="5">
        <f>5097</f>
      </c>
      <c r="B5104" s="5" t="s">
        <v>5112</v>
      </c>
      <c r="C5104" s="5">
        <v>0</v>
      </c>
      <c r="D5104" s="5">
        <v>0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</row>
    <row r="5105" spans="1:11" x14ac:dyDescent="0.25">
      <c r="A5105" s="5">
        <f>5098</f>
      </c>
      <c r="B5105" s="5" t="s">
        <v>5113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</row>
    <row r="5106" spans="1:11" x14ac:dyDescent="0.25">
      <c r="A5106" s="5">
        <f>5099</f>
      </c>
      <c r="B5106" s="5" t="s">
        <v>5114</v>
      </c>
      <c r="C5106" s="5">
        <v>0</v>
      </c>
      <c r="D5106" s="5">
        <v>0</v>
      </c>
      <c r="E5106" s="5">
        <v>0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</row>
    <row r="5107" spans="1:11" x14ac:dyDescent="0.25">
      <c r="A5107" s="5">
        <f>5100</f>
      </c>
      <c r="B5107" s="5" t="s">
        <v>5115</v>
      </c>
      <c r="C5107" s="5">
        <v>0</v>
      </c>
      <c r="D5107" s="5">
        <v>0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</row>
    <row r="5108" spans="1:11" x14ac:dyDescent="0.25">
      <c r="A5108" s="5">
        <f>5101</f>
      </c>
      <c r="B5108" s="5" t="s">
        <v>5116</v>
      </c>
      <c r="C5108" s="5">
        <v>0</v>
      </c>
      <c r="D5108" s="5">
        <v>0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</row>
    <row r="5109" spans="1:11" x14ac:dyDescent="0.25">
      <c r="A5109" s="5">
        <f>5102</f>
      </c>
      <c r="B5109" s="5" t="s">
        <v>5117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</row>
    <row r="5110" spans="1:11" x14ac:dyDescent="0.25">
      <c r="A5110" s="5">
        <f>5103</f>
      </c>
      <c r="B5110" s="5" t="s">
        <v>5118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</row>
    <row r="5111" spans="1:11" x14ac:dyDescent="0.25">
      <c r="A5111" s="5">
        <f>5104</f>
      </c>
      <c r="B5111" s="5" t="s">
        <v>5119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</row>
    <row r="5112" spans="1:11" x14ac:dyDescent="0.25">
      <c r="A5112" s="5">
        <f>5105</f>
      </c>
      <c r="B5112" s="5" t="s">
        <v>5120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</row>
    <row r="5113" spans="1:11" x14ac:dyDescent="0.25">
      <c r="A5113" s="5">
        <f>5106</f>
      </c>
      <c r="B5113" s="5" t="s">
        <v>5121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</row>
    <row r="5114" spans="1:11" x14ac:dyDescent="0.25">
      <c r="A5114" s="5">
        <f>5107</f>
      </c>
      <c r="B5114" s="5" t="s">
        <v>5122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</row>
    <row r="5115" spans="1:11" x14ac:dyDescent="0.25">
      <c r="A5115" s="5">
        <f>5108</f>
      </c>
      <c r="B5115" s="5" t="s">
        <v>5123</v>
      </c>
      <c r="C5115" s="5">
        <v>0</v>
      </c>
      <c r="D5115" s="5">
        <v>0</v>
      </c>
      <c r="E5115" s="5">
        <v>0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</row>
    <row r="5116" spans="1:11" x14ac:dyDescent="0.25">
      <c r="A5116" s="5">
        <f>5109</f>
      </c>
      <c r="B5116" s="5" t="s">
        <v>5124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</row>
    <row r="5117" spans="1:11" x14ac:dyDescent="0.25">
      <c r="A5117" s="5">
        <f>5110</f>
      </c>
      <c r="B5117" s="5" t="s">
        <v>5125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</row>
    <row r="5118" spans="1:11" x14ac:dyDescent="0.25">
      <c r="A5118" s="5">
        <f>5111</f>
      </c>
      <c r="B5118" s="5" t="s">
        <v>5126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</row>
    <row r="5119" spans="1:11" x14ac:dyDescent="0.25">
      <c r="A5119" s="5">
        <f>5112</f>
      </c>
      <c r="B5119" s="5" t="s">
        <v>5127</v>
      </c>
      <c r="C5119" s="5">
        <v>0</v>
      </c>
      <c r="D5119" s="5">
        <v>0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</row>
    <row r="5120" spans="1:11" x14ac:dyDescent="0.25">
      <c r="A5120" s="5">
        <f>5113</f>
      </c>
      <c r="B5120" s="5" t="s">
        <v>5128</v>
      </c>
      <c r="C5120" s="5">
        <v>0</v>
      </c>
      <c r="D5120" s="5">
        <v>0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</row>
    <row r="5121" spans="1:11" x14ac:dyDescent="0.25">
      <c r="A5121" s="5">
        <f>5114</f>
      </c>
      <c r="B5121" s="5" t="s">
        <v>5129</v>
      </c>
      <c r="C5121" s="5">
        <v>0</v>
      </c>
      <c r="D5121" s="5">
        <v>0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</row>
    <row r="5122" spans="1:11" x14ac:dyDescent="0.25">
      <c r="A5122" s="5">
        <f>5115</f>
      </c>
      <c r="B5122" s="5" t="s">
        <v>5130</v>
      </c>
      <c r="C5122" s="5">
        <v>0</v>
      </c>
      <c r="D5122" s="5">
        <v>0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</row>
    <row r="5123" spans="1:11" x14ac:dyDescent="0.25">
      <c r="A5123" s="5">
        <f>5116</f>
      </c>
      <c r="B5123" s="5" t="s">
        <v>5131</v>
      </c>
      <c r="C5123" s="5">
        <v>0</v>
      </c>
      <c r="D5123" s="5">
        <v>0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</row>
    <row r="5124" spans="1:11" x14ac:dyDescent="0.25">
      <c r="A5124" s="5">
        <f>5117</f>
      </c>
      <c r="B5124" s="5" t="s">
        <v>5132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</row>
    <row r="5125" spans="1:11" x14ac:dyDescent="0.25">
      <c r="A5125" s="5">
        <f>5118</f>
      </c>
      <c r="B5125" s="5" t="s">
        <v>5133</v>
      </c>
      <c r="C5125" s="5">
        <v>0</v>
      </c>
      <c r="D5125" s="5">
        <v>0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</row>
    <row r="5126" spans="1:11" x14ac:dyDescent="0.25">
      <c r="A5126" s="5">
        <f>5119</f>
      </c>
      <c r="B5126" s="5" t="s">
        <v>5134</v>
      </c>
      <c r="C5126" s="5">
        <v>0</v>
      </c>
      <c r="D5126" s="5">
        <v>0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</row>
    <row r="5127" spans="1:11" x14ac:dyDescent="0.25">
      <c r="A5127" s="5">
        <f>5120</f>
      </c>
      <c r="B5127" s="5" t="s">
        <v>5135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</row>
    <row r="5128" spans="1:11" x14ac:dyDescent="0.25">
      <c r="A5128" s="5">
        <f>5121</f>
      </c>
      <c r="B5128" s="5" t="s">
        <v>5136</v>
      </c>
      <c r="C5128" s="5">
        <v>0</v>
      </c>
      <c r="D5128" s="5">
        <v>0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</row>
    <row r="5129" spans="1:11" x14ac:dyDescent="0.25">
      <c r="A5129" s="5">
        <f>5122</f>
      </c>
      <c r="B5129" s="5" t="s">
        <v>5137</v>
      </c>
      <c r="C5129" s="5">
        <v>0</v>
      </c>
      <c r="D5129" s="5">
        <v>0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</row>
    <row r="5130" spans="1:11" x14ac:dyDescent="0.25">
      <c r="A5130" s="5">
        <f>5123</f>
      </c>
      <c r="B5130" s="5" t="s">
        <v>5138</v>
      </c>
      <c r="C5130" s="5">
        <v>0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</row>
    <row r="5131" spans="1:11" x14ac:dyDescent="0.25">
      <c r="A5131" s="5">
        <f>5124</f>
      </c>
      <c r="B5131" s="5" t="s">
        <v>5139</v>
      </c>
      <c r="C5131" s="5">
        <v>0</v>
      </c>
      <c r="D5131" s="5">
        <v>0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</row>
    <row r="5132" spans="1:11" x14ac:dyDescent="0.25">
      <c r="A5132" s="5">
        <f>5125</f>
      </c>
      <c r="B5132" s="5" t="s">
        <v>5140</v>
      </c>
      <c r="C5132" s="5">
        <v>0</v>
      </c>
      <c r="D5132" s="5">
        <v>0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</row>
    <row r="5133" spans="1:11" x14ac:dyDescent="0.25">
      <c r="A5133" s="5">
        <f>5126</f>
      </c>
      <c r="B5133" s="5" t="s">
        <v>5141</v>
      </c>
      <c r="C5133" s="5">
        <v>0</v>
      </c>
      <c r="D5133" s="5">
        <v>0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</row>
    <row r="5134" spans="1:11" x14ac:dyDescent="0.25">
      <c r="A5134" s="5">
        <f>5127</f>
      </c>
      <c r="B5134" s="5" t="s">
        <v>5142</v>
      </c>
      <c r="C5134" s="5">
        <v>0</v>
      </c>
      <c r="D5134" s="5">
        <v>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</row>
    <row r="5135" spans="1:11" x14ac:dyDescent="0.25">
      <c r="A5135" s="5">
        <f>5128</f>
      </c>
      <c r="B5135" s="5" t="s">
        <v>5143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</row>
    <row r="5136" spans="1:11" x14ac:dyDescent="0.25">
      <c r="A5136" s="5">
        <f>5129</f>
      </c>
      <c r="B5136" s="5" t="s">
        <v>5144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</row>
    <row r="5137" spans="1:11" x14ac:dyDescent="0.25">
      <c r="A5137" s="5">
        <f>5130</f>
      </c>
      <c r="B5137" s="5" t="s">
        <v>5145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</row>
    <row r="5138" spans="1:11" x14ac:dyDescent="0.25">
      <c r="A5138" s="5">
        <f>5131</f>
      </c>
      <c r="B5138" s="5" t="s">
        <v>5146</v>
      </c>
      <c r="C5138" s="5">
        <v>0</v>
      </c>
      <c r="D5138" s="5">
        <v>0</v>
      </c>
      <c r="E5138" s="5">
        <v>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</row>
    <row r="5139" spans="1:11" x14ac:dyDescent="0.25">
      <c r="A5139" s="5">
        <f>5132</f>
      </c>
      <c r="B5139" s="5" t="s">
        <v>5147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</row>
    <row r="5140" spans="1:11" x14ac:dyDescent="0.25">
      <c r="A5140" s="5">
        <f>5133</f>
      </c>
      <c r="B5140" s="5" t="s">
        <v>5148</v>
      </c>
      <c r="C5140" s="5">
        <v>0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</row>
    <row r="5141" spans="1:11" x14ac:dyDescent="0.25">
      <c r="A5141" s="5">
        <f>5134</f>
      </c>
      <c r="B5141" s="5" t="s">
        <v>5149</v>
      </c>
      <c r="C5141" s="5">
        <v>0</v>
      </c>
      <c r="D5141" s="5">
        <v>0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</row>
    <row r="5142" spans="1:11" x14ac:dyDescent="0.25">
      <c r="A5142" s="5">
        <f>5135</f>
      </c>
      <c r="B5142" s="5" t="s">
        <v>5150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</row>
    <row r="5143" spans="1:11" x14ac:dyDescent="0.25">
      <c r="A5143" s="5">
        <f>5136</f>
      </c>
      <c r="B5143" s="5" t="s">
        <v>5151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</row>
    <row r="5144" spans="1:11" x14ac:dyDescent="0.25">
      <c r="A5144" s="5">
        <f>5137</f>
      </c>
      <c r="B5144" s="5" t="s">
        <v>5152</v>
      </c>
      <c r="C5144" s="5">
        <v>0</v>
      </c>
      <c r="D5144" s="5">
        <v>0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</row>
    <row r="5145" spans="1:11" x14ac:dyDescent="0.25">
      <c r="A5145" s="5">
        <f>5138</f>
      </c>
      <c r="B5145" s="5" t="s">
        <v>5153</v>
      </c>
      <c r="C5145" s="5">
        <v>0</v>
      </c>
      <c r="D5145" s="5">
        <v>0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</row>
    <row r="5146" spans="1:11" x14ac:dyDescent="0.25">
      <c r="A5146" s="5">
        <f>5139</f>
      </c>
      <c r="B5146" s="5" t="s">
        <v>5154</v>
      </c>
      <c r="C5146" s="5">
        <v>0</v>
      </c>
      <c r="D5146" s="5">
        <v>0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</row>
    <row r="5147" spans="1:11" x14ac:dyDescent="0.25">
      <c r="A5147" s="5">
        <f>5140</f>
      </c>
      <c r="B5147" s="5" t="s">
        <v>5155</v>
      </c>
      <c r="C5147" s="5">
        <v>0</v>
      </c>
      <c r="D5147" s="5">
        <v>0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</row>
    <row r="5148" spans="1:11" x14ac:dyDescent="0.25">
      <c r="A5148" s="5">
        <f>5141</f>
      </c>
      <c r="B5148" s="5" t="s">
        <v>5156</v>
      </c>
      <c r="C5148" s="5">
        <v>0</v>
      </c>
      <c r="D5148" s="5">
        <v>0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</row>
    <row r="5149" spans="1:11" x14ac:dyDescent="0.25">
      <c r="A5149" s="5">
        <f>5142</f>
      </c>
      <c r="B5149" s="5" t="s">
        <v>5157</v>
      </c>
      <c r="C5149" s="5">
        <v>0</v>
      </c>
      <c r="D5149" s="5">
        <v>0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</row>
    <row r="5150" spans="1:11" x14ac:dyDescent="0.25">
      <c r="A5150" s="5">
        <f>5143</f>
      </c>
      <c r="B5150" s="5" t="s">
        <v>5158</v>
      </c>
      <c r="C5150" s="5">
        <v>0</v>
      </c>
      <c r="D5150" s="5">
        <v>0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</row>
    <row r="5151" spans="1:11" x14ac:dyDescent="0.25">
      <c r="A5151" s="5">
        <f>5144</f>
      </c>
      <c r="B5151" s="5" t="s">
        <v>5159</v>
      </c>
      <c r="C5151" s="5">
        <v>0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</row>
    <row r="5152" spans="1:11" x14ac:dyDescent="0.25">
      <c r="A5152" s="5">
        <f>5145</f>
      </c>
      <c r="B5152" s="5" t="s">
        <v>5160</v>
      </c>
      <c r="C5152" s="5">
        <v>0</v>
      </c>
      <c r="D5152" s="5">
        <v>0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</row>
    <row r="5153" spans="1:11" x14ac:dyDescent="0.25">
      <c r="A5153" s="5">
        <f>5146</f>
      </c>
      <c r="B5153" s="5" t="s">
        <v>5161</v>
      </c>
      <c r="C5153" s="5">
        <v>0</v>
      </c>
      <c r="D5153" s="5">
        <v>0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</row>
    <row r="5154" spans="1:11" x14ac:dyDescent="0.25">
      <c r="A5154" s="5">
        <f>5147</f>
      </c>
      <c r="B5154" s="5" t="s">
        <v>5162</v>
      </c>
      <c r="C5154" s="5">
        <v>0</v>
      </c>
      <c r="D5154" s="5">
        <v>0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</row>
    <row r="5155" spans="1:11" x14ac:dyDescent="0.25">
      <c r="A5155" s="5">
        <f>5148</f>
      </c>
      <c r="B5155" s="5" t="s">
        <v>5163</v>
      </c>
      <c r="C5155" s="5">
        <v>0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</row>
    <row r="5156" spans="1:11" x14ac:dyDescent="0.25">
      <c r="A5156" s="5">
        <f>5149</f>
      </c>
      <c r="B5156" s="5" t="s">
        <v>5164</v>
      </c>
      <c r="C5156" s="5">
        <v>0</v>
      </c>
      <c r="D5156" s="5">
        <v>0</v>
      </c>
      <c r="E5156" s="5">
        <v>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</row>
    <row r="5157" spans="1:11" x14ac:dyDescent="0.25">
      <c r="A5157" s="5">
        <f>5150</f>
      </c>
      <c r="B5157" s="5" t="s">
        <v>5165</v>
      </c>
      <c r="C5157" s="5">
        <v>0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</row>
    <row r="5158" spans="1:11" x14ac:dyDescent="0.25">
      <c r="A5158" s="5">
        <f>5151</f>
      </c>
      <c r="B5158" s="5" t="s">
        <v>5166</v>
      </c>
      <c r="C5158" s="5">
        <v>0</v>
      </c>
      <c r="D5158" s="5">
        <v>0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</row>
    <row r="5159" spans="1:11" x14ac:dyDescent="0.25">
      <c r="A5159" s="5">
        <f>5152</f>
      </c>
      <c r="B5159" s="5" t="s">
        <v>5167</v>
      </c>
      <c r="C5159" s="5">
        <v>0</v>
      </c>
      <c r="D5159" s="5">
        <v>0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</row>
    <row r="5160" spans="1:11" x14ac:dyDescent="0.25">
      <c r="A5160" s="5">
        <f>5153</f>
      </c>
      <c r="B5160" s="5" t="s">
        <v>5168</v>
      </c>
      <c r="C5160" s="5">
        <v>0</v>
      </c>
      <c r="D5160" s="5">
        <v>0</v>
      </c>
      <c r="E5160" s="5">
        <v>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</row>
    <row r="5161" spans="1:11" x14ac:dyDescent="0.25">
      <c r="A5161" s="5">
        <f>5154</f>
      </c>
      <c r="B5161" s="5" t="s">
        <v>5169</v>
      </c>
      <c r="C5161" s="5">
        <v>0</v>
      </c>
      <c r="D5161" s="5">
        <v>0</v>
      </c>
      <c r="E5161" s="5">
        <v>0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</row>
    <row r="5162" spans="1:11" x14ac:dyDescent="0.25">
      <c r="A5162" s="5">
        <f>5155</f>
      </c>
      <c r="B5162" s="5" t="s">
        <v>5170</v>
      </c>
      <c r="C5162" s="5">
        <v>0</v>
      </c>
      <c r="D5162" s="5">
        <v>0</v>
      </c>
      <c r="E5162" s="5">
        <v>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</row>
    <row r="5163" spans="1:11" x14ac:dyDescent="0.25">
      <c r="A5163" s="5">
        <f>5156</f>
      </c>
      <c r="B5163" s="5" t="s">
        <v>5171</v>
      </c>
      <c r="C5163" s="5">
        <v>0</v>
      </c>
      <c r="D5163" s="5">
        <v>0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</row>
    <row r="5164" spans="1:11" x14ac:dyDescent="0.25">
      <c r="A5164" s="5">
        <f>5157</f>
      </c>
      <c r="B5164" s="5" t="s">
        <v>5172</v>
      </c>
      <c r="C5164" s="5">
        <v>0</v>
      </c>
      <c r="D5164" s="5">
        <v>0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</row>
    <row r="5165" spans="1:11" x14ac:dyDescent="0.25">
      <c r="A5165" s="5">
        <f>5158</f>
      </c>
      <c r="B5165" s="5" t="s">
        <v>5173</v>
      </c>
      <c r="C5165" s="5">
        <v>0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</row>
    <row r="5166" spans="1:11" x14ac:dyDescent="0.25">
      <c r="A5166" s="5">
        <f>5159</f>
      </c>
      <c r="B5166" s="5" t="s">
        <v>5174</v>
      </c>
      <c r="C5166" s="5">
        <v>0</v>
      </c>
      <c r="D5166" s="5">
        <v>0</v>
      </c>
      <c r="E5166" s="5">
        <v>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</row>
    <row r="5167" spans="1:11" x14ac:dyDescent="0.25">
      <c r="A5167" s="5">
        <f>5160</f>
      </c>
      <c r="B5167" s="5" t="s">
        <v>5175</v>
      </c>
      <c r="C5167" s="5">
        <v>0</v>
      </c>
      <c r="D5167" s="5">
        <v>0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</row>
    <row r="5168" spans="1:11" x14ac:dyDescent="0.25">
      <c r="A5168" s="5">
        <f>5161</f>
      </c>
      <c r="B5168" s="5" t="s">
        <v>5176</v>
      </c>
      <c r="C5168" s="5">
        <v>0</v>
      </c>
      <c r="D5168" s="5">
        <v>0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</row>
    <row r="5169" spans="1:11" x14ac:dyDescent="0.25">
      <c r="A5169" s="5">
        <f>5162</f>
      </c>
      <c r="B5169" s="5" t="s">
        <v>5177</v>
      </c>
      <c r="C5169" s="5">
        <v>0</v>
      </c>
      <c r="D5169" s="5">
        <v>0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</row>
    <row r="5170" spans="1:11" x14ac:dyDescent="0.25">
      <c r="A5170" s="5">
        <f>5163</f>
      </c>
      <c r="B5170" s="5" t="s">
        <v>5178</v>
      </c>
      <c r="C5170" s="5">
        <v>0</v>
      </c>
      <c r="D5170" s="5">
        <v>0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</row>
    <row r="5171" spans="1:11" x14ac:dyDescent="0.25">
      <c r="A5171" s="5">
        <f>5164</f>
      </c>
      <c r="B5171" s="5" t="s">
        <v>5179</v>
      </c>
      <c r="C5171" s="5">
        <v>0</v>
      </c>
      <c r="D5171" s="5">
        <v>0</v>
      </c>
      <c r="E5171" s="5">
        <v>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</row>
    <row r="5172" spans="1:11" x14ac:dyDescent="0.25">
      <c r="A5172" s="5">
        <f>5165</f>
      </c>
      <c r="B5172" s="5" t="s">
        <v>5180</v>
      </c>
      <c r="C5172" s="5">
        <v>0</v>
      </c>
      <c r="D5172" s="5">
        <v>0</v>
      </c>
      <c r="E5172" s="5">
        <v>0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</row>
    <row r="5173" spans="1:11" x14ac:dyDescent="0.25">
      <c r="A5173" s="5">
        <f>5166</f>
      </c>
      <c r="B5173" s="5" t="s">
        <v>5181</v>
      </c>
      <c r="C5173" s="5">
        <v>0</v>
      </c>
      <c r="D5173" s="5">
        <v>0</v>
      </c>
      <c r="E5173" s="5">
        <v>0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</row>
    <row r="5174" spans="1:11" x14ac:dyDescent="0.25">
      <c r="A5174" s="5">
        <f>5167</f>
      </c>
      <c r="B5174" s="5" t="s">
        <v>5182</v>
      </c>
      <c r="C5174" s="5">
        <v>0</v>
      </c>
      <c r="D5174" s="5">
        <v>0</v>
      </c>
      <c r="E5174" s="5">
        <v>0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</row>
    <row r="5175" spans="1:11" x14ac:dyDescent="0.25">
      <c r="A5175" s="5">
        <f>5168</f>
      </c>
      <c r="B5175" s="5" t="s">
        <v>5183</v>
      </c>
      <c r="C5175" s="5">
        <v>0</v>
      </c>
      <c r="D5175" s="5">
        <v>0</v>
      </c>
      <c r="E5175" s="5">
        <v>0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0</v>
      </c>
    </row>
    <row r="5176" spans="1:11" x14ac:dyDescent="0.25">
      <c r="A5176" s="5">
        <f>5169</f>
      </c>
      <c r="B5176" s="5" t="s">
        <v>5184</v>
      </c>
      <c r="C5176" s="5">
        <v>0</v>
      </c>
      <c r="D5176" s="5">
        <v>0</v>
      </c>
      <c r="E5176" s="5">
        <v>0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</row>
    <row r="5177" spans="1:11" x14ac:dyDescent="0.25">
      <c r="A5177" s="5">
        <f>5170</f>
      </c>
      <c r="B5177" s="5" t="s">
        <v>5185</v>
      </c>
      <c r="C5177" s="5">
        <v>0</v>
      </c>
      <c r="D5177" s="5">
        <v>0</v>
      </c>
      <c r="E5177" s="5">
        <v>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</row>
    <row r="5178" spans="1:11" x14ac:dyDescent="0.25">
      <c r="A5178" s="5">
        <f>5171</f>
      </c>
      <c r="B5178" s="5" t="s">
        <v>5186</v>
      </c>
      <c r="C5178" s="5">
        <v>0</v>
      </c>
      <c r="D5178" s="5">
        <v>0</v>
      </c>
      <c r="E5178" s="5">
        <v>0</v>
      </c>
      <c r="F5178" s="5">
        <v>0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</row>
    <row r="5179" spans="1:11" x14ac:dyDescent="0.25">
      <c r="A5179" s="5">
        <f>5172</f>
      </c>
      <c r="B5179" s="5" t="s">
        <v>5187</v>
      </c>
      <c r="C5179" s="5">
        <v>0</v>
      </c>
      <c r="D5179" s="5">
        <v>0</v>
      </c>
      <c r="E5179" s="5">
        <v>0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</row>
    <row r="5180" spans="1:11" x14ac:dyDescent="0.25">
      <c r="A5180" s="5">
        <f>5173</f>
      </c>
      <c r="B5180" s="5" t="s">
        <v>5188</v>
      </c>
      <c r="C5180" s="5">
        <v>0</v>
      </c>
      <c r="D5180" s="5">
        <v>0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</row>
    <row r="5181" spans="1:11" x14ac:dyDescent="0.25">
      <c r="A5181" s="5">
        <f>5174</f>
      </c>
      <c r="B5181" s="5" t="s">
        <v>5189</v>
      </c>
      <c r="C5181" s="5">
        <v>0</v>
      </c>
      <c r="D5181" s="5">
        <v>0</v>
      </c>
      <c r="E5181" s="5">
        <v>0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</row>
    <row r="5182" spans="1:11" x14ac:dyDescent="0.25">
      <c r="A5182" s="5">
        <f>5175</f>
      </c>
      <c r="B5182" s="5" t="s">
        <v>5190</v>
      </c>
      <c r="C5182" s="5">
        <v>0</v>
      </c>
      <c r="D5182" s="5">
        <v>0</v>
      </c>
      <c r="E5182" s="5">
        <v>0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</row>
    <row r="5183" spans="1:11" x14ac:dyDescent="0.25">
      <c r="A5183" s="5">
        <f>5176</f>
      </c>
      <c r="B5183" s="5" t="s">
        <v>5191</v>
      </c>
      <c r="C5183" s="5">
        <v>0</v>
      </c>
      <c r="D5183" s="5">
        <v>0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</row>
    <row r="5184" spans="1:11" x14ac:dyDescent="0.25">
      <c r="A5184" s="5">
        <f>5177</f>
      </c>
      <c r="B5184" s="5" t="s">
        <v>5192</v>
      </c>
      <c r="C5184" s="5">
        <v>0</v>
      </c>
      <c r="D5184" s="5">
        <v>0</v>
      </c>
      <c r="E5184" s="5">
        <v>0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  <c r="K5184" s="5">
        <v>0</v>
      </c>
    </row>
    <row r="5185" spans="1:11" x14ac:dyDescent="0.25">
      <c r="A5185" s="5">
        <f>5178</f>
      </c>
      <c r="B5185" s="5" t="s">
        <v>5193</v>
      </c>
      <c r="C5185" s="5">
        <v>0</v>
      </c>
      <c r="D5185" s="5">
        <v>0</v>
      </c>
      <c r="E5185" s="5">
        <v>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</row>
    <row r="5186" spans="1:11" x14ac:dyDescent="0.25">
      <c r="A5186" s="5">
        <f>5179</f>
      </c>
      <c r="B5186" s="5" t="s">
        <v>5194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  <c r="H5186" s="5">
        <v>0</v>
      </c>
      <c r="I5186" s="5">
        <v>0</v>
      </c>
      <c r="J5186" s="5">
        <v>0</v>
      </c>
      <c r="K5186" s="5">
        <v>0</v>
      </c>
    </row>
    <row r="5187" spans="1:11" x14ac:dyDescent="0.25">
      <c r="A5187" s="5">
        <f>5180</f>
      </c>
      <c r="B5187" s="5" t="s">
        <v>5195</v>
      </c>
      <c r="C5187" s="5">
        <v>0</v>
      </c>
      <c r="D5187" s="5">
        <v>0</v>
      </c>
      <c r="E5187" s="5">
        <v>0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</row>
    <row r="5188" spans="1:11" x14ac:dyDescent="0.25">
      <c r="A5188" s="5">
        <f>5181</f>
      </c>
      <c r="B5188" s="5" t="s">
        <v>5196</v>
      </c>
      <c r="C5188" s="5">
        <v>0</v>
      </c>
      <c r="D5188" s="5">
        <v>0</v>
      </c>
      <c r="E5188" s="5">
        <v>0</v>
      </c>
      <c r="F5188" s="5">
        <v>0</v>
      </c>
      <c r="G5188" s="5">
        <v>0</v>
      </c>
      <c r="H5188" s="5">
        <v>0</v>
      </c>
      <c r="I5188" s="5">
        <v>0</v>
      </c>
      <c r="J5188" s="5">
        <v>0</v>
      </c>
      <c r="K5188" s="5">
        <v>0</v>
      </c>
    </row>
    <row r="5189" spans="1:11" x14ac:dyDescent="0.25">
      <c r="A5189" s="5">
        <f>5182</f>
      </c>
      <c r="B5189" s="5" t="s">
        <v>5197</v>
      </c>
      <c r="C5189" s="5">
        <v>0</v>
      </c>
      <c r="D5189" s="5">
        <v>0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</row>
    <row r="5190" spans="1:11" x14ac:dyDescent="0.25">
      <c r="A5190" s="5">
        <f>5183</f>
      </c>
      <c r="B5190" s="5" t="s">
        <v>5198</v>
      </c>
      <c r="C5190" s="5">
        <v>0</v>
      </c>
      <c r="D5190" s="5">
        <v>0</v>
      </c>
      <c r="E5190" s="5">
        <v>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</row>
    <row r="5191" spans="1:11" x14ac:dyDescent="0.25">
      <c r="A5191" s="5">
        <f>5184</f>
      </c>
      <c r="B5191" s="5" t="s">
        <v>5199</v>
      </c>
      <c r="C5191" s="5">
        <v>0</v>
      </c>
      <c r="D5191" s="5">
        <v>0</v>
      </c>
      <c r="E5191" s="5">
        <v>0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</row>
    <row r="5192" spans="1:11" x14ac:dyDescent="0.25">
      <c r="A5192" s="5">
        <f>5185</f>
      </c>
      <c r="B5192" s="5" t="s">
        <v>5200</v>
      </c>
      <c r="C5192" s="5">
        <v>0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</row>
    <row r="5193" spans="1:11" x14ac:dyDescent="0.25">
      <c r="A5193" s="5">
        <f>5186</f>
      </c>
      <c r="B5193" s="5" t="s">
        <v>5201</v>
      </c>
      <c r="C5193" s="5">
        <v>0</v>
      </c>
      <c r="D5193" s="5">
        <v>0</v>
      </c>
      <c r="E5193" s="5">
        <v>0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0</v>
      </c>
    </row>
    <row r="5194" spans="1:11" x14ac:dyDescent="0.25">
      <c r="A5194" s="5">
        <f>5187</f>
      </c>
      <c r="B5194" s="5" t="s">
        <v>5202</v>
      </c>
      <c r="C5194" s="5">
        <v>0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</row>
    <row r="5195" spans="1:11" x14ac:dyDescent="0.25">
      <c r="A5195" s="5">
        <f>5188</f>
      </c>
      <c r="B5195" s="5" t="s">
        <v>5203</v>
      </c>
      <c r="C5195" s="5">
        <v>0</v>
      </c>
      <c r="D5195" s="5">
        <v>0</v>
      </c>
      <c r="E5195" s="5">
        <v>0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</row>
    <row r="5196" spans="1:11" x14ac:dyDescent="0.25">
      <c r="A5196" s="5">
        <f>5189</f>
      </c>
      <c r="B5196" s="5" t="s">
        <v>5204</v>
      </c>
      <c r="C5196" s="5">
        <v>0</v>
      </c>
      <c r="D5196" s="5">
        <v>0</v>
      </c>
      <c r="E5196" s="5">
        <v>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0</v>
      </c>
    </row>
    <row r="5197" spans="1:11" x14ac:dyDescent="0.25">
      <c r="A5197" s="5">
        <f>5190</f>
      </c>
      <c r="B5197" s="5" t="s">
        <v>5205</v>
      </c>
      <c r="C5197" s="5">
        <v>0</v>
      </c>
      <c r="D5197" s="5">
        <v>0</v>
      </c>
      <c r="E5197" s="5">
        <v>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0</v>
      </c>
    </row>
    <row r="5198" spans="1:11" x14ac:dyDescent="0.25">
      <c r="A5198" s="5">
        <f>5191</f>
      </c>
      <c r="B5198" s="5" t="s">
        <v>5206</v>
      </c>
      <c r="C5198" s="5">
        <v>0</v>
      </c>
      <c r="D5198" s="5">
        <v>0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</row>
    <row r="5199" spans="1:11" x14ac:dyDescent="0.25">
      <c r="A5199" s="5">
        <f>5192</f>
      </c>
      <c r="B5199" s="5" t="s">
        <v>5207</v>
      </c>
      <c r="C5199" s="5">
        <v>0</v>
      </c>
      <c r="D5199" s="5">
        <v>0</v>
      </c>
      <c r="E5199" s="5">
        <v>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</row>
    <row r="5200" spans="1:11" x14ac:dyDescent="0.25">
      <c r="A5200" s="5">
        <f>5193</f>
      </c>
      <c r="B5200" s="5" t="s">
        <v>5208</v>
      </c>
      <c r="C5200" s="5">
        <v>0</v>
      </c>
      <c r="D5200" s="5">
        <v>0</v>
      </c>
      <c r="E5200" s="5">
        <v>0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</row>
    <row r="5201" spans="1:11" x14ac:dyDescent="0.25">
      <c r="A5201" s="5">
        <f>5194</f>
      </c>
      <c r="B5201" s="5" t="s">
        <v>5209</v>
      </c>
      <c r="C5201" s="5">
        <v>0</v>
      </c>
      <c r="D5201" s="5">
        <v>0</v>
      </c>
      <c r="E5201" s="5">
        <v>0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0</v>
      </c>
    </row>
    <row r="5202" spans="1:11" x14ac:dyDescent="0.25">
      <c r="A5202" s="5">
        <f>5195</f>
      </c>
      <c r="B5202" s="5" t="s">
        <v>5210</v>
      </c>
      <c r="C5202" s="5">
        <v>0</v>
      </c>
      <c r="D5202" s="5">
        <v>0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</row>
    <row r="5203" spans="1:11" x14ac:dyDescent="0.25">
      <c r="A5203" s="5">
        <f>5196</f>
      </c>
      <c r="B5203" s="5" t="s">
        <v>5211</v>
      </c>
      <c r="C5203" s="5">
        <v>0</v>
      </c>
      <c r="D5203" s="5">
        <v>0</v>
      </c>
      <c r="E5203" s="5">
        <v>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</row>
    <row r="5204" spans="1:11" x14ac:dyDescent="0.25">
      <c r="A5204" s="5">
        <f>5197</f>
      </c>
      <c r="B5204" s="5" t="s">
        <v>5212</v>
      </c>
      <c r="C5204" s="5">
        <v>0</v>
      </c>
      <c r="D5204" s="5">
        <v>0</v>
      </c>
      <c r="E5204" s="5">
        <v>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</row>
    <row r="5205" spans="1:11" x14ac:dyDescent="0.25">
      <c r="A5205" s="5">
        <f>5198</f>
      </c>
      <c r="B5205" s="5" t="s">
        <v>5213</v>
      </c>
      <c r="C5205" s="5">
        <v>0</v>
      </c>
      <c r="D5205" s="5">
        <v>0</v>
      </c>
      <c r="E5205" s="5">
        <v>0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</row>
    <row r="5206" spans="1:11" x14ac:dyDescent="0.25">
      <c r="A5206" s="5">
        <f>5199</f>
      </c>
      <c r="B5206" s="5" t="s">
        <v>5214</v>
      </c>
      <c r="C5206" s="5">
        <v>0</v>
      </c>
      <c r="D5206" s="5">
        <v>0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</row>
    <row r="5207" spans="1:11" x14ac:dyDescent="0.25">
      <c r="A5207" s="5">
        <f>5200</f>
      </c>
      <c r="B5207" s="5" t="s">
        <v>5215</v>
      </c>
      <c r="C5207" s="5">
        <v>0</v>
      </c>
      <c r="D5207" s="5">
        <v>0</v>
      </c>
      <c r="E5207" s="5">
        <v>0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</row>
    <row r="5208" spans="1:11" x14ac:dyDescent="0.25">
      <c r="A5208" s="5">
        <f>5201</f>
      </c>
      <c r="B5208" s="5" t="s">
        <v>5216</v>
      </c>
      <c r="C5208" s="5">
        <v>0</v>
      </c>
      <c r="D5208" s="5">
        <v>0</v>
      </c>
      <c r="E5208" s="5">
        <v>0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0</v>
      </c>
    </row>
    <row r="5209" spans="1:11" x14ac:dyDescent="0.25">
      <c r="A5209" s="5">
        <f>5202</f>
      </c>
      <c r="B5209" s="5" t="s">
        <v>5217</v>
      </c>
      <c r="C5209" s="5">
        <v>0</v>
      </c>
      <c r="D5209" s="5">
        <v>0</v>
      </c>
      <c r="E5209" s="5">
        <v>0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</row>
    <row r="5210" spans="1:11" x14ac:dyDescent="0.25">
      <c r="A5210" s="5">
        <f>5203</f>
      </c>
      <c r="B5210" s="5" t="s">
        <v>5218</v>
      </c>
      <c r="C5210" s="5">
        <v>0</v>
      </c>
      <c r="D5210" s="5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</row>
    <row r="5211" spans="1:11" x14ac:dyDescent="0.25">
      <c r="A5211" s="5">
        <f>5204</f>
      </c>
      <c r="B5211" s="5" t="s">
        <v>5219</v>
      </c>
      <c r="C5211" s="5">
        <v>0</v>
      </c>
      <c r="D5211" s="5">
        <v>0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</row>
    <row r="5212" spans="1:11" x14ac:dyDescent="0.25">
      <c r="A5212" s="5">
        <f>5205</f>
      </c>
      <c r="B5212" s="5" t="s">
        <v>5220</v>
      </c>
      <c r="C5212" s="5">
        <v>0</v>
      </c>
      <c r="D5212" s="5">
        <v>0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</row>
    <row r="5213" spans="1:11" x14ac:dyDescent="0.25">
      <c r="A5213" s="5">
        <f>5206</f>
      </c>
      <c r="B5213" s="5" t="s">
        <v>5221</v>
      </c>
      <c r="C5213" s="5">
        <v>0</v>
      </c>
      <c r="D5213" s="5">
        <v>0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</row>
    <row r="5214" spans="1:11" x14ac:dyDescent="0.25">
      <c r="A5214" s="5">
        <f>5207</f>
      </c>
      <c r="B5214" s="5" t="s">
        <v>5222</v>
      </c>
      <c r="C5214" s="5">
        <v>0</v>
      </c>
      <c r="D5214" s="5">
        <v>0</v>
      </c>
      <c r="E5214" s="5">
        <v>0</v>
      </c>
      <c r="F5214" s="5">
        <v>0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</row>
    <row r="5215" spans="1:11" x14ac:dyDescent="0.25">
      <c r="A5215" s="5">
        <f>5208</f>
      </c>
      <c r="B5215" s="5" t="s">
        <v>5223</v>
      </c>
      <c r="C5215" s="5">
        <v>0</v>
      </c>
      <c r="D5215" s="5">
        <v>0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</row>
    <row r="5216" spans="1:11" x14ac:dyDescent="0.25">
      <c r="A5216" s="5">
        <f>5209</f>
      </c>
      <c r="B5216" s="5" t="s">
        <v>5224</v>
      </c>
      <c r="C5216" s="5">
        <v>0</v>
      </c>
      <c r="D5216" s="5">
        <v>0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</row>
    <row r="5217" spans="1:11" x14ac:dyDescent="0.25">
      <c r="A5217" s="5">
        <f>5210</f>
      </c>
      <c r="B5217" s="5" t="s">
        <v>5225</v>
      </c>
      <c r="C5217" s="5">
        <v>0</v>
      </c>
      <c r="D5217" s="5">
        <v>0</v>
      </c>
      <c r="E5217" s="5">
        <v>0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</row>
    <row r="5218" spans="1:11" x14ac:dyDescent="0.25">
      <c r="A5218" s="5">
        <f>5211</f>
      </c>
      <c r="B5218" s="5" t="s">
        <v>5226</v>
      </c>
      <c r="C5218" s="5">
        <v>0</v>
      </c>
      <c r="D5218" s="5">
        <v>0</v>
      </c>
      <c r="E5218" s="5">
        <v>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0</v>
      </c>
    </row>
    <row r="5219" spans="1:11" x14ac:dyDescent="0.25">
      <c r="A5219" s="5">
        <f>5212</f>
      </c>
      <c r="B5219" s="5" t="s">
        <v>5227</v>
      </c>
      <c r="C5219" s="5">
        <v>0</v>
      </c>
      <c r="D5219" s="5">
        <v>0</v>
      </c>
      <c r="E5219" s="5">
        <v>0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</row>
    <row r="5220" spans="1:11" x14ac:dyDescent="0.25">
      <c r="A5220" s="5">
        <f>5213</f>
      </c>
      <c r="B5220" s="5" t="s">
        <v>5228</v>
      </c>
      <c r="C5220" s="5">
        <v>0</v>
      </c>
      <c r="D5220" s="5">
        <v>0</v>
      </c>
      <c r="E5220" s="5">
        <v>0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0</v>
      </c>
    </row>
    <row r="5221" spans="1:11" x14ac:dyDescent="0.25">
      <c r="A5221" s="5">
        <f>5214</f>
      </c>
      <c r="B5221" s="5" t="s">
        <v>5229</v>
      </c>
      <c r="C5221" s="5">
        <v>0</v>
      </c>
      <c r="D5221" s="5">
        <v>0</v>
      </c>
      <c r="E5221" s="5">
        <v>0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</row>
    <row r="5222" spans="1:11" x14ac:dyDescent="0.25">
      <c r="A5222" s="5">
        <f>5215</f>
      </c>
      <c r="B5222" s="5" t="s">
        <v>5230</v>
      </c>
      <c r="C5222" s="5">
        <v>0</v>
      </c>
      <c r="D5222" s="5">
        <v>0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</row>
    <row r="5223" spans="1:11" x14ac:dyDescent="0.25">
      <c r="A5223" s="5">
        <f>5216</f>
      </c>
      <c r="B5223" s="5" t="s">
        <v>5231</v>
      </c>
      <c r="C5223" s="5">
        <v>0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</row>
    <row r="5224" spans="1:11" x14ac:dyDescent="0.25">
      <c r="A5224" s="5">
        <f>5217</f>
      </c>
      <c r="B5224" s="5" t="s">
        <v>5232</v>
      </c>
      <c r="C5224" s="5">
        <v>0</v>
      </c>
      <c r="D5224" s="5">
        <v>0</v>
      </c>
      <c r="E5224" s="5">
        <v>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</row>
    <row r="5225" spans="1:11" x14ac:dyDescent="0.25">
      <c r="A5225" s="5">
        <f>5218</f>
      </c>
      <c r="B5225" s="5" t="s">
        <v>5233</v>
      </c>
      <c r="C5225" s="5">
        <v>0</v>
      </c>
      <c r="D5225" s="5">
        <v>0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</row>
    <row r="5226" spans="1:11" x14ac:dyDescent="0.25">
      <c r="A5226" s="5">
        <f>5219</f>
      </c>
      <c r="B5226" s="5" t="s">
        <v>5234</v>
      </c>
      <c r="C5226" s="5">
        <v>0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</row>
    <row r="5227" spans="1:11" x14ac:dyDescent="0.25">
      <c r="A5227" s="5">
        <f>5220</f>
      </c>
      <c r="B5227" s="5" t="s">
        <v>5235</v>
      </c>
      <c r="C5227" s="5">
        <v>0</v>
      </c>
      <c r="D5227" s="5">
        <v>0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</row>
    <row r="5228" spans="1:11" x14ac:dyDescent="0.25">
      <c r="A5228" s="5">
        <f>5221</f>
      </c>
      <c r="B5228" s="5" t="s">
        <v>5236</v>
      </c>
      <c r="C5228" s="5">
        <v>0</v>
      </c>
      <c r="D5228" s="5">
        <v>0</v>
      </c>
      <c r="E5228" s="5">
        <v>0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</row>
    <row r="5229" spans="1:11" x14ac:dyDescent="0.25">
      <c r="A5229" s="5">
        <f>5222</f>
      </c>
      <c r="B5229" s="5" t="s">
        <v>5237</v>
      </c>
      <c r="C5229" s="5">
        <v>0</v>
      </c>
      <c r="D5229" s="5">
        <v>0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</row>
    <row r="5230" spans="1:11" x14ac:dyDescent="0.25">
      <c r="A5230" s="5">
        <f>5223</f>
      </c>
      <c r="B5230" s="5" t="s">
        <v>5238</v>
      </c>
      <c r="C5230" s="5">
        <v>0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</row>
    <row r="5231" spans="1:11" x14ac:dyDescent="0.25">
      <c r="A5231" s="5">
        <f>5224</f>
      </c>
      <c r="B5231" s="5" t="s">
        <v>5239</v>
      </c>
      <c r="C5231" s="5">
        <v>0</v>
      </c>
      <c r="D5231" s="5">
        <v>0</v>
      </c>
      <c r="E5231" s="5">
        <v>0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</row>
    <row r="5232" spans="1:11" x14ac:dyDescent="0.25">
      <c r="A5232" s="5">
        <f>5225</f>
      </c>
      <c r="B5232" s="5" t="s">
        <v>5240</v>
      </c>
      <c r="C5232" s="5">
        <v>0</v>
      </c>
      <c r="D5232" s="5">
        <v>0</v>
      </c>
      <c r="E5232" s="5">
        <v>0</v>
      </c>
      <c r="F5232" s="5">
        <v>0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</row>
    <row r="5233" spans="1:11" x14ac:dyDescent="0.25">
      <c r="A5233" s="5">
        <f>5226</f>
      </c>
      <c r="B5233" s="5" t="s">
        <v>5241</v>
      </c>
      <c r="C5233" s="5">
        <v>0</v>
      </c>
      <c r="D5233" s="5">
        <v>0</v>
      </c>
      <c r="E5233" s="5">
        <v>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</row>
    <row r="5234" spans="1:11" x14ac:dyDescent="0.25">
      <c r="A5234" s="5">
        <f>5227</f>
      </c>
      <c r="B5234" s="5" t="s">
        <v>5242</v>
      </c>
      <c r="C5234" s="5">
        <v>0</v>
      </c>
      <c r="D5234" s="5">
        <v>0</v>
      </c>
      <c r="E5234" s="5">
        <v>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</row>
    <row r="5235" spans="1:11" x14ac:dyDescent="0.25">
      <c r="A5235" s="5">
        <f>5228</f>
      </c>
      <c r="B5235" s="5" t="s">
        <v>5243</v>
      </c>
      <c r="C5235" s="5">
        <v>0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</row>
    <row r="5236" spans="1:11" x14ac:dyDescent="0.25">
      <c r="A5236" s="5">
        <f>5229</f>
      </c>
      <c r="B5236" s="5" t="s">
        <v>5244</v>
      </c>
      <c r="C5236" s="5">
        <v>0</v>
      </c>
      <c r="D5236" s="5">
        <v>0</v>
      </c>
      <c r="E5236" s="5">
        <v>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</row>
    <row r="5237" spans="1:11" x14ac:dyDescent="0.25">
      <c r="A5237" s="5">
        <f>5230</f>
      </c>
      <c r="B5237" s="5" t="s">
        <v>5245</v>
      </c>
      <c r="C5237" s="5">
        <v>0</v>
      </c>
      <c r="D5237" s="5">
        <v>0</v>
      </c>
      <c r="E5237" s="5">
        <v>0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</row>
    <row r="5238" spans="1:11" x14ac:dyDescent="0.25">
      <c r="A5238" s="5">
        <f>5231</f>
      </c>
      <c r="B5238" s="5" t="s">
        <v>5246</v>
      </c>
      <c r="C5238" s="5">
        <v>0</v>
      </c>
      <c r="D5238" s="5">
        <v>0</v>
      </c>
      <c r="E5238" s="5">
        <v>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</row>
    <row r="5239" spans="1:11" x14ac:dyDescent="0.25">
      <c r="A5239" s="5">
        <f>5232</f>
      </c>
      <c r="B5239" s="5" t="s">
        <v>5247</v>
      </c>
      <c r="C5239" s="5">
        <v>0</v>
      </c>
      <c r="D5239" s="5">
        <v>0</v>
      </c>
      <c r="E5239" s="5">
        <v>0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</row>
    <row r="5240" spans="1:11" x14ac:dyDescent="0.25">
      <c r="A5240" s="5">
        <f>5233</f>
      </c>
      <c r="B5240" s="5" t="s">
        <v>5248</v>
      </c>
      <c r="C5240" s="5">
        <v>0</v>
      </c>
      <c r="D5240" s="5">
        <v>0</v>
      </c>
      <c r="E5240" s="5">
        <v>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</row>
    <row r="5241" spans="1:11" x14ac:dyDescent="0.25">
      <c r="A5241" s="5">
        <f>5234</f>
      </c>
      <c r="B5241" s="5" t="s">
        <v>5249</v>
      </c>
      <c r="C5241" s="5">
        <v>0</v>
      </c>
      <c r="D5241" s="5">
        <v>0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</row>
    <row r="5242" spans="1:11" x14ac:dyDescent="0.25">
      <c r="A5242" s="5">
        <f>5235</f>
      </c>
      <c r="B5242" s="5" t="s">
        <v>5250</v>
      </c>
      <c r="C5242" s="5">
        <v>0</v>
      </c>
      <c r="D5242" s="5">
        <v>0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</row>
    <row r="5243" spans="1:11" x14ac:dyDescent="0.25">
      <c r="A5243" s="5">
        <f>5236</f>
      </c>
      <c r="B5243" s="5" t="s">
        <v>5251</v>
      </c>
      <c r="C5243" s="5">
        <v>0</v>
      </c>
      <c r="D5243" s="5">
        <v>0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</row>
    <row r="5244" spans="1:11" x14ac:dyDescent="0.25">
      <c r="A5244" s="5">
        <f>5237</f>
      </c>
      <c r="B5244" s="5" t="s">
        <v>5252</v>
      </c>
      <c r="C5244" s="5">
        <v>0</v>
      </c>
      <c r="D5244" s="5">
        <v>0</v>
      </c>
      <c r="E5244" s="5">
        <v>0</v>
      </c>
      <c r="F5244" s="5">
        <v>0</v>
      </c>
      <c r="G5244" s="5">
        <v>0</v>
      </c>
      <c r="H5244" s="5">
        <v>0</v>
      </c>
      <c r="I5244" s="5">
        <v>0</v>
      </c>
      <c r="J5244" s="5">
        <v>0</v>
      </c>
      <c r="K5244" s="5">
        <v>0</v>
      </c>
    </row>
    <row r="5245" spans="1:11" x14ac:dyDescent="0.25">
      <c r="A5245" s="5">
        <f>5238</f>
      </c>
      <c r="B5245" s="5" t="s">
        <v>5253</v>
      </c>
      <c r="C5245" s="5">
        <v>0</v>
      </c>
      <c r="D5245" s="5">
        <v>0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</row>
    <row r="5246" spans="1:11" x14ac:dyDescent="0.25">
      <c r="A5246" s="5">
        <f>5239</f>
      </c>
      <c r="B5246" s="5" t="s">
        <v>5254</v>
      </c>
      <c r="C5246" s="5">
        <v>0</v>
      </c>
      <c r="D5246" s="5">
        <v>0</v>
      </c>
      <c r="E5246" s="5">
        <v>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</row>
    <row r="5247" spans="1:11" x14ac:dyDescent="0.25">
      <c r="A5247" s="5">
        <f>5240</f>
      </c>
      <c r="B5247" s="5" t="s">
        <v>5255</v>
      </c>
      <c r="C5247" s="5">
        <v>0</v>
      </c>
      <c r="D5247" s="5">
        <v>0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</row>
    <row r="5248" spans="1:11" x14ac:dyDescent="0.25">
      <c r="A5248" s="5">
        <f>5241</f>
      </c>
      <c r="B5248" s="5" t="s">
        <v>5256</v>
      </c>
      <c r="C5248" s="5">
        <v>0</v>
      </c>
      <c r="D5248" s="5">
        <v>0</v>
      </c>
      <c r="E5248" s="5">
        <v>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</row>
    <row r="5249" spans="1:11" x14ac:dyDescent="0.25">
      <c r="A5249" s="5">
        <f>5242</f>
      </c>
      <c r="B5249" s="5" t="s">
        <v>5257</v>
      </c>
      <c r="C5249" s="5">
        <v>0</v>
      </c>
      <c r="D5249" s="5">
        <v>0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</row>
    <row r="5250" spans="1:11" x14ac:dyDescent="0.25">
      <c r="A5250" s="5">
        <f>5243</f>
      </c>
      <c r="B5250" s="5" t="s">
        <v>5258</v>
      </c>
      <c r="C5250" s="5">
        <v>0</v>
      </c>
      <c r="D5250" s="5">
        <v>0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</row>
    <row r="5251" spans="1:11" x14ac:dyDescent="0.25">
      <c r="A5251" s="5">
        <f>5244</f>
      </c>
      <c r="B5251" s="5" t="s">
        <v>5259</v>
      </c>
      <c r="C5251" s="5">
        <v>0</v>
      </c>
      <c r="D5251" s="5">
        <v>0</v>
      </c>
      <c r="E5251" s="5">
        <v>0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</row>
    <row r="5252" spans="1:11" x14ac:dyDescent="0.25">
      <c r="A5252" s="5">
        <f>5245</f>
      </c>
      <c r="B5252" s="5" t="s">
        <v>5260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</row>
    <row r="5253" spans="1:11" x14ac:dyDescent="0.25">
      <c r="A5253" s="5">
        <f>5246</f>
      </c>
      <c r="B5253" s="5" t="s">
        <v>5261</v>
      </c>
      <c r="C5253" s="5">
        <v>0</v>
      </c>
      <c r="D5253" s="5">
        <v>0</v>
      </c>
      <c r="E5253" s="5">
        <v>0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</row>
    <row r="5254" spans="1:11" x14ac:dyDescent="0.25">
      <c r="A5254" s="5">
        <f>5247</f>
      </c>
      <c r="B5254" s="5" t="s">
        <v>5262</v>
      </c>
      <c r="C5254" s="5">
        <v>0</v>
      </c>
      <c r="D5254" s="5">
        <v>0</v>
      </c>
      <c r="E5254" s="5">
        <v>0</v>
      </c>
      <c r="F5254" s="5">
        <v>0</v>
      </c>
      <c r="G5254" s="5">
        <v>0</v>
      </c>
      <c r="H5254" s="5">
        <v>0</v>
      </c>
      <c r="I5254" s="5">
        <v>0</v>
      </c>
      <c r="J5254" s="5">
        <v>0</v>
      </c>
      <c r="K5254" s="5">
        <v>0</v>
      </c>
    </row>
    <row r="5255" spans="1:11" x14ac:dyDescent="0.25">
      <c r="A5255" s="5">
        <f>5248</f>
      </c>
      <c r="B5255" s="5" t="s">
        <v>5263</v>
      </c>
      <c r="C5255" s="5">
        <v>0</v>
      </c>
      <c r="D5255" s="5">
        <v>0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</row>
    <row r="5256" spans="1:11" x14ac:dyDescent="0.25">
      <c r="A5256" s="5">
        <f>5249</f>
      </c>
      <c r="B5256" s="5" t="s">
        <v>5264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</row>
    <row r="5257" spans="1:11" x14ac:dyDescent="0.25">
      <c r="A5257" s="5">
        <f>5250</f>
      </c>
      <c r="B5257" s="5" t="s">
        <v>5265</v>
      </c>
      <c r="C5257" s="5">
        <v>0</v>
      </c>
      <c r="D5257" s="5">
        <v>0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</row>
    <row r="5258" spans="1:11" x14ac:dyDescent="0.25">
      <c r="A5258" s="5">
        <f>5251</f>
      </c>
      <c r="B5258" s="5" t="s">
        <v>5266</v>
      </c>
      <c r="C5258" s="5">
        <v>0</v>
      </c>
      <c r="D5258" s="5">
        <v>0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</row>
    <row r="5259" spans="1:11" x14ac:dyDescent="0.25">
      <c r="A5259" s="5">
        <f>5252</f>
      </c>
      <c r="B5259" s="5" t="s">
        <v>5267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</row>
    <row r="5260" spans="1:11" x14ac:dyDescent="0.25">
      <c r="A5260" s="5">
        <f>5253</f>
      </c>
      <c r="B5260" s="5" t="s">
        <v>5268</v>
      </c>
      <c r="C5260" s="5">
        <v>0</v>
      </c>
      <c r="D5260" s="5">
        <v>0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</row>
    <row r="5261" spans="1:11" x14ac:dyDescent="0.25">
      <c r="A5261" s="5">
        <f>5254</f>
      </c>
      <c r="B5261" s="5" t="s">
        <v>5269</v>
      </c>
      <c r="C5261" s="5">
        <v>0</v>
      </c>
      <c r="D5261" s="5">
        <v>0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</row>
    <row r="5262" spans="1:11" x14ac:dyDescent="0.25">
      <c r="A5262" s="5">
        <f>5255</f>
      </c>
      <c r="B5262" s="5" t="s">
        <v>5270</v>
      </c>
      <c r="C5262" s="5">
        <v>0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</row>
    <row r="5263" spans="1:11" x14ac:dyDescent="0.25">
      <c r="A5263" s="5">
        <f>5256</f>
      </c>
      <c r="B5263" s="5" t="s">
        <v>5271</v>
      </c>
      <c r="C5263" s="5">
        <v>0</v>
      </c>
      <c r="D5263" s="5">
        <v>0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</row>
    <row r="5264" spans="1:11" x14ac:dyDescent="0.25">
      <c r="A5264" s="5">
        <f>5257</f>
      </c>
      <c r="B5264" s="5" t="s">
        <v>5272</v>
      </c>
      <c r="C5264" s="5">
        <v>0</v>
      </c>
      <c r="D5264" s="5">
        <v>0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</row>
    <row r="5265" spans="1:11" x14ac:dyDescent="0.25">
      <c r="A5265" s="5">
        <f>5258</f>
      </c>
      <c r="B5265" s="5" t="s">
        <v>5273</v>
      </c>
      <c r="C5265" s="5">
        <v>0</v>
      </c>
      <c r="D5265" s="5">
        <v>0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</row>
    <row r="5266" spans="1:11" x14ac:dyDescent="0.25">
      <c r="A5266" s="5">
        <f>5259</f>
      </c>
      <c r="B5266" s="5" t="s">
        <v>5274</v>
      </c>
      <c r="C5266" s="5">
        <v>0</v>
      </c>
      <c r="D5266" s="5">
        <v>0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</row>
    <row r="5267" spans="1:11" x14ac:dyDescent="0.25">
      <c r="A5267" s="5">
        <f>5260</f>
      </c>
      <c r="B5267" s="5" t="s">
        <v>5275</v>
      </c>
      <c r="C5267" s="5">
        <v>0</v>
      </c>
      <c r="D5267" s="5">
        <v>0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</row>
    <row r="5268" spans="1:11" x14ac:dyDescent="0.25">
      <c r="A5268" s="5">
        <f>5261</f>
      </c>
      <c r="B5268" s="5" t="s">
        <v>5276</v>
      </c>
      <c r="C5268" s="5">
        <v>0</v>
      </c>
      <c r="D5268" s="5">
        <v>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</row>
    <row r="5269" spans="1:11" x14ac:dyDescent="0.25">
      <c r="A5269" s="5">
        <f>5262</f>
      </c>
      <c r="B5269" s="5" t="s">
        <v>5277</v>
      </c>
      <c r="C5269" s="5">
        <v>0</v>
      </c>
      <c r="D5269" s="5">
        <v>0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</row>
    <row r="5270" spans="1:11" x14ac:dyDescent="0.25">
      <c r="A5270" s="5">
        <f>5263</f>
      </c>
      <c r="B5270" s="5" t="s">
        <v>5278</v>
      </c>
      <c r="C5270" s="5">
        <v>0</v>
      </c>
      <c r="D5270" s="5">
        <v>0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</row>
    <row r="5271" spans="1:11" x14ac:dyDescent="0.25">
      <c r="A5271" s="5">
        <f>5264</f>
      </c>
      <c r="B5271" s="5" t="s">
        <v>5279</v>
      </c>
      <c r="C5271" s="5">
        <v>0</v>
      </c>
      <c r="D5271" s="5">
        <v>0</v>
      </c>
      <c r="E5271" s="5">
        <v>0</v>
      </c>
      <c r="F5271" s="5">
        <v>0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</row>
    <row r="5272" spans="1:11" x14ac:dyDescent="0.25">
      <c r="A5272" s="5">
        <f>5265</f>
      </c>
      <c r="B5272" s="5" t="s">
        <v>5280</v>
      </c>
      <c r="C5272" s="5">
        <v>0</v>
      </c>
      <c r="D5272" s="5">
        <v>0</v>
      </c>
      <c r="E5272" s="5">
        <v>0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</row>
    <row r="5273" spans="1:11" x14ac:dyDescent="0.25">
      <c r="A5273" s="5">
        <f>5266</f>
      </c>
      <c r="B5273" s="5" t="s">
        <v>5281</v>
      </c>
      <c r="C5273" s="5">
        <v>0</v>
      </c>
      <c r="D5273" s="5">
        <v>0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</row>
    <row r="5274" spans="1:11" x14ac:dyDescent="0.25">
      <c r="A5274" s="5">
        <f>5267</f>
      </c>
      <c r="B5274" s="5" t="s">
        <v>5282</v>
      </c>
      <c r="C5274" s="5">
        <v>0</v>
      </c>
      <c r="D5274" s="5">
        <v>0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</row>
    <row r="5275" spans="1:11" x14ac:dyDescent="0.25">
      <c r="A5275" s="5">
        <f>5268</f>
      </c>
      <c r="B5275" s="5" t="s">
        <v>5283</v>
      </c>
      <c r="C5275" s="5">
        <v>0</v>
      </c>
      <c r="D5275" s="5">
        <v>0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</row>
    <row r="5276" spans="1:11" x14ac:dyDescent="0.25">
      <c r="A5276" s="5">
        <f>5269</f>
      </c>
      <c r="B5276" s="5" t="s">
        <v>5284</v>
      </c>
      <c r="C5276" s="5">
        <v>0</v>
      </c>
      <c r="D5276" s="5">
        <v>0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</row>
    <row r="5277" spans="1:11" x14ac:dyDescent="0.25">
      <c r="A5277" s="5">
        <f>5270</f>
      </c>
      <c r="B5277" s="5" t="s">
        <v>5285</v>
      </c>
      <c r="C5277" s="5">
        <v>0</v>
      </c>
      <c r="D5277" s="5">
        <v>0</v>
      </c>
      <c r="E5277" s="5">
        <v>0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  <c r="K5277" s="5">
        <v>0</v>
      </c>
    </row>
    <row r="5278" spans="1:11" x14ac:dyDescent="0.25">
      <c r="A5278" s="5">
        <f>5271</f>
      </c>
      <c r="B5278" s="5" t="s">
        <v>5286</v>
      </c>
      <c r="C5278" s="5">
        <v>0</v>
      </c>
      <c r="D5278" s="5">
        <v>0</v>
      </c>
      <c r="E5278" s="5">
        <v>0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</row>
    <row r="5279" spans="1:11" x14ac:dyDescent="0.25">
      <c r="A5279" s="5">
        <f>5272</f>
      </c>
      <c r="B5279" s="5" t="s">
        <v>5287</v>
      </c>
      <c r="C5279" s="5">
        <v>0</v>
      </c>
      <c r="D5279" s="5">
        <v>0</v>
      </c>
      <c r="E5279" s="5">
        <v>0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</row>
    <row r="5280" spans="1:11" x14ac:dyDescent="0.25">
      <c r="A5280" s="5">
        <f>5273</f>
      </c>
      <c r="B5280" s="5" t="s">
        <v>5288</v>
      </c>
      <c r="C5280" s="5">
        <v>0</v>
      </c>
      <c r="D5280" s="5">
        <v>0</v>
      </c>
      <c r="E5280" s="5">
        <v>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</row>
    <row r="5281" spans="1:11" x14ac:dyDescent="0.25">
      <c r="A5281" s="5">
        <f>5274</f>
      </c>
      <c r="B5281" s="5" t="s">
        <v>5289</v>
      </c>
      <c r="C5281" s="5">
        <v>0</v>
      </c>
      <c r="D5281" s="5">
        <v>0</v>
      </c>
      <c r="E5281" s="5">
        <v>0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0</v>
      </c>
    </row>
    <row r="5282" spans="1:11" x14ac:dyDescent="0.25">
      <c r="A5282" s="5">
        <f>5275</f>
      </c>
      <c r="B5282" s="5" t="s">
        <v>5290</v>
      </c>
      <c r="C5282" s="5">
        <v>0</v>
      </c>
      <c r="D5282" s="5">
        <v>0</v>
      </c>
      <c r="E5282" s="5">
        <v>0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</row>
    <row r="5283" spans="1:11" x14ac:dyDescent="0.25">
      <c r="A5283" s="5">
        <f>5276</f>
      </c>
      <c r="B5283" s="5" t="s">
        <v>5291</v>
      </c>
      <c r="C5283" s="5">
        <v>0</v>
      </c>
      <c r="D5283" s="5">
        <v>0</v>
      </c>
      <c r="E5283" s="5">
        <v>0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</row>
    <row r="5284" spans="1:11" x14ac:dyDescent="0.25">
      <c r="A5284" s="5">
        <f>5277</f>
      </c>
      <c r="B5284" s="5" t="s">
        <v>5292</v>
      </c>
      <c r="C5284" s="5">
        <v>0</v>
      </c>
      <c r="D5284" s="5">
        <v>0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</row>
    <row r="5285" spans="1:11" x14ac:dyDescent="0.25">
      <c r="A5285" s="5">
        <f>5278</f>
      </c>
      <c r="B5285" s="5" t="s">
        <v>5293</v>
      </c>
      <c r="C5285" s="5">
        <v>0</v>
      </c>
      <c r="D5285" s="5">
        <v>0</v>
      </c>
      <c r="E5285" s="5">
        <v>0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</row>
    <row r="5286" spans="1:11" x14ac:dyDescent="0.25">
      <c r="A5286" s="5">
        <f>5279</f>
      </c>
      <c r="B5286" s="5" t="s">
        <v>5294</v>
      </c>
      <c r="C5286" s="5">
        <v>0</v>
      </c>
      <c r="D5286" s="5">
        <v>0</v>
      </c>
      <c r="E5286" s="5">
        <v>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</row>
    <row r="5287" spans="1:11" x14ac:dyDescent="0.25">
      <c r="A5287" s="5">
        <f>5280</f>
      </c>
      <c r="B5287" s="5" t="s">
        <v>5295</v>
      </c>
      <c r="C5287" s="5">
        <v>0</v>
      </c>
      <c r="D5287" s="5">
        <v>0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</row>
    <row r="5288" spans="1:11" x14ac:dyDescent="0.25">
      <c r="A5288" s="5">
        <f>5281</f>
      </c>
      <c r="B5288" s="5" t="s">
        <v>5296</v>
      </c>
      <c r="C5288" s="5">
        <v>0</v>
      </c>
      <c r="D5288" s="5">
        <v>0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</row>
    <row r="5289" spans="1:11" x14ac:dyDescent="0.25">
      <c r="A5289" s="5">
        <f>5282</f>
      </c>
      <c r="B5289" s="5" t="s">
        <v>5297</v>
      </c>
      <c r="C5289" s="5">
        <v>0</v>
      </c>
      <c r="D5289" s="5">
        <v>0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</row>
    <row r="5290" spans="1:11" x14ac:dyDescent="0.25">
      <c r="A5290" s="5">
        <f>5283</f>
      </c>
      <c r="B5290" s="5" t="s">
        <v>5298</v>
      </c>
      <c r="C5290" s="5">
        <v>0</v>
      </c>
      <c r="D5290" s="5">
        <v>0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</row>
    <row r="5291" spans="1:11" x14ac:dyDescent="0.25">
      <c r="A5291" s="5">
        <f>5284</f>
      </c>
      <c r="B5291" s="5" t="s">
        <v>5299</v>
      </c>
      <c r="C5291" s="5">
        <v>0</v>
      </c>
      <c r="D5291" s="5">
        <v>0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</row>
    <row r="5292" spans="1:11" x14ac:dyDescent="0.25">
      <c r="A5292" s="5">
        <f>5285</f>
      </c>
      <c r="B5292" s="5" t="s">
        <v>5300</v>
      </c>
      <c r="C5292" s="5">
        <v>0</v>
      </c>
      <c r="D5292" s="5">
        <v>0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</row>
    <row r="5293" spans="1:11" x14ac:dyDescent="0.25">
      <c r="A5293" s="5">
        <f>5286</f>
      </c>
      <c r="B5293" s="5" t="s">
        <v>5301</v>
      </c>
      <c r="C5293" s="5">
        <v>0</v>
      </c>
      <c r="D5293" s="5">
        <v>0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</row>
    <row r="5294" spans="1:11" x14ac:dyDescent="0.25">
      <c r="A5294" s="5">
        <f>5287</f>
      </c>
      <c r="B5294" s="5" t="s">
        <v>5302</v>
      </c>
      <c r="C5294" s="5">
        <v>0</v>
      </c>
      <c r="D5294" s="5">
        <v>0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</row>
    <row r="5295" spans="1:11" x14ac:dyDescent="0.25">
      <c r="A5295" s="5">
        <f>5288</f>
      </c>
      <c r="B5295" s="5" t="s">
        <v>5303</v>
      </c>
      <c r="C5295" s="5">
        <v>0</v>
      </c>
      <c r="D5295" s="5">
        <v>0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</row>
    <row r="5296" spans="1:11" x14ac:dyDescent="0.25">
      <c r="A5296" s="5">
        <f>5289</f>
      </c>
      <c r="B5296" s="5" t="s">
        <v>5304</v>
      </c>
      <c r="C5296" s="5">
        <v>0</v>
      </c>
      <c r="D5296" s="5">
        <v>0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</row>
    <row r="5297" spans="1:11" x14ac:dyDescent="0.25">
      <c r="A5297" s="5">
        <f>5290</f>
      </c>
      <c r="B5297" s="5" t="s">
        <v>5305</v>
      </c>
      <c r="C5297" s="5">
        <v>0</v>
      </c>
      <c r="D5297" s="5">
        <v>0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</row>
    <row r="5298" spans="1:11" x14ac:dyDescent="0.25">
      <c r="A5298" s="5">
        <f>5291</f>
      </c>
      <c r="B5298" s="5" t="s">
        <v>5306</v>
      </c>
      <c r="C5298" s="5">
        <v>0</v>
      </c>
      <c r="D5298" s="5">
        <v>0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</row>
    <row r="5299" spans="1:11" x14ac:dyDescent="0.25">
      <c r="A5299" s="5">
        <f>5292</f>
      </c>
      <c r="B5299" s="5" t="s">
        <v>5307</v>
      </c>
      <c r="C5299" s="5">
        <v>0</v>
      </c>
      <c r="D5299" s="5">
        <v>0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</row>
    <row r="5300" spans="1:11" x14ac:dyDescent="0.25">
      <c r="A5300" s="5">
        <f>5293</f>
      </c>
      <c r="B5300" s="5" t="s">
        <v>5308</v>
      </c>
      <c r="C5300" s="5">
        <v>0</v>
      </c>
      <c r="D5300" s="5">
        <v>0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</row>
    <row r="5301" spans="1:11" x14ac:dyDescent="0.25">
      <c r="A5301" s="5">
        <f>5294</f>
      </c>
      <c r="B5301" s="5" t="s">
        <v>5309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</row>
    <row r="5302" spans="1:11" x14ac:dyDescent="0.25">
      <c r="A5302" s="5">
        <f>5295</f>
      </c>
      <c r="B5302" s="5" t="s">
        <v>5310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</row>
    <row r="5303" spans="1:11" x14ac:dyDescent="0.25">
      <c r="A5303" s="5">
        <f>5296</f>
      </c>
      <c r="B5303" s="5" t="s">
        <v>5311</v>
      </c>
      <c r="C5303" s="5">
        <v>0</v>
      </c>
      <c r="D5303" s="5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</row>
    <row r="5304" spans="1:11" x14ac:dyDescent="0.25">
      <c r="A5304" s="5">
        <f>5297</f>
      </c>
      <c r="B5304" s="5" t="s">
        <v>5312</v>
      </c>
      <c r="C5304" s="5">
        <v>0</v>
      </c>
      <c r="D5304" s="5">
        <v>0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</row>
    <row r="5305" spans="1:11" x14ac:dyDescent="0.25">
      <c r="A5305" s="5">
        <f>5298</f>
      </c>
      <c r="B5305" s="5" t="s">
        <v>5313</v>
      </c>
      <c r="C5305" s="5">
        <v>0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</row>
    <row r="5306" spans="1:11" x14ac:dyDescent="0.25">
      <c r="A5306" s="5">
        <f>5299</f>
      </c>
      <c r="B5306" s="5" t="s">
        <v>5314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</row>
    <row r="5307" spans="1:11" x14ac:dyDescent="0.25">
      <c r="A5307" s="5">
        <f>5300</f>
      </c>
      <c r="B5307" s="5" t="s">
        <v>5315</v>
      </c>
      <c r="C5307" s="5">
        <v>0</v>
      </c>
      <c r="D5307" s="5">
        <v>0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</row>
    <row r="5308" spans="1:11" x14ac:dyDescent="0.25">
      <c r="A5308" s="5">
        <f>5301</f>
      </c>
      <c r="B5308" s="5" t="s">
        <v>5316</v>
      </c>
      <c r="C5308" s="5">
        <v>0</v>
      </c>
      <c r="D5308" s="5">
        <v>0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</row>
    <row r="5309" spans="1:11" x14ac:dyDescent="0.25">
      <c r="A5309" s="5">
        <f>5302</f>
      </c>
      <c r="B5309" s="5" t="s">
        <v>5317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</row>
    <row r="5310" spans="1:11" x14ac:dyDescent="0.25">
      <c r="A5310" s="5">
        <f>5303</f>
      </c>
      <c r="B5310" s="5" t="s">
        <v>5318</v>
      </c>
      <c r="C5310" s="5">
        <v>0</v>
      </c>
      <c r="D5310" s="5">
        <v>0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</row>
    <row r="5311" spans="1:11" x14ac:dyDescent="0.25">
      <c r="A5311" s="5">
        <f>5304</f>
      </c>
      <c r="B5311" s="5" t="s">
        <v>5319</v>
      </c>
      <c r="C5311" s="5">
        <v>0</v>
      </c>
      <c r="D5311" s="5">
        <v>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</row>
    <row r="5312" spans="1:11" x14ac:dyDescent="0.25">
      <c r="A5312" s="5">
        <f>5305</f>
      </c>
      <c r="B5312" s="5" t="s">
        <v>5320</v>
      </c>
      <c r="C5312" s="5">
        <v>0</v>
      </c>
      <c r="D5312" s="5">
        <v>0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</row>
    <row r="5313" spans="1:11" x14ac:dyDescent="0.25">
      <c r="A5313" s="5">
        <f>5306</f>
      </c>
      <c r="B5313" s="5" t="s">
        <v>5321</v>
      </c>
      <c r="C5313" s="5">
        <v>0</v>
      </c>
      <c r="D5313" s="5">
        <v>0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</row>
    <row r="5314" spans="1:11" x14ac:dyDescent="0.25">
      <c r="A5314" s="5">
        <f>5307</f>
      </c>
      <c r="B5314" s="5" t="s">
        <v>5322</v>
      </c>
      <c r="C5314" s="5">
        <v>0</v>
      </c>
      <c r="D5314" s="5">
        <v>0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</row>
    <row r="5315" spans="1:11" x14ac:dyDescent="0.25">
      <c r="A5315" s="5">
        <f>5308</f>
      </c>
      <c r="B5315" s="5" t="s">
        <v>5323</v>
      </c>
      <c r="C5315" s="5">
        <v>0</v>
      </c>
      <c r="D5315" s="5">
        <v>0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</row>
    <row r="5316" spans="1:11" x14ac:dyDescent="0.25">
      <c r="A5316" s="5">
        <f>5309</f>
      </c>
      <c r="B5316" s="5" t="s">
        <v>5324</v>
      </c>
      <c r="C5316" s="5">
        <v>0</v>
      </c>
      <c r="D5316" s="5">
        <v>0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</row>
    <row r="5317" spans="1:11" x14ac:dyDescent="0.25">
      <c r="A5317" s="5">
        <f>5310</f>
      </c>
      <c r="B5317" s="5" t="s">
        <v>5325</v>
      </c>
      <c r="C5317" s="5">
        <v>0</v>
      </c>
      <c r="D5317" s="5">
        <v>0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</row>
    <row r="5318" spans="1:11" x14ac:dyDescent="0.25">
      <c r="A5318" s="5">
        <f>5311</f>
      </c>
      <c r="B5318" s="5" t="s">
        <v>5326</v>
      </c>
      <c r="C5318" s="5">
        <v>0</v>
      </c>
      <c r="D5318" s="5">
        <v>0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</row>
    <row r="5319" spans="1:11" x14ac:dyDescent="0.25">
      <c r="A5319" s="5">
        <f>5312</f>
      </c>
      <c r="B5319" s="5" t="s">
        <v>5327</v>
      </c>
      <c r="C5319" s="5">
        <v>0</v>
      </c>
      <c r="D5319" s="5">
        <v>0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</row>
    <row r="5320" spans="1:11" x14ac:dyDescent="0.25">
      <c r="A5320" s="5">
        <f>5313</f>
      </c>
      <c r="B5320" s="5" t="s">
        <v>5328</v>
      </c>
      <c r="C5320" s="5">
        <v>0</v>
      </c>
      <c r="D5320" s="5">
        <v>0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</row>
    <row r="5321" spans="1:11" x14ac:dyDescent="0.25">
      <c r="A5321" s="5">
        <f>5314</f>
      </c>
      <c r="B5321" s="5" t="s">
        <v>5329</v>
      </c>
      <c r="C5321" s="5">
        <v>0</v>
      </c>
      <c r="D5321" s="5">
        <v>0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</row>
    <row r="5322" spans="1:11" x14ac:dyDescent="0.25">
      <c r="A5322" s="5">
        <f>5315</f>
      </c>
      <c r="B5322" s="5" t="s">
        <v>5330</v>
      </c>
      <c r="C5322" s="5">
        <v>0</v>
      </c>
      <c r="D5322" s="5">
        <v>0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</row>
    <row r="5323" spans="1:11" x14ac:dyDescent="0.25">
      <c r="A5323" s="5">
        <f>5316</f>
      </c>
      <c r="B5323" s="5" t="s">
        <v>5331</v>
      </c>
      <c r="C5323" s="5">
        <v>0</v>
      </c>
      <c r="D5323" s="5">
        <v>0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</row>
    <row r="5324" spans="1:11" x14ac:dyDescent="0.25">
      <c r="A5324" s="5">
        <f>5317</f>
      </c>
      <c r="B5324" s="5" t="s">
        <v>5332</v>
      </c>
      <c r="C5324" s="5">
        <v>0</v>
      </c>
      <c r="D5324" s="5">
        <v>0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</row>
    <row r="5325" spans="1:11" x14ac:dyDescent="0.25">
      <c r="A5325" s="5">
        <f>5318</f>
      </c>
      <c r="B5325" s="5" t="s">
        <v>5333</v>
      </c>
      <c r="C5325" s="5">
        <v>0</v>
      </c>
      <c r="D5325" s="5">
        <v>0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</row>
    <row r="5326" spans="1:11" x14ac:dyDescent="0.25">
      <c r="A5326" s="5">
        <f>5319</f>
      </c>
      <c r="B5326" s="5" t="s">
        <v>5334</v>
      </c>
      <c r="C5326" s="5">
        <v>0</v>
      </c>
      <c r="D5326" s="5">
        <v>0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</row>
    <row r="5327" spans="1:11" x14ac:dyDescent="0.25">
      <c r="A5327" s="5">
        <f>5320</f>
      </c>
      <c r="B5327" s="5" t="s">
        <v>5335</v>
      </c>
      <c r="C5327" s="5">
        <v>0</v>
      </c>
      <c r="D5327" s="5">
        <v>0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</row>
    <row r="5328" spans="1:11" x14ac:dyDescent="0.25">
      <c r="A5328" s="5">
        <f>5321</f>
      </c>
      <c r="B5328" s="5" t="s">
        <v>5336</v>
      </c>
      <c r="C5328" s="5">
        <v>0</v>
      </c>
      <c r="D5328" s="5">
        <v>0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</row>
    <row r="5329" spans="1:11" x14ac:dyDescent="0.25">
      <c r="A5329" s="5">
        <f>5322</f>
      </c>
      <c r="B5329" s="5" t="s">
        <v>5337</v>
      </c>
      <c r="C5329" s="5">
        <v>0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</row>
    <row r="5330" spans="1:11" x14ac:dyDescent="0.25">
      <c r="A5330" s="5">
        <f>5323</f>
      </c>
      <c r="B5330" s="5" t="s">
        <v>5338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</row>
    <row r="5331" spans="1:11" x14ac:dyDescent="0.25">
      <c r="A5331" s="5">
        <f>5324</f>
      </c>
      <c r="B5331" s="5" t="s">
        <v>5339</v>
      </c>
      <c r="C5331" s="5">
        <v>0</v>
      </c>
      <c r="D5331" s="5">
        <v>0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</row>
    <row r="5332" spans="1:11" x14ac:dyDescent="0.25">
      <c r="A5332" s="5">
        <f>5325</f>
      </c>
      <c r="B5332" s="5" t="s">
        <v>5340</v>
      </c>
      <c r="C5332" s="5">
        <v>0</v>
      </c>
      <c r="D5332" s="5">
        <v>0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</row>
    <row r="5333" spans="1:11" x14ac:dyDescent="0.25">
      <c r="A5333" s="5">
        <f>5326</f>
      </c>
      <c r="B5333" s="5" t="s">
        <v>5341</v>
      </c>
      <c r="C5333" s="5">
        <v>0</v>
      </c>
      <c r="D5333" s="5">
        <v>0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</row>
    <row r="5334" spans="1:11" x14ac:dyDescent="0.25">
      <c r="A5334" s="5">
        <f>5327</f>
      </c>
      <c r="B5334" s="5" t="s">
        <v>5342</v>
      </c>
      <c r="C5334" s="5">
        <v>0</v>
      </c>
      <c r="D5334" s="5">
        <v>0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</row>
    <row r="5335" spans="1:11" x14ac:dyDescent="0.25">
      <c r="A5335" s="5">
        <f>5328</f>
      </c>
      <c r="B5335" s="5" t="s">
        <v>5343</v>
      </c>
      <c r="C5335" s="5">
        <v>0</v>
      </c>
      <c r="D5335" s="5">
        <v>0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</row>
    <row r="5336" spans="1:11" x14ac:dyDescent="0.25">
      <c r="A5336" s="5">
        <f>5329</f>
      </c>
      <c r="B5336" s="5" t="s">
        <v>5344</v>
      </c>
      <c r="C5336" s="5">
        <v>0</v>
      </c>
      <c r="D5336" s="5">
        <v>0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</row>
    <row r="5337" spans="1:11" x14ac:dyDescent="0.25">
      <c r="A5337" s="5">
        <f>5330</f>
      </c>
      <c r="B5337" s="5" t="s">
        <v>5345</v>
      </c>
      <c r="C5337" s="5">
        <v>0</v>
      </c>
      <c r="D5337" s="5">
        <v>0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</row>
    <row r="5338" spans="1:11" x14ac:dyDescent="0.25">
      <c r="A5338" s="5">
        <f>5331</f>
      </c>
      <c r="B5338" s="5" t="s">
        <v>5346</v>
      </c>
      <c r="C5338" s="5">
        <v>0</v>
      </c>
      <c r="D5338" s="5">
        <v>0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</row>
    <row r="5339" spans="1:11" x14ac:dyDescent="0.25">
      <c r="A5339" s="5">
        <f>5332</f>
      </c>
      <c r="B5339" s="5" t="s">
        <v>5347</v>
      </c>
      <c r="C5339" s="5">
        <v>0</v>
      </c>
      <c r="D5339" s="5">
        <v>0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</row>
    <row r="5340" spans="1:11" x14ac:dyDescent="0.25">
      <c r="A5340" s="5">
        <f>5333</f>
      </c>
      <c r="B5340" s="5" t="s">
        <v>5348</v>
      </c>
      <c r="C5340" s="5">
        <v>0</v>
      </c>
      <c r="D5340" s="5">
        <v>0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</row>
    <row r="5341" spans="1:11" x14ac:dyDescent="0.25">
      <c r="A5341" s="5">
        <f>5334</f>
      </c>
      <c r="B5341" s="5" t="s">
        <v>5349</v>
      </c>
      <c r="C5341" s="5">
        <v>0</v>
      </c>
      <c r="D5341" s="5">
        <v>0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</row>
    <row r="5342" spans="1:11" x14ac:dyDescent="0.25">
      <c r="A5342" s="5">
        <f>5335</f>
      </c>
      <c r="B5342" s="5" t="s">
        <v>5350</v>
      </c>
      <c r="C5342" s="5">
        <v>0</v>
      </c>
      <c r="D5342" s="5">
        <v>0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</row>
    <row r="5343" spans="1:11" x14ac:dyDescent="0.25">
      <c r="A5343" s="5">
        <f>5336</f>
      </c>
      <c r="B5343" s="5" t="s">
        <v>5351</v>
      </c>
      <c r="C5343" s="5">
        <v>0</v>
      </c>
      <c r="D5343" s="5">
        <v>0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</row>
    <row r="5344" spans="1:11" x14ac:dyDescent="0.25">
      <c r="A5344" s="5">
        <f>5337</f>
      </c>
      <c r="B5344" s="5" t="s">
        <v>5352</v>
      </c>
      <c r="C5344" s="5">
        <v>0</v>
      </c>
      <c r="D5344" s="5">
        <v>0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</row>
    <row r="5345" spans="1:11" x14ac:dyDescent="0.25">
      <c r="A5345" s="5">
        <f>5338</f>
      </c>
      <c r="B5345" s="5" t="s">
        <v>5353</v>
      </c>
      <c r="C5345" s="5">
        <v>0</v>
      </c>
      <c r="D5345" s="5">
        <v>0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</row>
    <row r="5346" spans="1:11" x14ac:dyDescent="0.25">
      <c r="A5346" s="5">
        <f>5339</f>
      </c>
      <c r="B5346" s="5" t="s">
        <v>5354</v>
      </c>
      <c r="C5346" s="5">
        <v>0</v>
      </c>
      <c r="D5346" s="5">
        <v>0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</row>
    <row r="5347" spans="1:11" x14ac:dyDescent="0.25">
      <c r="A5347" s="5">
        <f>5340</f>
      </c>
      <c r="B5347" s="5" t="s">
        <v>5355</v>
      </c>
      <c r="C5347" s="5">
        <v>0</v>
      </c>
      <c r="D5347" s="5">
        <v>0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</row>
    <row r="5348" spans="1:11" x14ac:dyDescent="0.25">
      <c r="A5348" s="5">
        <f>5341</f>
      </c>
      <c r="B5348" s="5" t="s">
        <v>5356</v>
      </c>
      <c r="C5348" s="5">
        <v>0</v>
      </c>
      <c r="D5348" s="5">
        <v>0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</row>
    <row r="5349" spans="1:11" x14ac:dyDescent="0.25">
      <c r="A5349" s="5">
        <f>5342</f>
      </c>
      <c r="B5349" s="5" t="s">
        <v>5357</v>
      </c>
      <c r="C5349" s="5">
        <v>0</v>
      </c>
      <c r="D5349" s="5">
        <v>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</row>
    <row r="5350" spans="1:11" x14ac:dyDescent="0.25">
      <c r="A5350" s="5">
        <f>5343</f>
      </c>
      <c r="B5350" s="5" t="s">
        <v>5358</v>
      </c>
      <c r="C5350" s="5">
        <v>0</v>
      </c>
      <c r="D5350" s="5">
        <v>0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</row>
    <row r="5351" spans="1:11" x14ac:dyDescent="0.25">
      <c r="A5351" s="5">
        <f>5344</f>
      </c>
      <c r="B5351" s="5" t="s">
        <v>5359</v>
      </c>
      <c r="C5351" s="5">
        <v>0</v>
      </c>
      <c r="D5351" s="5">
        <v>0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</row>
    <row r="5352" spans="1:11" x14ac:dyDescent="0.25">
      <c r="A5352" s="5">
        <f>5345</f>
      </c>
      <c r="B5352" s="5" t="s">
        <v>5360</v>
      </c>
      <c r="C5352" s="5">
        <v>0</v>
      </c>
      <c r="D5352" s="5">
        <v>0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</row>
    <row r="5353" spans="1:11" x14ac:dyDescent="0.25">
      <c r="A5353" s="5">
        <f>5346</f>
      </c>
      <c r="B5353" s="5" t="s">
        <v>5361</v>
      </c>
      <c r="C5353" s="5">
        <v>0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</row>
    <row r="5354" spans="1:11" x14ac:dyDescent="0.25">
      <c r="A5354" s="5">
        <f>5347</f>
      </c>
      <c r="B5354" s="5" t="s">
        <v>5362</v>
      </c>
      <c r="C5354" s="5">
        <v>0</v>
      </c>
      <c r="D5354" s="5">
        <v>0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</row>
    <row r="5355" spans="1:11" x14ac:dyDescent="0.25">
      <c r="A5355" s="5">
        <f>5348</f>
      </c>
      <c r="B5355" s="5" t="s">
        <v>5363</v>
      </c>
      <c r="C5355" s="5">
        <v>0</v>
      </c>
      <c r="D5355" s="5">
        <v>0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</row>
    <row r="5356" spans="1:11" x14ac:dyDescent="0.25">
      <c r="A5356" s="5">
        <f>5349</f>
      </c>
      <c r="B5356" s="5" t="s">
        <v>5364</v>
      </c>
      <c r="C5356" s="5">
        <v>0</v>
      </c>
      <c r="D5356" s="5">
        <v>0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</row>
    <row r="5357" spans="1:11" x14ac:dyDescent="0.25">
      <c r="A5357" s="5">
        <f>5350</f>
      </c>
      <c r="B5357" s="5" t="s">
        <v>5365</v>
      </c>
      <c r="C5357" s="5">
        <v>0</v>
      </c>
      <c r="D5357" s="5">
        <v>0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</row>
    <row r="5358" spans="1:11" x14ac:dyDescent="0.25">
      <c r="A5358" s="5">
        <f>5351</f>
      </c>
      <c r="B5358" s="5" t="s">
        <v>5366</v>
      </c>
      <c r="C5358" s="5">
        <v>0</v>
      </c>
      <c r="D5358" s="5">
        <v>0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</row>
    <row r="5359" spans="1:11" x14ac:dyDescent="0.25">
      <c r="A5359" s="5">
        <f>5352</f>
      </c>
      <c r="B5359" s="5" t="s">
        <v>5367</v>
      </c>
      <c r="C5359" s="5">
        <v>0</v>
      </c>
      <c r="D5359" s="5">
        <v>0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</row>
    <row r="5360" spans="1:11" x14ac:dyDescent="0.25">
      <c r="A5360" s="5">
        <f>5353</f>
      </c>
      <c r="B5360" s="5" t="s">
        <v>5368</v>
      </c>
      <c r="C5360" s="5">
        <v>0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</row>
    <row r="5361" spans="1:11" x14ac:dyDescent="0.25">
      <c r="A5361" s="5">
        <f>5354</f>
      </c>
      <c r="B5361" s="5" t="s">
        <v>5369</v>
      </c>
      <c r="C5361" s="5">
        <v>0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</row>
    <row r="5362" spans="1:11" x14ac:dyDescent="0.25">
      <c r="A5362" s="5">
        <f>5355</f>
      </c>
      <c r="B5362" s="5" t="s">
        <v>5370</v>
      </c>
      <c r="C5362" s="5">
        <v>0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</row>
    <row r="5363" spans="1:11" x14ac:dyDescent="0.25">
      <c r="A5363" s="5">
        <f>5356</f>
      </c>
      <c r="B5363" s="5" t="s">
        <v>5371</v>
      </c>
      <c r="C5363" s="5">
        <v>0</v>
      </c>
      <c r="D5363" s="5">
        <v>0</v>
      </c>
      <c r="E5363" s="5">
        <v>0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</row>
    <row r="5364" spans="1:11" x14ac:dyDescent="0.25">
      <c r="A5364" s="5">
        <f>5357</f>
      </c>
      <c r="B5364" s="5" t="s">
        <v>5372</v>
      </c>
      <c r="C5364" s="5">
        <v>0</v>
      </c>
      <c r="D5364" s="5">
        <v>0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</row>
    <row r="5365" spans="1:11" x14ac:dyDescent="0.25">
      <c r="A5365" s="5">
        <f>5358</f>
      </c>
      <c r="B5365" s="5" t="s">
        <v>5373</v>
      </c>
      <c r="C5365" s="5">
        <v>0</v>
      </c>
      <c r="D5365" s="5">
        <v>0</v>
      </c>
      <c r="E5365" s="5">
        <v>0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</row>
    <row r="5366" spans="1:11" x14ac:dyDescent="0.25">
      <c r="A5366" s="5">
        <f>5359</f>
      </c>
      <c r="B5366" s="5" t="s">
        <v>5374</v>
      </c>
      <c r="C5366" s="5">
        <v>0</v>
      </c>
      <c r="D5366" s="5">
        <v>0</v>
      </c>
      <c r="E5366" s="5">
        <v>0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</row>
    <row r="5367" spans="1:11" x14ac:dyDescent="0.25">
      <c r="A5367" s="5">
        <f>5360</f>
      </c>
      <c r="B5367" s="5" t="s">
        <v>5375</v>
      </c>
      <c r="C5367" s="5">
        <v>0</v>
      </c>
      <c r="D5367" s="5">
        <v>0</v>
      </c>
      <c r="E5367" s="5">
        <v>0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</row>
    <row r="5368" spans="1:11" x14ac:dyDescent="0.25">
      <c r="A5368" s="5">
        <f>5361</f>
      </c>
      <c r="B5368" s="5" t="s">
        <v>5376</v>
      </c>
      <c r="C5368" s="5">
        <v>0</v>
      </c>
      <c r="D5368" s="5">
        <v>0</v>
      </c>
      <c r="E5368" s="5">
        <v>0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</row>
    <row r="5369" spans="1:11" x14ac:dyDescent="0.25">
      <c r="A5369" s="5">
        <f>5362</f>
      </c>
      <c r="B5369" s="5" t="s">
        <v>5377</v>
      </c>
      <c r="C5369" s="5">
        <v>0</v>
      </c>
      <c r="D5369" s="5">
        <v>0</v>
      </c>
      <c r="E5369" s="5">
        <v>0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</row>
    <row r="5370" spans="1:11" x14ac:dyDescent="0.25">
      <c r="A5370" s="5">
        <f>5363</f>
      </c>
      <c r="B5370" s="5" t="s">
        <v>5378</v>
      </c>
      <c r="C5370" s="5">
        <v>0</v>
      </c>
      <c r="D5370" s="5">
        <v>0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</row>
    <row r="5371" spans="1:11" x14ac:dyDescent="0.25">
      <c r="A5371" s="5">
        <f>5364</f>
      </c>
      <c r="B5371" s="5" t="s">
        <v>5379</v>
      </c>
      <c r="C5371" s="5">
        <v>0</v>
      </c>
      <c r="D5371" s="5">
        <v>0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</row>
    <row r="5372" spans="1:11" x14ac:dyDescent="0.25">
      <c r="A5372" s="5">
        <f>5365</f>
      </c>
      <c r="B5372" s="5" t="s">
        <v>5380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</row>
    <row r="5373" spans="1:11" x14ac:dyDescent="0.25">
      <c r="A5373" s="5">
        <f>5366</f>
      </c>
      <c r="B5373" s="5" t="s">
        <v>5381</v>
      </c>
      <c r="C5373" s="5">
        <v>0</v>
      </c>
      <c r="D5373" s="5">
        <v>0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</row>
    <row r="5374" spans="1:11" x14ac:dyDescent="0.25">
      <c r="A5374" s="5">
        <f>5367</f>
      </c>
      <c r="B5374" s="5" t="s">
        <v>5382</v>
      </c>
      <c r="C5374" s="5">
        <v>0</v>
      </c>
      <c r="D5374" s="5">
        <v>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</row>
    <row r="5375" spans="1:11" x14ac:dyDescent="0.25">
      <c r="A5375" s="5">
        <f>5368</f>
      </c>
      <c r="B5375" s="5" t="s">
        <v>5383</v>
      </c>
      <c r="C5375" s="5">
        <v>0</v>
      </c>
      <c r="D5375" s="5">
        <v>0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</row>
    <row r="5376" spans="1:11" x14ac:dyDescent="0.25">
      <c r="A5376" s="5">
        <f>5369</f>
      </c>
      <c r="B5376" s="5" t="s">
        <v>5384</v>
      </c>
      <c r="C5376" s="5">
        <v>0</v>
      </c>
      <c r="D5376" s="5">
        <v>0</v>
      </c>
      <c r="E5376" s="5">
        <v>0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</row>
    <row r="5377" spans="1:11" x14ac:dyDescent="0.25">
      <c r="A5377" s="5">
        <f>5370</f>
      </c>
      <c r="B5377" s="5" t="s">
        <v>5385</v>
      </c>
      <c r="C5377" s="5">
        <v>0</v>
      </c>
      <c r="D5377" s="5">
        <v>0</v>
      </c>
      <c r="E5377" s="5">
        <v>0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</row>
    <row r="5378" spans="1:11" x14ac:dyDescent="0.25">
      <c r="A5378" s="5">
        <f>5371</f>
      </c>
      <c r="B5378" s="5" t="s">
        <v>5386</v>
      </c>
      <c r="C5378" s="5">
        <v>0</v>
      </c>
      <c r="D5378" s="5">
        <v>0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</row>
    <row r="5379" spans="1:11" x14ac:dyDescent="0.25">
      <c r="A5379" s="5">
        <f>5372</f>
      </c>
      <c r="B5379" s="5" t="s">
        <v>5387</v>
      </c>
      <c r="C5379" s="5">
        <v>0</v>
      </c>
      <c r="D5379" s="5">
        <v>0</v>
      </c>
      <c r="E5379" s="5">
        <v>0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</row>
    <row r="5380" spans="1:11" x14ac:dyDescent="0.25">
      <c r="A5380" s="5">
        <f>5373</f>
      </c>
      <c r="B5380" s="5" t="s">
        <v>5388</v>
      </c>
      <c r="C5380" s="5">
        <v>0</v>
      </c>
      <c r="D5380" s="5">
        <v>0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</row>
    <row r="5381" spans="1:11" x14ac:dyDescent="0.25">
      <c r="A5381" s="5">
        <f>5374</f>
      </c>
      <c r="B5381" s="5" t="s">
        <v>5389</v>
      </c>
      <c r="C5381" s="5">
        <v>0</v>
      </c>
      <c r="D5381" s="5">
        <v>0</v>
      </c>
      <c r="E5381" s="5">
        <v>0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</row>
    <row r="5382" spans="1:11" x14ac:dyDescent="0.25">
      <c r="A5382" s="5">
        <f>5375</f>
      </c>
      <c r="B5382" s="5" t="s">
        <v>5390</v>
      </c>
      <c r="C5382" s="5">
        <v>0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</row>
    <row r="5383" spans="1:11" x14ac:dyDescent="0.25">
      <c r="A5383" s="5">
        <f>5376</f>
      </c>
      <c r="B5383" s="5" t="s">
        <v>5391</v>
      </c>
      <c r="C5383" s="5">
        <v>0</v>
      </c>
      <c r="D5383" s="5">
        <v>0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</row>
    <row r="5384" spans="1:11" x14ac:dyDescent="0.25">
      <c r="A5384" s="5">
        <f>5377</f>
      </c>
      <c r="B5384" s="5" t="s">
        <v>5392</v>
      </c>
      <c r="C5384" s="5">
        <v>0</v>
      </c>
      <c r="D5384" s="5">
        <v>0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</row>
    <row r="5385" spans="1:11" x14ac:dyDescent="0.25">
      <c r="A5385" s="5">
        <f>5378</f>
      </c>
      <c r="B5385" s="5" t="s">
        <v>5393</v>
      </c>
      <c r="C5385" s="5">
        <v>0</v>
      </c>
      <c r="D5385" s="5">
        <v>0</v>
      </c>
      <c r="E5385" s="5">
        <v>0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</row>
    <row r="5386" spans="1:11" x14ac:dyDescent="0.25">
      <c r="A5386" s="5">
        <f>5379</f>
      </c>
      <c r="B5386" s="5" t="s">
        <v>5394</v>
      </c>
      <c r="C5386" s="5">
        <v>0</v>
      </c>
      <c r="D5386" s="5">
        <v>0</v>
      </c>
      <c r="E5386" s="5">
        <v>0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</row>
    <row r="5387" spans="1:11" x14ac:dyDescent="0.25">
      <c r="A5387" s="5">
        <f>5380</f>
      </c>
      <c r="B5387" s="5" t="s">
        <v>5395</v>
      </c>
      <c r="C5387" s="5">
        <v>0</v>
      </c>
      <c r="D5387" s="5">
        <v>0</v>
      </c>
      <c r="E5387" s="5">
        <v>0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</row>
    <row r="5388" spans="1:11" x14ac:dyDescent="0.25">
      <c r="A5388" s="5">
        <f>5381</f>
      </c>
      <c r="B5388" s="5" t="s">
        <v>5396</v>
      </c>
      <c r="C5388" s="5">
        <v>0</v>
      </c>
      <c r="D5388" s="5">
        <v>0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</row>
    <row r="5389" spans="1:11" x14ac:dyDescent="0.25">
      <c r="A5389" s="5">
        <f>5382</f>
      </c>
      <c r="B5389" s="5" t="s">
        <v>5397</v>
      </c>
      <c r="C5389" s="5">
        <v>0</v>
      </c>
      <c r="D5389" s="5">
        <v>0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</row>
    <row r="5390" spans="1:11" x14ac:dyDescent="0.25">
      <c r="A5390" s="5">
        <f>5383</f>
      </c>
      <c r="B5390" s="5" t="s">
        <v>5398</v>
      </c>
      <c r="C5390" s="5">
        <v>0</v>
      </c>
      <c r="D5390" s="5">
        <v>0</v>
      </c>
      <c r="E5390" s="5">
        <v>0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</row>
    <row r="5391" spans="1:11" x14ac:dyDescent="0.25">
      <c r="A5391" s="5">
        <f>5384</f>
      </c>
      <c r="B5391" s="5" t="s">
        <v>5399</v>
      </c>
      <c r="C5391" s="5">
        <v>0</v>
      </c>
      <c r="D5391" s="5">
        <v>0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</row>
    <row r="5392" spans="1:11" x14ac:dyDescent="0.25">
      <c r="A5392" s="5">
        <f>5385</f>
      </c>
      <c r="B5392" s="5" t="s">
        <v>5400</v>
      </c>
      <c r="C5392" s="5">
        <v>0</v>
      </c>
      <c r="D5392" s="5">
        <v>0</v>
      </c>
      <c r="E5392" s="5">
        <v>0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</row>
    <row r="5393" spans="1:11" x14ac:dyDescent="0.25">
      <c r="A5393" s="5">
        <f>5386</f>
      </c>
      <c r="B5393" s="5" t="s">
        <v>5401</v>
      </c>
      <c r="C5393" s="5">
        <v>0</v>
      </c>
      <c r="D5393" s="5">
        <v>0</v>
      </c>
      <c r="E5393" s="5">
        <v>0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</row>
    <row r="5394" spans="1:11" x14ac:dyDescent="0.25">
      <c r="A5394" s="5">
        <f>5387</f>
      </c>
      <c r="B5394" s="5" t="s">
        <v>5402</v>
      </c>
      <c r="C5394" s="5">
        <v>0</v>
      </c>
      <c r="D5394" s="5">
        <v>0</v>
      </c>
      <c r="E5394" s="5">
        <v>0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</row>
    <row r="5395" spans="1:11" x14ac:dyDescent="0.25">
      <c r="A5395" s="5">
        <f>5388</f>
      </c>
      <c r="B5395" s="5" t="s">
        <v>5403</v>
      </c>
      <c r="C5395" s="5">
        <v>0</v>
      </c>
      <c r="D5395" s="5">
        <v>0</v>
      </c>
      <c r="E5395" s="5">
        <v>0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</row>
    <row r="5396" spans="1:11" x14ac:dyDescent="0.25">
      <c r="A5396" s="5">
        <f>5389</f>
      </c>
      <c r="B5396" s="5" t="s">
        <v>5404</v>
      </c>
      <c r="C5396" s="5">
        <v>0</v>
      </c>
      <c r="D5396" s="5">
        <v>0</v>
      </c>
      <c r="E5396" s="5">
        <v>0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</row>
    <row r="5397" spans="1:11" x14ac:dyDescent="0.25">
      <c r="A5397" s="5">
        <f>5390</f>
      </c>
      <c r="B5397" s="5" t="s">
        <v>5405</v>
      </c>
      <c r="C5397" s="5">
        <v>0</v>
      </c>
      <c r="D5397" s="5">
        <v>0</v>
      </c>
      <c r="E5397" s="5">
        <v>0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</row>
    <row r="5398" spans="1:11" x14ac:dyDescent="0.25">
      <c r="A5398" s="5">
        <f>5391</f>
      </c>
      <c r="B5398" s="5" t="s">
        <v>5406</v>
      </c>
      <c r="C5398" s="5">
        <v>0</v>
      </c>
      <c r="D5398" s="5">
        <v>0</v>
      </c>
      <c r="E5398" s="5">
        <v>0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</row>
    <row r="5399" spans="1:11" x14ac:dyDescent="0.25">
      <c r="A5399" s="5">
        <f>5392</f>
      </c>
      <c r="B5399" s="5" t="s">
        <v>5407</v>
      </c>
      <c r="C5399" s="5">
        <v>0</v>
      </c>
      <c r="D5399" s="5">
        <v>0</v>
      </c>
      <c r="E5399" s="5">
        <v>0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</row>
    <row r="5400" spans="1:11" x14ac:dyDescent="0.25">
      <c r="A5400" s="5">
        <f>5393</f>
      </c>
      <c r="B5400" s="5" t="s">
        <v>5408</v>
      </c>
      <c r="C5400" s="5">
        <v>0</v>
      </c>
      <c r="D5400" s="5">
        <v>0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</row>
    <row r="5401" spans="1:11" x14ac:dyDescent="0.25">
      <c r="A5401" s="5">
        <f>5394</f>
      </c>
      <c r="B5401" s="5" t="s">
        <v>5409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</row>
    <row r="5402" spans="1:11" x14ac:dyDescent="0.25">
      <c r="A5402" s="5">
        <f>5395</f>
      </c>
      <c r="B5402" s="5" t="s">
        <v>5410</v>
      </c>
      <c r="C5402" s="5">
        <v>0</v>
      </c>
      <c r="D5402" s="5">
        <v>0</v>
      </c>
      <c r="E5402" s="5">
        <v>0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</row>
    <row r="5403" spans="1:11" x14ac:dyDescent="0.25">
      <c r="A5403" s="5">
        <f>5396</f>
      </c>
      <c r="B5403" s="5" t="s">
        <v>5411</v>
      </c>
      <c r="C5403" s="5">
        <v>0</v>
      </c>
      <c r="D5403" s="5">
        <v>0</v>
      </c>
      <c r="E5403" s="5">
        <v>0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</row>
    <row r="5404" spans="1:11" x14ac:dyDescent="0.25">
      <c r="A5404" s="5">
        <f>5397</f>
      </c>
      <c r="B5404" s="5" t="s">
        <v>5412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</row>
    <row r="5405" spans="1:11" x14ac:dyDescent="0.25">
      <c r="A5405" s="5">
        <f>5398</f>
      </c>
      <c r="B5405" s="5" t="s">
        <v>5413</v>
      </c>
      <c r="C5405" s="5">
        <v>0</v>
      </c>
      <c r="D5405" s="5">
        <v>0</v>
      </c>
      <c r="E5405" s="5">
        <v>0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</row>
    <row r="5406" spans="1:11" x14ac:dyDescent="0.25">
      <c r="A5406" s="5">
        <f>5399</f>
      </c>
      <c r="B5406" s="5" t="s">
        <v>5414</v>
      </c>
      <c r="C5406" s="5">
        <v>0</v>
      </c>
      <c r="D5406" s="5">
        <v>0</v>
      </c>
      <c r="E5406" s="5">
        <v>0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</row>
    <row r="5407" spans="1:11" x14ac:dyDescent="0.25">
      <c r="A5407" s="5">
        <f>5400</f>
      </c>
      <c r="B5407" s="5" t="s">
        <v>5415</v>
      </c>
      <c r="C5407" s="5">
        <v>0</v>
      </c>
      <c r="D5407" s="5">
        <v>0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</row>
    <row r="5408" spans="1:11" x14ac:dyDescent="0.25">
      <c r="A5408" s="5">
        <f>5401</f>
      </c>
      <c r="B5408" s="5" t="s">
        <v>5416</v>
      </c>
      <c r="C5408" s="5">
        <v>0</v>
      </c>
      <c r="D5408" s="5">
        <v>0</v>
      </c>
      <c r="E5408" s="5">
        <v>0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</row>
    <row r="5409" spans="1:11" x14ac:dyDescent="0.25">
      <c r="A5409" s="5">
        <f>5402</f>
      </c>
      <c r="B5409" s="5" t="s">
        <v>5417</v>
      </c>
      <c r="C5409" s="5">
        <v>0</v>
      </c>
      <c r="D5409" s="5">
        <v>0</v>
      </c>
      <c r="E5409" s="5">
        <v>0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</row>
    <row r="5410" spans="1:11" x14ac:dyDescent="0.25">
      <c r="A5410" s="5">
        <f>5403</f>
      </c>
      <c r="B5410" s="5" t="s">
        <v>5418</v>
      </c>
      <c r="C5410" s="5">
        <v>0</v>
      </c>
      <c r="D5410" s="5">
        <v>0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</row>
    <row r="5411" spans="1:11" x14ac:dyDescent="0.25">
      <c r="A5411" s="5">
        <f>5404</f>
      </c>
      <c r="B5411" s="5" t="s">
        <v>5419</v>
      </c>
      <c r="C5411" s="5">
        <v>0</v>
      </c>
      <c r="D5411" s="5">
        <v>0</v>
      </c>
      <c r="E5411" s="5">
        <v>0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</row>
    <row r="5412" spans="1:11" x14ac:dyDescent="0.25">
      <c r="A5412" s="5">
        <f>5405</f>
      </c>
      <c r="B5412" s="5" t="s">
        <v>5420</v>
      </c>
      <c r="C5412" s="5">
        <v>0</v>
      </c>
      <c r="D5412" s="5">
        <v>0</v>
      </c>
      <c r="E5412" s="5">
        <v>0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</row>
    <row r="5413" spans="1:11" x14ac:dyDescent="0.25">
      <c r="A5413" s="5">
        <f>5406</f>
      </c>
      <c r="B5413" s="5" t="s">
        <v>5421</v>
      </c>
      <c r="C5413" s="5">
        <v>0</v>
      </c>
      <c r="D5413" s="5">
        <v>0</v>
      </c>
      <c r="E5413" s="5">
        <v>0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</row>
    <row r="5414" spans="1:11" x14ac:dyDescent="0.25">
      <c r="A5414" s="5">
        <f>5407</f>
      </c>
      <c r="B5414" s="5" t="s">
        <v>5422</v>
      </c>
      <c r="C5414" s="5">
        <v>0</v>
      </c>
      <c r="D5414" s="5">
        <v>0</v>
      </c>
      <c r="E5414" s="5">
        <v>0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</row>
    <row r="5415" spans="1:11" x14ac:dyDescent="0.25">
      <c r="A5415" s="5">
        <f>5408</f>
      </c>
      <c r="B5415" s="5" t="s">
        <v>5423</v>
      </c>
      <c r="C5415" s="5">
        <v>0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</row>
    <row r="5416" spans="1:11" x14ac:dyDescent="0.25">
      <c r="A5416" s="5">
        <f>5409</f>
      </c>
      <c r="B5416" s="5" t="s">
        <v>5424</v>
      </c>
      <c r="C5416" s="5">
        <v>0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</row>
    <row r="5417" spans="1:11" x14ac:dyDescent="0.25">
      <c r="A5417" s="5">
        <f>5410</f>
      </c>
      <c r="B5417" s="5" t="s">
        <v>5425</v>
      </c>
      <c r="C5417" s="5">
        <v>0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</row>
    <row r="5418" spans="1:11" x14ac:dyDescent="0.25">
      <c r="A5418" s="5">
        <f>5411</f>
      </c>
      <c r="B5418" s="5" t="s">
        <v>5426</v>
      </c>
      <c r="C5418" s="5">
        <v>0</v>
      </c>
      <c r="D5418" s="5">
        <v>0</v>
      </c>
      <c r="E5418" s="5">
        <v>0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</row>
    <row r="5419" spans="1:11" x14ac:dyDescent="0.25">
      <c r="A5419" s="5">
        <f>5412</f>
      </c>
      <c r="B5419" s="5" t="s">
        <v>5427</v>
      </c>
      <c r="C5419" s="5">
        <v>0</v>
      </c>
      <c r="D5419" s="5">
        <v>0</v>
      </c>
      <c r="E5419" s="5">
        <v>0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</row>
    <row r="5420" spans="1:11" x14ac:dyDescent="0.25">
      <c r="A5420" s="5">
        <f>5413</f>
      </c>
      <c r="B5420" s="5" t="s">
        <v>5428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</row>
    <row r="5421" spans="1:11" x14ac:dyDescent="0.25">
      <c r="A5421" s="5">
        <f>5414</f>
      </c>
      <c r="B5421" s="5" t="s">
        <v>5429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</row>
    <row r="5422" spans="1:11" x14ac:dyDescent="0.25">
      <c r="A5422" s="5">
        <f>5415</f>
      </c>
      <c r="B5422" s="5" t="s">
        <v>5430</v>
      </c>
      <c r="C5422" s="5">
        <v>0</v>
      </c>
      <c r="D5422" s="5">
        <v>0</v>
      </c>
      <c r="E5422" s="5">
        <v>0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</row>
    <row r="5423" spans="1:11" x14ac:dyDescent="0.25">
      <c r="A5423" s="5">
        <f>5416</f>
      </c>
      <c r="B5423" s="5" t="s">
        <v>5431</v>
      </c>
      <c r="C5423" s="5">
        <v>0</v>
      </c>
      <c r="D5423" s="5">
        <v>0</v>
      </c>
      <c r="E5423" s="5">
        <v>0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</row>
    <row r="5424" spans="1:11" x14ac:dyDescent="0.25">
      <c r="A5424" s="5">
        <f>5417</f>
      </c>
      <c r="B5424" s="5" t="s">
        <v>5432</v>
      </c>
      <c r="C5424" s="5">
        <v>0</v>
      </c>
      <c r="D5424" s="5">
        <v>0</v>
      </c>
      <c r="E5424" s="5">
        <v>0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</row>
    <row r="5425" spans="1:11" x14ac:dyDescent="0.25">
      <c r="A5425" s="5">
        <f>5418</f>
      </c>
      <c r="B5425" s="5" t="s">
        <v>5433</v>
      </c>
      <c r="C5425" s="5">
        <v>0</v>
      </c>
      <c r="D5425" s="5">
        <v>0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</row>
    <row r="5426" spans="1:11" x14ac:dyDescent="0.25">
      <c r="A5426" s="5">
        <f>5419</f>
      </c>
      <c r="B5426" s="5" t="s">
        <v>5434</v>
      </c>
      <c r="C5426" s="5">
        <v>0</v>
      </c>
      <c r="D5426" s="5">
        <v>0</v>
      </c>
      <c r="E5426" s="5">
        <v>0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</row>
    <row r="5427" spans="1:11" x14ac:dyDescent="0.25">
      <c r="A5427" s="5">
        <f>5420</f>
      </c>
      <c r="B5427" s="5" t="s">
        <v>5435</v>
      </c>
      <c r="C5427" s="5">
        <v>0</v>
      </c>
      <c r="D5427" s="5">
        <v>0</v>
      </c>
      <c r="E5427" s="5">
        <v>0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</row>
    <row r="5428" spans="1:11" x14ac:dyDescent="0.25">
      <c r="A5428" s="5">
        <f>5421</f>
      </c>
      <c r="B5428" s="5" t="s">
        <v>5436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</row>
    <row r="5429" spans="1:11" x14ac:dyDescent="0.25">
      <c r="A5429" s="5">
        <f>5422</f>
      </c>
      <c r="B5429" s="5" t="s">
        <v>5437</v>
      </c>
      <c r="C5429" s="5">
        <v>0</v>
      </c>
      <c r="D5429" s="5">
        <v>0</v>
      </c>
      <c r="E5429" s="5">
        <v>0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</row>
    <row r="5430" spans="1:11" x14ac:dyDescent="0.25">
      <c r="A5430" s="5">
        <f>5423</f>
      </c>
      <c r="B5430" s="5" t="s">
        <v>5438</v>
      </c>
      <c r="C5430" s="5">
        <v>0</v>
      </c>
      <c r="D5430" s="5">
        <v>0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</row>
    <row r="5431" spans="1:11" x14ac:dyDescent="0.25">
      <c r="A5431" s="5">
        <f>5424</f>
      </c>
      <c r="B5431" s="5" t="s">
        <v>5439</v>
      </c>
      <c r="C5431" s="5">
        <v>0</v>
      </c>
      <c r="D5431" s="5">
        <v>0</v>
      </c>
      <c r="E5431" s="5">
        <v>0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</row>
    <row r="5432" spans="1:11" x14ac:dyDescent="0.25">
      <c r="A5432" s="5">
        <f>5425</f>
      </c>
      <c r="B5432" s="5" t="s">
        <v>5440</v>
      </c>
      <c r="C5432" s="5">
        <v>0</v>
      </c>
      <c r="D5432" s="5">
        <v>0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</row>
    <row r="5433" spans="1:11" x14ac:dyDescent="0.25">
      <c r="A5433" s="5">
        <f>5426</f>
      </c>
      <c r="B5433" s="5" t="s">
        <v>5441</v>
      </c>
      <c r="C5433" s="5">
        <v>0</v>
      </c>
      <c r="D5433" s="5">
        <v>0</v>
      </c>
      <c r="E5433" s="5">
        <v>0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</row>
    <row r="5434" spans="1:11" x14ac:dyDescent="0.25">
      <c r="A5434" s="5">
        <f>5427</f>
      </c>
      <c r="B5434" s="5" t="s">
        <v>5442</v>
      </c>
      <c r="C5434" s="5">
        <v>0</v>
      </c>
      <c r="D5434" s="5">
        <v>0</v>
      </c>
      <c r="E5434" s="5">
        <v>0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</row>
    <row r="5435" spans="1:11" x14ac:dyDescent="0.25">
      <c r="A5435" s="5">
        <f>5428</f>
      </c>
      <c r="B5435" s="5" t="s">
        <v>5443</v>
      </c>
      <c r="C5435" s="5">
        <v>0</v>
      </c>
      <c r="D5435" s="5">
        <v>0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</row>
    <row r="5436" spans="1:11" x14ac:dyDescent="0.25">
      <c r="A5436" s="5">
        <f>5429</f>
      </c>
      <c r="B5436" s="5" t="s">
        <v>5444</v>
      </c>
      <c r="C5436" s="5">
        <v>0</v>
      </c>
      <c r="D5436" s="5">
        <v>0</v>
      </c>
      <c r="E5436" s="5">
        <v>0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</row>
    <row r="5437" spans="1:11" x14ac:dyDescent="0.25">
      <c r="A5437" s="5">
        <f>5430</f>
      </c>
      <c r="B5437" s="5" t="s">
        <v>5445</v>
      </c>
      <c r="C5437" s="5">
        <v>0</v>
      </c>
      <c r="D5437" s="5">
        <v>0</v>
      </c>
      <c r="E5437" s="5">
        <v>0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</row>
    <row r="5438" spans="1:11" x14ac:dyDescent="0.25">
      <c r="A5438" s="5">
        <f>5431</f>
      </c>
      <c r="B5438" s="5" t="s">
        <v>5446</v>
      </c>
      <c r="C5438" s="5">
        <v>0</v>
      </c>
      <c r="D5438" s="5">
        <v>0</v>
      </c>
      <c r="E5438" s="5">
        <v>0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</row>
    <row r="5439" spans="1:11" x14ac:dyDescent="0.25">
      <c r="A5439" s="5">
        <f>5432</f>
      </c>
      <c r="B5439" s="5" t="s">
        <v>5447</v>
      </c>
      <c r="C5439" s="5">
        <v>0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</row>
    <row r="5440" spans="1:11" x14ac:dyDescent="0.25">
      <c r="A5440" s="5">
        <f>5433</f>
      </c>
      <c r="B5440" s="5" t="s">
        <v>5448</v>
      </c>
      <c r="C5440" s="5">
        <v>0</v>
      </c>
      <c r="D5440" s="5">
        <v>0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</row>
    <row r="5441" spans="1:11" x14ac:dyDescent="0.25">
      <c r="A5441" s="5">
        <f>5434</f>
      </c>
      <c r="B5441" s="5" t="s">
        <v>5449</v>
      </c>
      <c r="C5441" s="5">
        <v>0</v>
      </c>
      <c r="D5441" s="5">
        <v>0</v>
      </c>
      <c r="E5441" s="5">
        <v>0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</row>
    <row r="5442" spans="1:11" x14ac:dyDescent="0.25">
      <c r="A5442" s="5">
        <f>5435</f>
      </c>
      <c r="B5442" s="5" t="s">
        <v>5450</v>
      </c>
      <c r="C5442" s="5">
        <v>0</v>
      </c>
      <c r="D5442" s="5">
        <v>0</v>
      </c>
      <c r="E5442" s="5">
        <v>0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</row>
    <row r="5443" spans="1:11" x14ac:dyDescent="0.25">
      <c r="A5443" s="5">
        <f>5436</f>
      </c>
      <c r="B5443" s="5" t="s">
        <v>5451</v>
      </c>
      <c r="C5443" s="5">
        <v>0</v>
      </c>
      <c r="D5443" s="5">
        <v>0</v>
      </c>
      <c r="E5443" s="5">
        <v>0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</row>
    <row r="5444" spans="1:11" x14ac:dyDescent="0.25">
      <c r="A5444" s="5">
        <f>5437</f>
      </c>
      <c r="B5444" s="5" t="s">
        <v>5452</v>
      </c>
      <c r="C5444" s="5">
        <v>0</v>
      </c>
      <c r="D5444" s="5">
        <v>0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</row>
    <row r="5445" spans="1:11" x14ac:dyDescent="0.25">
      <c r="A5445" s="5">
        <f>5438</f>
      </c>
      <c r="B5445" s="5" t="s">
        <v>5453</v>
      </c>
      <c r="C5445" s="5">
        <v>0</v>
      </c>
      <c r="D5445" s="5">
        <v>0</v>
      </c>
      <c r="E5445" s="5">
        <v>0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</row>
    <row r="5446" spans="1:11" x14ac:dyDescent="0.25">
      <c r="A5446" s="5">
        <f>5439</f>
      </c>
      <c r="B5446" s="5" t="s">
        <v>5454</v>
      </c>
      <c r="C5446" s="5">
        <v>0</v>
      </c>
      <c r="D5446" s="5">
        <v>0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</row>
    <row r="5447" spans="1:11" x14ac:dyDescent="0.25">
      <c r="A5447" s="5">
        <f>5440</f>
      </c>
      <c r="B5447" s="5" t="s">
        <v>5455</v>
      </c>
      <c r="C5447" s="5">
        <v>0</v>
      </c>
      <c r="D5447" s="5">
        <v>0</v>
      </c>
      <c r="E5447" s="5">
        <v>0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</row>
    <row r="5448" spans="1:11" x14ac:dyDescent="0.25">
      <c r="A5448" s="5">
        <f>5441</f>
      </c>
      <c r="B5448" s="5" t="s">
        <v>5456</v>
      </c>
      <c r="C5448" s="5">
        <v>0</v>
      </c>
      <c r="D5448" s="5">
        <v>0</v>
      </c>
      <c r="E5448" s="5">
        <v>0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</row>
    <row r="5449" spans="1:11" x14ac:dyDescent="0.25">
      <c r="A5449" s="5">
        <f>5442</f>
      </c>
      <c r="B5449" s="5" t="s">
        <v>5457</v>
      </c>
      <c r="C5449" s="5">
        <v>0</v>
      </c>
      <c r="D5449" s="5">
        <v>0</v>
      </c>
      <c r="E5449" s="5">
        <v>0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</row>
    <row r="5450" spans="1:11" x14ac:dyDescent="0.25">
      <c r="A5450" s="5">
        <f>5443</f>
      </c>
      <c r="B5450" s="5" t="s">
        <v>5458</v>
      </c>
      <c r="C5450" s="5">
        <v>0</v>
      </c>
      <c r="D5450" s="5">
        <v>0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</row>
    <row r="5451" spans="1:11" x14ac:dyDescent="0.25">
      <c r="A5451" s="5">
        <f>5444</f>
      </c>
      <c r="B5451" s="5" t="s">
        <v>5459</v>
      </c>
      <c r="C5451" s="5">
        <v>0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</row>
    <row r="5452" spans="1:11" x14ac:dyDescent="0.25">
      <c r="A5452" s="5">
        <f>5445</f>
      </c>
      <c r="B5452" s="5" t="s">
        <v>5460</v>
      </c>
      <c r="C5452" s="5">
        <v>0</v>
      </c>
      <c r="D5452" s="5">
        <v>0</v>
      </c>
      <c r="E5452" s="5">
        <v>0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</row>
    <row r="5453" spans="1:11" x14ac:dyDescent="0.25">
      <c r="A5453" s="5">
        <f>5446</f>
      </c>
      <c r="B5453" s="5" t="s">
        <v>5461</v>
      </c>
      <c r="C5453" s="5">
        <v>0</v>
      </c>
      <c r="D5453" s="5">
        <v>0</v>
      </c>
      <c r="E5453" s="5">
        <v>0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</row>
    <row r="5454" spans="1:11" x14ac:dyDescent="0.25">
      <c r="A5454" s="5">
        <f>5447</f>
      </c>
      <c r="B5454" s="5" t="s">
        <v>5462</v>
      </c>
      <c r="C5454" s="5">
        <v>0</v>
      </c>
      <c r="D5454" s="5">
        <v>0</v>
      </c>
      <c r="E5454" s="5">
        <v>0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</row>
    <row r="5455" spans="1:11" x14ac:dyDescent="0.25">
      <c r="A5455" s="5">
        <f>5448</f>
      </c>
      <c r="B5455" s="5" t="s">
        <v>5463</v>
      </c>
      <c r="C5455" s="5">
        <v>0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</row>
    <row r="5456" spans="1:11" x14ac:dyDescent="0.25">
      <c r="A5456" s="5">
        <f>5449</f>
      </c>
      <c r="B5456" s="5" t="s">
        <v>5464</v>
      </c>
      <c r="C5456" s="5">
        <v>0</v>
      </c>
      <c r="D5456" s="5">
        <v>0</v>
      </c>
      <c r="E5456" s="5">
        <v>0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</row>
    <row r="5457" spans="1:11" x14ac:dyDescent="0.25">
      <c r="A5457" s="5">
        <f>5450</f>
      </c>
      <c r="B5457" s="5" t="s">
        <v>5465</v>
      </c>
      <c r="C5457" s="5">
        <v>0</v>
      </c>
      <c r="D5457" s="5">
        <v>0</v>
      </c>
      <c r="E5457" s="5">
        <v>0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</row>
    <row r="5458" spans="1:11" x14ac:dyDescent="0.25">
      <c r="A5458" s="5">
        <f>5451</f>
      </c>
      <c r="B5458" s="5" t="s">
        <v>5466</v>
      </c>
      <c r="C5458" s="5">
        <v>0</v>
      </c>
      <c r="D5458" s="5">
        <v>0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</row>
    <row r="5459" spans="1:11" x14ac:dyDescent="0.25">
      <c r="A5459" s="5">
        <f>5452</f>
      </c>
      <c r="B5459" s="5" t="s">
        <v>5467</v>
      </c>
      <c r="C5459" s="5">
        <v>0</v>
      </c>
      <c r="D5459" s="5">
        <v>0</v>
      </c>
      <c r="E5459" s="5">
        <v>0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</row>
    <row r="5460" spans="1:11" x14ac:dyDescent="0.25">
      <c r="A5460" s="5">
        <f>5453</f>
      </c>
      <c r="B5460" s="5" t="s">
        <v>5468</v>
      </c>
      <c r="C5460" s="5">
        <v>0</v>
      </c>
      <c r="D5460" s="5">
        <v>0</v>
      </c>
      <c r="E5460" s="5">
        <v>0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</row>
    <row r="5461" spans="1:11" x14ac:dyDescent="0.25">
      <c r="A5461" s="5">
        <f>5454</f>
      </c>
      <c r="B5461" s="5" t="s">
        <v>5469</v>
      </c>
      <c r="C5461" s="5">
        <v>0</v>
      </c>
      <c r="D5461" s="5">
        <v>0</v>
      </c>
      <c r="E5461" s="5">
        <v>0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</row>
    <row r="5462" spans="1:11" x14ac:dyDescent="0.25">
      <c r="A5462" s="5">
        <f>5455</f>
      </c>
      <c r="B5462" s="5" t="s">
        <v>5470</v>
      </c>
      <c r="C5462" s="5">
        <v>0</v>
      </c>
      <c r="D5462" s="5">
        <v>0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</row>
    <row r="5463" spans="1:11" x14ac:dyDescent="0.25">
      <c r="A5463" s="5">
        <f>5456</f>
      </c>
      <c r="B5463" s="5" t="s">
        <v>5471</v>
      </c>
      <c r="C5463" s="5">
        <v>0</v>
      </c>
      <c r="D5463" s="5">
        <v>0</v>
      </c>
      <c r="E5463" s="5">
        <v>0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</row>
    <row r="5464" spans="1:11" x14ac:dyDescent="0.25">
      <c r="A5464" s="5">
        <f>5457</f>
      </c>
      <c r="B5464" s="5" t="s">
        <v>5472</v>
      </c>
      <c r="C5464" s="5">
        <v>0</v>
      </c>
      <c r="D5464" s="5">
        <v>0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</row>
    <row r="5465" spans="1:11" x14ac:dyDescent="0.25">
      <c r="A5465" s="5">
        <f>5458</f>
      </c>
      <c r="B5465" s="5" t="s">
        <v>5473</v>
      </c>
      <c r="C5465" s="5">
        <v>0</v>
      </c>
      <c r="D5465" s="5">
        <v>0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</row>
    <row r="5466" spans="1:11" x14ac:dyDescent="0.25">
      <c r="A5466" s="5">
        <f>5459</f>
      </c>
      <c r="B5466" s="5" t="s">
        <v>5474</v>
      </c>
      <c r="C5466" s="5">
        <v>0</v>
      </c>
      <c r="D5466" s="5">
        <v>0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</row>
    <row r="5467" spans="1:11" x14ac:dyDescent="0.25">
      <c r="A5467" s="5">
        <f>5460</f>
      </c>
      <c r="B5467" s="5" t="s">
        <v>5475</v>
      </c>
      <c r="C5467" s="5">
        <v>0</v>
      </c>
      <c r="D5467" s="5">
        <v>0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</row>
    <row r="5468" spans="1:11" x14ac:dyDescent="0.25">
      <c r="A5468" s="5">
        <f>5461</f>
      </c>
      <c r="B5468" s="5" t="s">
        <v>5476</v>
      </c>
      <c r="C5468" s="5">
        <v>0</v>
      </c>
      <c r="D5468" s="5">
        <v>0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</row>
    <row r="5469" spans="1:11" x14ac:dyDescent="0.25">
      <c r="A5469" s="5">
        <f>5462</f>
      </c>
      <c r="B5469" s="5" t="s">
        <v>5477</v>
      </c>
      <c r="C5469" s="5">
        <v>0</v>
      </c>
      <c r="D5469" s="5">
        <v>0</v>
      </c>
      <c r="E5469" s="5">
        <v>0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</row>
    <row r="5470" spans="1:11" x14ac:dyDescent="0.25">
      <c r="A5470" s="5">
        <f>5463</f>
      </c>
      <c r="B5470" s="5" t="s">
        <v>5478</v>
      </c>
      <c r="C5470" s="5">
        <v>0</v>
      </c>
      <c r="D5470" s="5">
        <v>0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</row>
    <row r="5471" spans="1:11" x14ac:dyDescent="0.25">
      <c r="A5471" s="5">
        <f>5464</f>
      </c>
      <c r="B5471" s="5" t="s">
        <v>5479</v>
      </c>
      <c r="C5471" s="5">
        <v>0</v>
      </c>
      <c r="D5471" s="5">
        <v>0</v>
      </c>
      <c r="E5471" s="5">
        <v>0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</row>
    <row r="5472" spans="1:11" x14ac:dyDescent="0.25">
      <c r="A5472" s="5">
        <f>5465</f>
      </c>
      <c r="B5472" s="5" t="s">
        <v>5480</v>
      </c>
      <c r="C5472" s="5">
        <v>0</v>
      </c>
      <c r="D5472" s="5">
        <v>0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</row>
    <row r="5473" spans="1:11" x14ac:dyDescent="0.25">
      <c r="A5473" s="5">
        <f>5466</f>
      </c>
      <c r="B5473" s="5" t="s">
        <v>5481</v>
      </c>
      <c r="C5473" s="5">
        <v>0</v>
      </c>
      <c r="D5473" s="5">
        <v>0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</row>
    <row r="5474" spans="1:11" x14ac:dyDescent="0.25">
      <c r="A5474" s="5">
        <f>5467</f>
      </c>
      <c r="B5474" s="5" t="s">
        <v>5482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</row>
    <row r="5475" spans="1:11" x14ac:dyDescent="0.25">
      <c r="A5475" s="5">
        <f>5468</f>
      </c>
      <c r="B5475" s="5" t="s">
        <v>5483</v>
      </c>
      <c r="C5475" s="5">
        <v>0</v>
      </c>
      <c r="D5475" s="5">
        <v>0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</row>
    <row r="5476" spans="1:11" x14ac:dyDescent="0.25">
      <c r="A5476" s="5">
        <f>5469</f>
      </c>
      <c r="B5476" s="5" t="s">
        <v>5484</v>
      </c>
      <c r="C5476" s="5">
        <v>0</v>
      </c>
      <c r="D5476" s="5">
        <v>0</v>
      </c>
      <c r="E5476" s="5">
        <v>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</row>
    <row r="5477" spans="1:11" x14ac:dyDescent="0.25">
      <c r="A5477" s="5">
        <f>5470</f>
      </c>
      <c r="B5477" s="5" t="s">
        <v>5485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</row>
    <row r="5478" spans="1:11" x14ac:dyDescent="0.25">
      <c r="A5478" s="5">
        <f>5471</f>
      </c>
      <c r="B5478" s="5" t="s">
        <v>5486</v>
      </c>
      <c r="C5478" s="5">
        <v>0</v>
      </c>
      <c r="D5478" s="5">
        <v>0</v>
      </c>
      <c r="E5478" s="5">
        <v>0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</row>
    <row r="5479" spans="1:11" x14ac:dyDescent="0.25">
      <c r="A5479" s="5">
        <f>5472</f>
      </c>
      <c r="B5479" s="5" t="s">
        <v>5487</v>
      </c>
      <c r="C5479" s="5">
        <v>0</v>
      </c>
      <c r="D5479" s="5">
        <v>0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</row>
    <row r="5480" spans="1:11" x14ac:dyDescent="0.25">
      <c r="A5480" s="5">
        <f>5473</f>
      </c>
      <c r="B5480" s="5" t="s">
        <v>5488</v>
      </c>
      <c r="C5480" s="5">
        <v>0</v>
      </c>
      <c r="D5480" s="5">
        <v>0</v>
      </c>
      <c r="E5480" s="5">
        <v>0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</row>
    <row r="5481" spans="1:11" x14ac:dyDescent="0.25">
      <c r="A5481" s="5">
        <f>5474</f>
      </c>
      <c r="B5481" s="5" t="s">
        <v>5489</v>
      </c>
      <c r="C5481" s="5">
        <v>0</v>
      </c>
      <c r="D5481" s="5">
        <v>0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</row>
    <row r="5482" spans="1:11" x14ac:dyDescent="0.25">
      <c r="A5482" s="5">
        <f>5475</f>
      </c>
      <c r="B5482" s="5" t="s">
        <v>5490</v>
      </c>
      <c r="C5482" s="5">
        <v>0</v>
      </c>
      <c r="D5482" s="5">
        <v>0</v>
      </c>
      <c r="E5482" s="5">
        <v>0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</row>
    <row r="5483" spans="1:11" x14ac:dyDescent="0.25">
      <c r="A5483" s="5">
        <f>5476</f>
      </c>
      <c r="B5483" s="5" t="s">
        <v>5491</v>
      </c>
      <c r="C5483" s="5">
        <v>0</v>
      </c>
      <c r="D5483" s="5">
        <v>0</v>
      </c>
      <c r="E5483" s="5">
        <v>0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</row>
    <row r="5484" spans="1:11" x14ac:dyDescent="0.25">
      <c r="A5484" s="5">
        <f>5477</f>
      </c>
      <c r="B5484" s="5" t="s">
        <v>5492</v>
      </c>
      <c r="C5484" s="5">
        <v>0</v>
      </c>
      <c r="D5484" s="5">
        <v>0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</row>
    <row r="5485" spans="1:11" x14ac:dyDescent="0.25">
      <c r="A5485" s="5">
        <f>5478</f>
      </c>
      <c r="B5485" s="5" t="s">
        <v>5493</v>
      </c>
      <c r="C5485" s="5">
        <v>0</v>
      </c>
      <c r="D5485" s="5">
        <v>0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</row>
    <row r="5486" spans="1:11" x14ac:dyDescent="0.25">
      <c r="A5486" s="5">
        <f>5479</f>
      </c>
      <c r="B5486" s="5" t="s">
        <v>5494</v>
      </c>
      <c r="C5486" s="5">
        <v>0</v>
      </c>
      <c r="D5486" s="5">
        <v>0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</row>
    <row r="5487" spans="1:11" x14ac:dyDescent="0.25">
      <c r="A5487" s="5">
        <f>5480</f>
      </c>
      <c r="B5487" s="5" t="s">
        <v>5495</v>
      </c>
      <c r="C5487" s="5">
        <v>0</v>
      </c>
      <c r="D5487" s="5">
        <v>0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</row>
    <row r="5488" spans="1:11" x14ac:dyDescent="0.25">
      <c r="A5488" s="5">
        <f>5481</f>
      </c>
      <c r="B5488" s="5" t="s">
        <v>5496</v>
      </c>
      <c r="C5488" s="5">
        <v>0</v>
      </c>
      <c r="D5488" s="5">
        <v>0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</row>
    <row r="5489" spans="1:11" x14ac:dyDescent="0.25">
      <c r="A5489" s="5">
        <f>5482</f>
      </c>
      <c r="B5489" s="5" t="s">
        <v>5497</v>
      </c>
      <c r="C5489" s="5">
        <v>0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</row>
    <row r="5490" spans="1:11" x14ac:dyDescent="0.25">
      <c r="A5490" s="5">
        <f>5483</f>
      </c>
      <c r="B5490" s="5" t="s">
        <v>5498</v>
      </c>
      <c r="C5490" s="5">
        <v>0</v>
      </c>
      <c r="D5490" s="5">
        <v>0</v>
      </c>
      <c r="E5490" s="5">
        <v>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</row>
    <row r="5491" spans="1:11" x14ac:dyDescent="0.25">
      <c r="A5491" s="5">
        <f>5484</f>
      </c>
      <c r="B5491" s="5" t="s">
        <v>5499</v>
      </c>
      <c r="C5491" s="5">
        <v>0</v>
      </c>
      <c r="D5491" s="5">
        <v>0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</row>
    <row r="5492" spans="1:11" x14ac:dyDescent="0.25">
      <c r="A5492" s="5">
        <f>5485</f>
      </c>
      <c r="B5492" s="5" t="s">
        <v>5500</v>
      </c>
      <c r="C5492" s="5">
        <v>0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</row>
    <row r="5493" spans="1:11" x14ac:dyDescent="0.25">
      <c r="A5493" s="5">
        <f>5486</f>
      </c>
      <c r="B5493" s="5" t="s">
        <v>5501</v>
      </c>
      <c r="C5493" s="5">
        <v>0</v>
      </c>
      <c r="D5493" s="5">
        <v>0</v>
      </c>
      <c r="E5493" s="5">
        <v>0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</row>
    <row r="5494" spans="1:11" x14ac:dyDescent="0.25">
      <c r="A5494" s="5">
        <f>5487</f>
      </c>
      <c r="B5494" s="5" t="s">
        <v>5502</v>
      </c>
      <c r="C5494" s="5">
        <v>0</v>
      </c>
      <c r="D5494" s="5">
        <v>0</v>
      </c>
      <c r="E5494" s="5">
        <v>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</row>
    <row r="5495" spans="1:11" x14ac:dyDescent="0.25">
      <c r="A5495" s="5">
        <f>5488</f>
      </c>
      <c r="B5495" s="5" t="s">
        <v>5503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</row>
    <row r="5496" spans="1:11" x14ac:dyDescent="0.25">
      <c r="A5496" s="5">
        <f>5489</f>
      </c>
      <c r="B5496" s="5" t="s">
        <v>5504</v>
      </c>
      <c r="C5496" s="5">
        <v>0</v>
      </c>
      <c r="D5496" s="5">
        <v>0</v>
      </c>
      <c r="E5496" s="5">
        <v>0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</row>
    <row r="5497" spans="1:11" x14ac:dyDescent="0.25">
      <c r="A5497" s="5">
        <f>5490</f>
      </c>
      <c r="B5497" s="5" t="s">
        <v>5505</v>
      </c>
      <c r="C5497" s="5">
        <v>0</v>
      </c>
      <c r="D5497" s="5">
        <v>0</v>
      </c>
      <c r="E5497" s="5">
        <v>0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</row>
    <row r="5498" spans="1:11" x14ac:dyDescent="0.25">
      <c r="A5498" s="5">
        <f>5491</f>
      </c>
      <c r="B5498" s="5" t="s">
        <v>5506</v>
      </c>
      <c r="C5498" s="5">
        <v>0</v>
      </c>
      <c r="D5498" s="5">
        <v>0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</row>
    <row r="5499" spans="1:11" x14ac:dyDescent="0.25">
      <c r="A5499" s="5">
        <f>5492</f>
      </c>
      <c r="B5499" s="5" t="s">
        <v>5507</v>
      </c>
      <c r="C5499" s="5">
        <v>0</v>
      </c>
      <c r="D5499" s="5">
        <v>0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</row>
    <row r="5500" spans="1:11" x14ac:dyDescent="0.25">
      <c r="A5500" s="5">
        <f>5493</f>
      </c>
      <c r="B5500" s="5" t="s">
        <v>5508</v>
      </c>
      <c r="C5500" s="5">
        <v>0</v>
      </c>
      <c r="D5500" s="5">
        <v>0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</row>
    <row r="5501" spans="1:11" x14ac:dyDescent="0.25">
      <c r="A5501" s="5">
        <f>5494</f>
      </c>
      <c r="B5501" s="5" t="s">
        <v>5509</v>
      </c>
      <c r="C5501" s="5">
        <v>0</v>
      </c>
      <c r="D5501" s="5">
        <v>0</v>
      </c>
      <c r="E5501" s="5">
        <v>0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</row>
    <row r="5502" spans="1:11" x14ac:dyDescent="0.25">
      <c r="A5502" s="5">
        <f>5495</f>
      </c>
      <c r="B5502" s="5" t="s">
        <v>5510</v>
      </c>
      <c r="C5502" s="5">
        <v>0</v>
      </c>
      <c r="D5502" s="5">
        <v>0</v>
      </c>
      <c r="E5502" s="5">
        <v>0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</row>
    <row r="5503" spans="1:11" x14ac:dyDescent="0.25">
      <c r="A5503" s="5">
        <f>5496</f>
      </c>
      <c r="B5503" s="5" t="s">
        <v>5511</v>
      </c>
      <c r="C5503" s="5">
        <v>0</v>
      </c>
      <c r="D5503" s="5">
        <v>0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</row>
    <row r="5504" spans="1:11" x14ac:dyDescent="0.25">
      <c r="A5504" s="5">
        <f>5497</f>
      </c>
      <c r="B5504" s="5" t="s">
        <v>5512</v>
      </c>
      <c r="C5504" s="5">
        <v>0</v>
      </c>
      <c r="D5504" s="5">
        <v>0</v>
      </c>
      <c r="E5504" s="5">
        <v>0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</row>
    <row r="5505" spans="1:11" x14ac:dyDescent="0.25">
      <c r="A5505" s="5">
        <f>5498</f>
      </c>
      <c r="B5505" s="5" t="s">
        <v>5513</v>
      </c>
      <c r="C5505" s="5">
        <v>0</v>
      </c>
      <c r="D5505" s="5">
        <v>0</v>
      </c>
      <c r="E5505" s="5">
        <v>0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</row>
    <row r="5506" spans="1:11" x14ac:dyDescent="0.25">
      <c r="A5506" s="5">
        <f>5499</f>
      </c>
      <c r="B5506" s="5" t="s">
        <v>5514</v>
      </c>
      <c r="C5506" s="5">
        <v>0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</row>
    <row r="5507" spans="1:11" x14ac:dyDescent="0.25">
      <c r="A5507" s="5">
        <f>5500</f>
      </c>
      <c r="B5507" s="5" t="s">
        <v>5515</v>
      </c>
      <c r="C5507" s="5">
        <v>0</v>
      </c>
      <c r="D5507" s="5">
        <v>0</v>
      </c>
      <c r="E5507" s="5">
        <v>0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</row>
    <row r="5508" spans="1:11" x14ac:dyDescent="0.25">
      <c r="A5508" s="5">
        <f>5501</f>
      </c>
      <c r="B5508" s="5" t="s">
        <v>5516</v>
      </c>
      <c r="C5508" s="5">
        <v>0</v>
      </c>
      <c r="D5508" s="5">
        <v>0</v>
      </c>
      <c r="E5508" s="5">
        <v>0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</row>
    <row r="5509" spans="1:11" x14ac:dyDescent="0.25">
      <c r="A5509" s="5">
        <f>5502</f>
      </c>
      <c r="B5509" s="5" t="s">
        <v>5517</v>
      </c>
      <c r="C5509" s="5">
        <v>0</v>
      </c>
      <c r="D5509" s="5">
        <v>0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</row>
    <row r="5510" spans="1:11" x14ac:dyDescent="0.25">
      <c r="A5510" s="5">
        <f>5503</f>
      </c>
      <c r="B5510" s="5" t="s">
        <v>5518</v>
      </c>
      <c r="C5510" s="5">
        <v>0</v>
      </c>
      <c r="D5510" s="5">
        <v>0</v>
      </c>
      <c r="E5510" s="5">
        <v>0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</row>
    <row r="5511" spans="1:11" x14ac:dyDescent="0.25">
      <c r="A5511" s="5">
        <f>5504</f>
      </c>
      <c r="B5511" s="5" t="s">
        <v>5519</v>
      </c>
      <c r="C5511" s="5">
        <v>0</v>
      </c>
      <c r="D5511" s="5">
        <v>0</v>
      </c>
      <c r="E5511" s="5">
        <v>0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</row>
    <row r="5512" spans="1:11" x14ac:dyDescent="0.25">
      <c r="A5512" s="5">
        <f>5505</f>
      </c>
      <c r="B5512" s="5" t="s">
        <v>5520</v>
      </c>
      <c r="C5512" s="5">
        <v>0</v>
      </c>
      <c r="D5512" s="5">
        <v>0</v>
      </c>
      <c r="E5512" s="5">
        <v>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</row>
    <row r="5513" spans="1:11" x14ac:dyDescent="0.25">
      <c r="A5513" s="5">
        <f>5506</f>
      </c>
      <c r="B5513" s="5" t="s">
        <v>5521</v>
      </c>
      <c r="C5513" s="5">
        <v>0</v>
      </c>
      <c r="D5513" s="5">
        <v>0</v>
      </c>
      <c r="E5513" s="5">
        <v>0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</row>
    <row r="5514" spans="1:11" x14ac:dyDescent="0.25">
      <c r="A5514" s="5">
        <f>5507</f>
      </c>
      <c r="B5514" s="5" t="s">
        <v>5522</v>
      </c>
      <c r="C5514" s="5">
        <v>0</v>
      </c>
      <c r="D5514" s="5">
        <v>0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</row>
    <row r="5515" spans="1:11" x14ac:dyDescent="0.25">
      <c r="A5515" s="5">
        <f>5508</f>
      </c>
      <c r="B5515" s="5" t="s">
        <v>5523</v>
      </c>
      <c r="C5515" s="5">
        <v>0</v>
      </c>
      <c r="D5515" s="5">
        <v>0</v>
      </c>
      <c r="E5515" s="5">
        <v>0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</row>
    <row r="5516" spans="1:11" x14ac:dyDescent="0.25">
      <c r="A5516" s="5">
        <f>5509</f>
      </c>
      <c r="B5516" s="5" t="s">
        <v>5524</v>
      </c>
      <c r="C5516" s="5">
        <v>0</v>
      </c>
      <c r="D5516" s="5">
        <v>0</v>
      </c>
      <c r="E5516" s="5">
        <v>0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</row>
    <row r="5517" spans="1:11" x14ac:dyDescent="0.25">
      <c r="A5517" s="5">
        <f>5510</f>
      </c>
      <c r="B5517" s="5" t="s">
        <v>5525</v>
      </c>
      <c r="C5517" s="5">
        <v>0</v>
      </c>
      <c r="D5517" s="5">
        <v>0</v>
      </c>
      <c r="E5517" s="5">
        <v>0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</row>
    <row r="5518" spans="1:11" x14ac:dyDescent="0.25">
      <c r="A5518" s="5">
        <f>5511</f>
      </c>
      <c r="B5518" s="5" t="s">
        <v>5526</v>
      </c>
      <c r="C5518" s="5">
        <v>0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</row>
    <row r="5519" spans="1:11" x14ac:dyDescent="0.25">
      <c r="A5519" s="5">
        <f>5512</f>
      </c>
      <c r="B5519" s="5" t="s">
        <v>5527</v>
      </c>
      <c r="C5519" s="5">
        <v>0</v>
      </c>
      <c r="D5519" s="5">
        <v>0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</row>
    <row r="5520" spans="1:11" x14ac:dyDescent="0.25">
      <c r="A5520" s="5">
        <f>5513</f>
      </c>
      <c r="B5520" s="5" t="s">
        <v>5528</v>
      </c>
      <c r="C5520" s="5">
        <v>0</v>
      </c>
      <c r="D5520" s="5">
        <v>0</v>
      </c>
      <c r="E5520" s="5">
        <v>0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</row>
    <row r="5521" spans="1:11" x14ac:dyDescent="0.25">
      <c r="A5521" s="5">
        <f>5514</f>
      </c>
      <c r="B5521" s="5" t="s">
        <v>5529</v>
      </c>
      <c r="C5521" s="5">
        <v>0</v>
      </c>
      <c r="D5521" s="5">
        <v>0</v>
      </c>
      <c r="E5521" s="5">
        <v>0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</row>
    <row r="5522" spans="1:11" x14ac:dyDescent="0.25">
      <c r="A5522" s="5">
        <f>5515</f>
      </c>
      <c r="B5522" s="5" t="s">
        <v>5530</v>
      </c>
      <c r="C5522" s="5">
        <v>0</v>
      </c>
      <c r="D5522" s="5">
        <v>0</v>
      </c>
      <c r="E5522" s="5">
        <v>0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</row>
    <row r="5523" spans="1:11" x14ac:dyDescent="0.25">
      <c r="A5523" s="5">
        <f>5516</f>
      </c>
      <c r="B5523" s="5" t="s">
        <v>5531</v>
      </c>
      <c r="C5523" s="5">
        <v>0</v>
      </c>
      <c r="D5523" s="5">
        <v>0</v>
      </c>
      <c r="E5523" s="5">
        <v>0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</row>
    <row r="5524" spans="1:11" x14ac:dyDescent="0.25">
      <c r="A5524" s="5">
        <f>5517</f>
      </c>
      <c r="B5524" s="5" t="s">
        <v>5532</v>
      </c>
      <c r="C5524" s="5">
        <v>0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</row>
    <row r="5525" spans="1:11" x14ac:dyDescent="0.25">
      <c r="A5525" s="5">
        <f>5518</f>
      </c>
      <c r="B5525" s="5" t="s">
        <v>5533</v>
      </c>
      <c r="C5525" s="5">
        <v>0</v>
      </c>
      <c r="D5525" s="5">
        <v>0</v>
      </c>
      <c r="E5525" s="5">
        <v>0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</row>
    <row r="5526" spans="1:11" x14ac:dyDescent="0.25">
      <c r="A5526" s="5">
        <f>5519</f>
      </c>
      <c r="B5526" s="5" t="s">
        <v>5534</v>
      </c>
      <c r="C5526" s="5">
        <v>0</v>
      </c>
      <c r="D5526" s="5">
        <v>0</v>
      </c>
      <c r="E5526" s="5">
        <v>0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</row>
    <row r="5527" spans="1:11" x14ac:dyDescent="0.25">
      <c r="A5527" s="5">
        <f>5520</f>
      </c>
      <c r="B5527" s="5" t="s">
        <v>5535</v>
      </c>
      <c r="C5527" s="5">
        <v>0</v>
      </c>
      <c r="D5527" s="5">
        <v>0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</row>
    <row r="5528" spans="1:11" x14ac:dyDescent="0.25">
      <c r="A5528" s="5">
        <f>5521</f>
      </c>
      <c r="B5528" s="5" t="s">
        <v>5536</v>
      </c>
      <c r="C5528" s="5">
        <v>0</v>
      </c>
      <c r="D5528" s="5">
        <v>0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</row>
    <row r="5529" spans="1:11" x14ac:dyDescent="0.25">
      <c r="A5529" s="5">
        <f>5522</f>
      </c>
      <c r="B5529" s="5" t="s">
        <v>5537</v>
      </c>
      <c r="C5529" s="5">
        <v>0</v>
      </c>
      <c r="D5529" s="5">
        <v>0</v>
      </c>
      <c r="E5529" s="5">
        <v>0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</row>
    <row r="5530" spans="1:11" x14ac:dyDescent="0.25">
      <c r="A5530" s="5">
        <f>5523</f>
      </c>
      <c r="B5530" s="5" t="s">
        <v>5538</v>
      </c>
      <c r="C5530" s="5">
        <v>0</v>
      </c>
      <c r="D5530" s="5">
        <v>0</v>
      </c>
      <c r="E5530" s="5">
        <v>0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</row>
    <row r="5531" spans="1:11" x14ac:dyDescent="0.25">
      <c r="A5531" s="5">
        <f>5524</f>
      </c>
      <c r="B5531" s="5" t="s">
        <v>5539</v>
      </c>
      <c r="C5531" s="5">
        <v>0</v>
      </c>
      <c r="D5531" s="5">
        <v>0</v>
      </c>
      <c r="E5531" s="5">
        <v>0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</row>
    <row r="5532" spans="1:11" x14ac:dyDescent="0.25">
      <c r="A5532" s="5">
        <f>5525</f>
      </c>
      <c r="B5532" s="5" t="s">
        <v>5540</v>
      </c>
      <c r="C5532" s="5">
        <v>0</v>
      </c>
      <c r="D5532" s="5">
        <v>0</v>
      </c>
      <c r="E5532" s="5">
        <v>0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</row>
    <row r="5533" spans="1:11" x14ac:dyDescent="0.25">
      <c r="A5533" s="5">
        <f>5526</f>
      </c>
      <c r="B5533" s="5" t="s">
        <v>5541</v>
      </c>
      <c r="C5533" s="5">
        <v>0</v>
      </c>
      <c r="D5533" s="5">
        <v>0</v>
      </c>
      <c r="E5533" s="5">
        <v>0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</row>
    <row r="5534" spans="1:11" x14ac:dyDescent="0.25">
      <c r="A5534" s="5">
        <f>5527</f>
      </c>
      <c r="B5534" s="5" t="s">
        <v>5542</v>
      </c>
      <c r="C5534" s="5">
        <v>0</v>
      </c>
      <c r="D5534" s="5">
        <v>0</v>
      </c>
      <c r="E5534" s="5">
        <v>0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</row>
    <row r="5535" spans="1:11" x14ac:dyDescent="0.25">
      <c r="A5535" s="5">
        <f>5528</f>
      </c>
      <c r="B5535" s="5" t="s">
        <v>5543</v>
      </c>
      <c r="C5535" s="5">
        <v>0</v>
      </c>
      <c r="D5535" s="5">
        <v>0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</row>
    <row r="5536" spans="1:11" x14ac:dyDescent="0.25">
      <c r="A5536" s="5">
        <f>5529</f>
      </c>
      <c r="B5536" s="5" t="s">
        <v>5544</v>
      </c>
      <c r="C5536" s="5">
        <v>0</v>
      </c>
      <c r="D5536" s="5">
        <v>0</v>
      </c>
      <c r="E5536" s="5">
        <v>0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</row>
    <row r="5537" spans="1:11" x14ac:dyDescent="0.25">
      <c r="A5537" s="5">
        <f>5530</f>
      </c>
      <c r="B5537" s="5" t="s">
        <v>5545</v>
      </c>
      <c r="C5537" s="5">
        <v>0</v>
      </c>
      <c r="D5537" s="5">
        <v>0</v>
      </c>
      <c r="E5537" s="5">
        <v>0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</row>
    <row r="5538" spans="1:11" x14ac:dyDescent="0.25">
      <c r="A5538" s="5">
        <f>5531</f>
      </c>
      <c r="B5538" s="5" t="s">
        <v>5546</v>
      </c>
      <c r="C5538" s="5">
        <v>0</v>
      </c>
      <c r="D5538" s="5">
        <v>0</v>
      </c>
      <c r="E5538" s="5">
        <v>0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</row>
    <row r="5539" spans="1:11" x14ac:dyDescent="0.25">
      <c r="A5539" s="5">
        <f>5532</f>
      </c>
      <c r="B5539" s="5" t="s">
        <v>5547</v>
      </c>
      <c r="C5539" s="5">
        <v>0</v>
      </c>
      <c r="D5539" s="5">
        <v>0</v>
      </c>
      <c r="E5539" s="5">
        <v>0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</row>
    <row r="5540" spans="1:11" x14ac:dyDescent="0.25">
      <c r="A5540" s="5">
        <f>5533</f>
      </c>
      <c r="B5540" s="5" t="s">
        <v>5548</v>
      </c>
      <c r="C5540" s="5">
        <v>0</v>
      </c>
      <c r="D5540" s="5">
        <v>0</v>
      </c>
      <c r="E5540" s="5">
        <v>0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</row>
    <row r="5541" spans="1:11" x14ac:dyDescent="0.25">
      <c r="A5541" s="5">
        <f>5534</f>
      </c>
      <c r="B5541" s="5" t="s">
        <v>5549</v>
      </c>
      <c r="C5541" s="5">
        <v>0</v>
      </c>
      <c r="D5541" s="5">
        <v>0</v>
      </c>
      <c r="E5541" s="5">
        <v>0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</row>
    <row r="5542" spans="1:11" x14ac:dyDescent="0.25">
      <c r="A5542" s="5">
        <f>5535</f>
      </c>
      <c r="B5542" s="5" t="s">
        <v>5550</v>
      </c>
      <c r="C5542" s="5">
        <v>0</v>
      </c>
      <c r="D5542" s="5">
        <v>0</v>
      </c>
      <c r="E5542" s="5">
        <v>0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</row>
    <row r="5543" spans="1:11" x14ac:dyDescent="0.25">
      <c r="A5543" s="5">
        <f>5536</f>
      </c>
      <c r="B5543" s="5" t="s">
        <v>5551</v>
      </c>
      <c r="C5543" s="5">
        <v>0</v>
      </c>
      <c r="D5543" s="5">
        <v>0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</row>
    <row r="5544" spans="1:11" x14ac:dyDescent="0.25">
      <c r="A5544" s="5">
        <f>5537</f>
      </c>
      <c r="B5544" s="5" t="s">
        <v>5552</v>
      </c>
      <c r="C5544" s="5">
        <v>0</v>
      </c>
      <c r="D5544" s="5">
        <v>0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</row>
    <row r="5545" spans="1:11" x14ac:dyDescent="0.25">
      <c r="A5545" s="5">
        <f>5538</f>
      </c>
      <c r="B5545" s="5" t="s">
        <v>5553</v>
      </c>
      <c r="C5545" s="5">
        <v>0</v>
      </c>
      <c r="D5545" s="5">
        <v>0</v>
      </c>
      <c r="E5545" s="5">
        <v>0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</row>
    <row r="5546" spans="1:11" x14ac:dyDescent="0.25">
      <c r="A5546" s="5">
        <f>5539</f>
      </c>
      <c r="B5546" s="5" t="s">
        <v>5554</v>
      </c>
      <c r="C5546" s="5">
        <v>0</v>
      </c>
      <c r="D5546" s="5">
        <v>0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</row>
    <row r="5547" spans="1:11" x14ac:dyDescent="0.25">
      <c r="A5547" s="5">
        <f>5540</f>
      </c>
      <c r="B5547" s="5" t="s">
        <v>5555</v>
      </c>
      <c r="C5547" s="5">
        <v>0</v>
      </c>
      <c r="D5547" s="5">
        <v>0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</row>
    <row r="5548" spans="1:11" x14ac:dyDescent="0.25">
      <c r="A5548" s="5">
        <f>5541</f>
      </c>
      <c r="B5548" s="5" t="s">
        <v>5556</v>
      </c>
      <c r="C5548" s="5">
        <v>0</v>
      </c>
      <c r="D5548" s="5">
        <v>0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</row>
    <row r="5549" spans="1:11" x14ac:dyDescent="0.25">
      <c r="A5549" s="5">
        <f>5542</f>
      </c>
      <c r="B5549" s="5" t="s">
        <v>5557</v>
      </c>
      <c r="C5549" s="5">
        <v>0</v>
      </c>
      <c r="D5549" s="5">
        <v>0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</row>
    <row r="5550" spans="1:11" x14ac:dyDescent="0.25">
      <c r="A5550" s="5">
        <f>5543</f>
      </c>
      <c r="B5550" s="5" t="s">
        <v>5558</v>
      </c>
      <c r="C5550" s="5">
        <v>0</v>
      </c>
      <c r="D5550" s="5">
        <v>0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</row>
    <row r="5551" spans="1:11" x14ac:dyDescent="0.25">
      <c r="A5551" s="5">
        <f>5544</f>
      </c>
      <c r="B5551" s="5" t="s">
        <v>5559</v>
      </c>
      <c r="C5551" s="5">
        <v>0</v>
      </c>
      <c r="D5551" s="5">
        <v>0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</row>
    <row r="5552" spans="1:11" x14ac:dyDescent="0.25">
      <c r="A5552" s="5">
        <f>5545</f>
      </c>
      <c r="B5552" s="5" t="s">
        <v>5560</v>
      </c>
      <c r="C5552" s="5">
        <v>0</v>
      </c>
      <c r="D5552" s="5">
        <v>0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</row>
    <row r="5553" spans="1:11" x14ac:dyDescent="0.25">
      <c r="A5553" s="5">
        <f>5546</f>
      </c>
      <c r="B5553" s="5" t="s">
        <v>5561</v>
      </c>
      <c r="C5553" s="5">
        <v>0</v>
      </c>
      <c r="D5553" s="5">
        <v>0</v>
      </c>
      <c r="E5553" s="5">
        <v>0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</row>
    <row r="5554" spans="1:11" x14ac:dyDescent="0.25">
      <c r="A5554" s="5">
        <f>5547</f>
      </c>
      <c r="B5554" s="5" t="s">
        <v>5562</v>
      </c>
      <c r="C5554" s="5">
        <v>0</v>
      </c>
      <c r="D5554" s="5">
        <v>0</v>
      </c>
      <c r="E5554" s="5">
        <v>0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</row>
    <row r="5555" spans="1:11" x14ac:dyDescent="0.25">
      <c r="A5555" s="5">
        <f>5548</f>
      </c>
      <c r="B5555" s="5" t="s">
        <v>5563</v>
      </c>
      <c r="C5555" s="5">
        <v>0</v>
      </c>
      <c r="D5555" s="5">
        <v>0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</row>
    <row r="5556" spans="1:11" x14ac:dyDescent="0.25">
      <c r="A5556" s="5">
        <f>5549</f>
      </c>
      <c r="B5556" s="5" t="s">
        <v>5564</v>
      </c>
      <c r="C5556" s="5">
        <v>0</v>
      </c>
      <c r="D5556" s="5">
        <v>0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</row>
    <row r="5557" spans="1:11" x14ac:dyDescent="0.25">
      <c r="A5557" s="5">
        <f>5550</f>
      </c>
      <c r="B5557" s="5" t="s">
        <v>5565</v>
      </c>
      <c r="C5557" s="5">
        <v>0</v>
      </c>
      <c r="D5557" s="5">
        <v>0</v>
      </c>
      <c r="E5557" s="5">
        <v>0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</row>
    <row r="5558" spans="1:11" x14ac:dyDescent="0.25">
      <c r="A5558" s="5">
        <f>5551</f>
      </c>
      <c r="B5558" s="5" t="s">
        <v>5566</v>
      </c>
      <c r="C5558" s="5">
        <v>0</v>
      </c>
      <c r="D5558" s="5">
        <v>0</v>
      </c>
      <c r="E5558" s="5">
        <v>0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</row>
    <row r="5559" spans="1:11" x14ac:dyDescent="0.25">
      <c r="A5559" s="5">
        <f>5552</f>
      </c>
      <c r="B5559" s="5" t="s">
        <v>5567</v>
      </c>
      <c r="C5559" s="5">
        <v>0</v>
      </c>
      <c r="D5559" s="5">
        <v>0</v>
      </c>
      <c r="E5559" s="5">
        <v>0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</row>
    <row r="5560" spans="1:11" x14ac:dyDescent="0.25">
      <c r="A5560" s="5">
        <f>5553</f>
      </c>
      <c r="B5560" s="5" t="s">
        <v>5568</v>
      </c>
      <c r="C5560" s="5">
        <v>0</v>
      </c>
      <c r="D5560" s="5">
        <v>0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</row>
    <row r="5561" spans="1:11" x14ac:dyDescent="0.25">
      <c r="A5561" s="5">
        <f>5554</f>
      </c>
      <c r="B5561" s="5" t="s">
        <v>5569</v>
      </c>
      <c r="C5561" s="5">
        <v>0</v>
      </c>
      <c r="D5561" s="5">
        <v>0</v>
      </c>
      <c r="E5561" s="5">
        <v>0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</row>
    <row r="5562" spans="1:11" x14ac:dyDescent="0.25">
      <c r="A5562" s="5">
        <f>5555</f>
      </c>
      <c r="B5562" s="5" t="s">
        <v>5570</v>
      </c>
      <c r="C5562" s="5">
        <v>0</v>
      </c>
      <c r="D5562" s="5">
        <v>0</v>
      </c>
      <c r="E5562" s="5">
        <v>0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</row>
    <row r="5563" spans="1:11" x14ac:dyDescent="0.25">
      <c r="A5563" s="5">
        <f>5556</f>
      </c>
      <c r="B5563" s="5" t="s">
        <v>5571</v>
      </c>
      <c r="C5563" s="5">
        <v>0</v>
      </c>
      <c r="D5563" s="5">
        <v>0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</row>
    <row r="5564" spans="1:11" x14ac:dyDescent="0.25">
      <c r="A5564" s="5">
        <f>5557</f>
      </c>
      <c r="B5564" s="5" t="s">
        <v>5572</v>
      </c>
      <c r="C5564" s="5">
        <v>0</v>
      </c>
      <c r="D5564" s="5">
        <v>0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</row>
    <row r="5565" spans="1:11" x14ac:dyDescent="0.25">
      <c r="A5565" s="5">
        <f>5558</f>
      </c>
      <c r="B5565" s="5" t="s">
        <v>5573</v>
      </c>
      <c r="C5565" s="5">
        <v>0</v>
      </c>
      <c r="D5565" s="5">
        <v>0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</row>
    <row r="5566" spans="1:11" x14ac:dyDescent="0.25">
      <c r="A5566" s="5">
        <f>5559</f>
      </c>
      <c r="B5566" s="5" t="s">
        <v>5574</v>
      </c>
      <c r="C5566" s="5">
        <v>0</v>
      </c>
      <c r="D5566" s="5">
        <v>0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</row>
    <row r="5567" spans="1:11" x14ac:dyDescent="0.25">
      <c r="A5567" s="5">
        <f>5560</f>
      </c>
      <c r="B5567" s="5" t="s">
        <v>5575</v>
      </c>
      <c r="C5567" s="5">
        <v>0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</row>
    <row r="5568" spans="1:11" x14ac:dyDescent="0.25">
      <c r="A5568" s="5">
        <f>5561</f>
      </c>
      <c r="B5568" s="5" t="s">
        <v>5576</v>
      </c>
      <c r="C5568" s="5">
        <v>0</v>
      </c>
      <c r="D5568" s="5">
        <v>0</v>
      </c>
      <c r="E5568" s="5">
        <v>0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</row>
    <row r="5569" spans="1:11" x14ac:dyDescent="0.25">
      <c r="A5569" s="5">
        <f>5562</f>
      </c>
      <c r="B5569" s="5" t="s">
        <v>5577</v>
      </c>
      <c r="C5569" s="5">
        <v>0</v>
      </c>
      <c r="D5569" s="5">
        <v>0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</row>
    <row r="5570" spans="1:11" x14ac:dyDescent="0.25">
      <c r="A5570" s="5">
        <f>5563</f>
      </c>
      <c r="B5570" s="5" t="s">
        <v>5578</v>
      </c>
      <c r="C5570" s="5">
        <v>0</v>
      </c>
      <c r="D5570" s="5">
        <v>0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</row>
    <row r="5571" spans="1:11" x14ac:dyDescent="0.25">
      <c r="A5571" s="5">
        <f>5564</f>
      </c>
      <c r="B5571" s="5" t="s">
        <v>5579</v>
      </c>
      <c r="C5571" s="5">
        <v>0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</row>
    <row r="5572" spans="1:11" x14ac:dyDescent="0.25">
      <c r="A5572" s="5">
        <f>5565</f>
      </c>
      <c r="B5572" s="5" t="s">
        <v>5580</v>
      </c>
      <c r="C5572" s="5">
        <v>0</v>
      </c>
      <c r="D5572" s="5">
        <v>0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</row>
    <row r="5573" spans="1:11" x14ac:dyDescent="0.25">
      <c r="A5573" s="5">
        <f>5566</f>
      </c>
      <c r="B5573" s="5" t="s">
        <v>5581</v>
      </c>
      <c r="C5573" s="5">
        <v>0</v>
      </c>
      <c r="D5573" s="5">
        <v>0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</row>
    <row r="5574" spans="1:11" x14ac:dyDescent="0.25">
      <c r="A5574" s="5">
        <f>5567</f>
      </c>
      <c r="B5574" s="5" t="s">
        <v>5582</v>
      </c>
      <c r="C5574" s="5">
        <v>0</v>
      </c>
      <c r="D5574" s="5">
        <v>0</v>
      </c>
      <c r="E5574" s="5">
        <v>0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</row>
    <row r="5575" spans="1:11" x14ac:dyDescent="0.25">
      <c r="A5575" s="5">
        <f>5568</f>
      </c>
      <c r="B5575" s="5" t="s">
        <v>5583</v>
      </c>
      <c r="C5575" s="5">
        <v>0</v>
      </c>
      <c r="D5575" s="5">
        <v>0</v>
      </c>
      <c r="E5575" s="5">
        <v>0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</row>
    <row r="5576" spans="1:11" x14ac:dyDescent="0.25">
      <c r="A5576" s="5">
        <f>5569</f>
      </c>
      <c r="B5576" s="5" t="s">
        <v>5584</v>
      </c>
      <c r="C5576" s="5">
        <v>0</v>
      </c>
      <c r="D5576" s="5">
        <v>0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</row>
    <row r="5577" spans="1:11" x14ac:dyDescent="0.25">
      <c r="A5577" s="5">
        <f>5570</f>
      </c>
      <c r="B5577" s="5" t="s">
        <v>5585</v>
      </c>
      <c r="C5577" s="5">
        <v>0</v>
      </c>
      <c r="D5577" s="5">
        <v>0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</row>
    <row r="5578" spans="1:11" x14ac:dyDescent="0.25">
      <c r="A5578" s="5">
        <f>5571</f>
      </c>
      <c r="B5578" s="5" t="s">
        <v>5586</v>
      </c>
      <c r="C5578" s="5">
        <v>0</v>
      </c>
      <c r="D5578" s="5">
        <v>0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</row>
    <row r="5579" spans="1:11" x14ac:dyDescent="0.25">
      <c r="A5579" s="5">
        <f>5572</f>
      </c>
      <c r="B5579" s="5" t="s">
        <v>5587</v>
      </c>
      <c r="C5579" s="5">
        <v>0</v>
      </c>
      <c r="D5579" s="5">
        <v>0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</row>
    <row r="5580" spans="1:11" x14ac:dyDescent="0.25">
      <c r="A5580" s="5">
        <f>5573</f>
      </c>
      <c r="B5580" s="5" t="s">
        <v>5588</v>
      </c>
      <c r="C5580" s="5">
        <v>0</v>
      </c>
      <c r="D5580" s="5">
        <v>0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</row>
    <row r="5581" spans="1:11" x14ac:dyDescent="0.25">
      <c r="A5581" s="5">
        <f>5574</f>
      </c>
      <c r="B5581" s="5" t="s">
        <v>5589</v>
      </c>
      <c r="C5581" s="5">
        <v>0</v>
      </c>
      <c r="D5581" s="5">
        <v>0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</row>
    <row r="5582" spans="1:11" x14ac:dyDescent="0.25">
      <c r="A5582" s="5">
        <f>5575</f>
      </c>
      <c r="B5582" s="5" t="s">
        <v>5590</v>
      </c>
      <c r="C5582" s="5">
        <v>0</v>
      </c>
      <c r="D5582" s="5">
        <v>0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</row>
    <row r="5583" spans="1:11" x14ac:dyDescent="0.25">
      <c r="A5583" s="5">
        <f>5576</f>
      </c>
      <c r="B5583" s="5" t="s">
        <v>5591</v>
      </c>
      <c r="C5583" s="5">
        <v>0</v>
      </c>
      <c r="D5583" s="5">
        <v>0</v>
      </c>
      <c r="E5583" s="5">
        <v>0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</row>
    <row r="5584" spans="1:11" x14ac:dyDescent="0.25">
      <c r="A5584" s="5">
        <f>5577</f>
      </c>
      <c r="B5584" s="5" t="s">
        <v>5592</v>
      </c>
      <c r="C5584" s="5">
        <v>0</v>
      </c>
      <c r="D5584" s="5">
        <v>0</v>
      </c>
      <c r="E5584" s="5">
        <v>0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</row>
    <row r="5585" spans="1:11" x14ac:dyDescent="0.25">
      <c r="A5585" s="5">
        <f>5578</f>
      </c>
      <c r="B5585" s="5" t="s">
        <v>5593</v>
      </c>
      <c r="C5585" s="5">
        <v>0</v>
      </c>
      <c r="D5585" s="5">
        <v>0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</row>
    <row r="5586" spans="1:11" x14ac:dyDescent="0.25">
      <c r="A5586" s="5">
        <f>5579</f>
      </c>
      <c r="B5586" s="5" t="s">
        <v>5594</v>
      </c>
      <c r="C5586" s="5">
        <v>0</v>
      </c>
      <c r="D5586" s="5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</row>
    <row r="5587" spans="1:11" x14ac:dyDescent="0.25">
      <c r="A5587" s="5">
        <f>5580</f>
      </c>
      <c r="B5587" s="5" t="s">
        <v>5595</v>
      </c>
      <c r="C5587" s="5">
        <v>0</v>
      </c>
      <c r="D5587" s="5">
        <v>0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</row>
    <row r="5588" spans="1:11" x14ac:dyDescent="0.25">
      <c r="A5588" s="5">
        <f>5581</f>
      </c>
      <c r="B5588" s="5" t="s">
        <v>5596</v>
      </c>
      <c r="C5588" s="5">
        <v>0</v>
      </c>
      <c r="D5588" s="5">
        <v>0</v>
      </c>
      <c r="E5588" s="5">
        <v>0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</row>
    <row r="5589" spans="1:11" x14ac:dyDescent="0.25">
      <c r="A5589" s="5">
        <f>5582</f>
      </c>
      <c r="B5589" s="5" t="s">
        <v>5597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</row>
    <row r="5590" spans="1:11" x14ac:dyDescent="0.25">
      <c r="A5590" s="5">
        <f>5583</f>
      </c>
      <c r="B5590" s="5" t="s">
        <v>5598</v>
      </c>
      <c r="C5590" s="5">
        <v>0</v>
      </c>
      <c r="D5590" s="5">
        <v>0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</row>
    <row r="5591" spans="1:11" x14ac:dyDescent="0.25">
      <c r="A5591" s="5">
        <f>5584</f>
      </c>
      <c r="B5591" s="5" t="s">
        <v>5599</v>
      </c>
      <c r="C5591" s="5">
        <v>0</v>
      </c>
      <c r="D5591" s="5">
        <v>0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</row>
    <row r="5592" spans="1:11" x14ac:dyDescent="0.25">
      <c r="A5592" s="5">
        <f>5585</f>
      </c>
      <c r="B5592" s="5" t="s">
        <v>5600</v>
      </c>
      <c r="C5592" s="5">
        <v>0</v>
      </c>
      <c r="D5592" s="5">
        <v>0</v>
      </c>
      <c r="E5592" s="5">
        <v>0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</row>
    <row r="5593" spans="1:11" x14ac:dyDescent="0.25">
      <c r="A5593" s="5">
        <f>5586</f>
      </c>
      <c r="B5593" s="5" t="s">
        <v>5601</v>
      </c>
      <c r="C5593" s="5">
        <v>0</v>
      </c>
      <c r="D5593" s="5">
        <v>0</v>
      </c>
      <c r="E5593" s="5">
        <v>0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</row>
    <row r="5594" spans="1:11" x14ac:dyDescent="0.25">
      <c r="A5594" s="5">
        <f>5587</f>
      </c>
      <c r="B5594" s="5" t="s">
        <v>5602</v>
      </c>
      <c r="C5594" s="5">
        <v>0</v>
      </c>
      <c r="D5594" s="5">
        <v>0</v>
      </c>
      <c r="E5594" s="5">
        <v>0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</row>
    <row r="5595" spans="1:11" x14ac:dyDescent="0.25">
      <c r="A5595" s="5">
        <f>5588</f>
      </c>
      <c r="B5595" s="5" t="s">
        <v>5603</v>
      </c>
      <c r="C5595" s="5">
        <v>0</v>
      </c>
      <c r="D5595" s="5">
        <v>0</v>
      </c>
      <c r="E5595" s="5">
        <v>0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</row>
    <row r="5596" spans="1:11" x14ac:dyDescent="0.25">
      <c r="A5596" s="5">
        <f>5589</f>
      </c>
      <c r="B5596" s="5" t="s">
        <v>5604</v>
      </c>
      <c r="C5596" s="5">
        <v>0</v>
      </c>
      <c r="D5596" s="5">
        <v>0</v>
      </c>
      <c r="E5596" s="5">
        <v>0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</row>
    <row r="5597" spans="1:11" x14ac:dyDescent="0.25">
      <c r="A5597" s="5">
        <f>5590</f>
      </c>
      <c r="B5597" s="5" t="s">
        <v>5605</v>
      </c>
      <c r="C5597" s="5">
        <v>0</v>
      </c>
      <c r="D5597" s="5">
        <v>0</v>
      </c>
      <c r="E5597" s="5">
        <v>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</row>
    <row r="5598" spans="1:11" x14ac:dyDescent="0.25">
      <c r="A5598" s="5">
        <f>5591</f>
      </c>
      <c r="B5598" s="5" t="s">
        <v>5606</v>
      </c>
      <c r="C5598" s="5">
        <v>0</v>
      </c>
      <c r="D5598" s="5">
        <v>0</v>
      </c>
      <c r="E5598" s="5">
        <v>0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</row>
    <row r="5599" spans="1:11" x14ac:dyDescent="0.25">
      <c r="A5599" s="5">
        <f>5592</f>
      </c>
      <c r="B5599" s="5" t="s">
        <v>5607</v>
      </c>
      <c r="C5599" s="5">
        <v>0</v>
      </c>
      <c r="D5599" s="5">
        <v>0</v>
      </c>
      <c r="E5599" s="5">
        <v>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</row>
    <row r="5600" spans="1:11" x14ac:dyDescent="0.25">
      <c r="A5600" s="5">
        <f>5593</f>
      </c>
      <c r="B5600" s="5" t="s">
        <v>5608</v>
      </c>
      <c r="C5600" s="5">
        <v>0</v>
      </c>
      <c r="D5600" s="5">
        <v>0</v>
      </c>
      <c r="E5600" s="5">
        <v>0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</row>
    <row r="5601" spans="1:11" x14ac:dyDescent="0.25">
      <c r="A5601" s="5">
        <f>5594</f>
      </c>
      <c r="B5601" s="5" t="s">
        <v>5609</v>
      </c>
      <c r="C5601" s="5">
        <v>0</v>
      </c>
      <c r="D5601" s="5">
        <v>0</v>
      </c>
      <c r="E5601" s="5">
        <v>0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</row>
    <row r="5602" spans="1:11" x14ac:dyDescent="0.25">
      <c r="A5602" s="5">
        <f>5595</f>
      </c>
      <c r="B5602" s="5" t="s">
        <v>5610</v>
      </c>
      <c r="C5602" s="5">
        <v>0</v>
      </c>
      <c r="D5602" s="5">
        <v>0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</row>
    <row r="5603" spans="1:11" x14ac:dyDescent="0.25">
      <c r="A5603" s="5">
        <f>5596</f>
      </c>
      <c r="B5603" s="5" t="s">
        <v>5611</v>
      </c>
      <c r="C5603" s="5">
        <v>0</v>
      </c>
      <c r="D5603" s="5">
        <v>0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</row>
    <row r="5604" spans="1:11" x14ac:dyDescent="0.25">
      <c r="A5604" s="5">
        <f>5597</f>
      </c>
      <c r="B5604" s="5" t="s">
        <v>5612</v>
      </c>
      <c r="C5604" s="5">
        <v>0</v>
      </c>
      <c r="D5604" s="5">
        <v>0</v>
      </c>
      <c r="E5604" s="5">
        <v>0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</row>
    <row r="5605" spans="1:11" x14ac:dyDescent="0.25">
      <c r="A5605" s="5">
        <f>5598</f>
      </c>
      <c r="B5605" s="5" t="s">
        <v>5613</v>
      </c>
      <c r="C5605" s="5">
        <v>0</v>
      </c>
      <c r="D5605" s="5">
        <v>0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</row>
    <row r="5606" spans="1:11" x14ac:dyDescent="0.25">
      <c r="A5606" s="5">
        <f>5599</f>
      </c>
      <c r="B5606" s="5" t="s">
        <v>5614</v>
      </c>
      <c r="C5606" s="5">
        <v>0</v>
      </c>
      <c r="D5606" s="5">
        <v>0</v>
      </c>
      <c r="E5606" s="5">
        <v>0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</row>
    <row r="5607" spans="1:11" x14ac:dyDescent="0.25">
      <c r="A5607" s="5">
        <f>5600</f>
      </c>
      <c r="B5607" s="5" t="s">
        <v>5615</v>
      </c>
      <c r="C5607" s="5">
        <v>0</v>
      </c>
      <c r="D5607" s="5">
        <v>0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</row>
    <row r="5608" spans="1:11" x14ac:dyDescent="0.25">
      <c r="A5608" s="5">
        <f>5601</f>
      </c>
      <c r="B5608" s="5" t="s">
        <v>5616</v>
      </c>
      <c r="C5608" s="5">
        <v>0</v>
      </c>
      <c r="D5608" s="5">
        <v>0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</row>
    <row r="5609" spans="1:11" x14ac:dyDescent="0.25">
      <c r="A5609" s="5">
        <f>5602</f>
      </c>
      <c r="B5609" s="5" t="s">
        <v>5617</v>
      </c>
      <c r="C5609" s="5">
        <v>0</v>
      </c>
      <c r="D5609" s="5">
        <v>0</v>
      </c>
      <c r="E5609" s="5">
        <v>0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</row>
    <row r="5610" spans="1:11" x14ac:dyDescent="0.25">
      <c r="A5610" s="5">
        <f>5603</f>
      </c>
      <c r="B5610" s="5" t="s">
        <v>5618</v>
      </c>
      <c r="C5610" s="5">
        <v>0</v>
      </c>
      <c r="D5610" s="5">
        <v>0</v>
      </c>
      <c r="E5610" s="5">
        <v>0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</row>
    <row r="5611" spans="1:11" x14ac:dyDescent="0.25">
      <c r="A5611" s="5">
        <f>5604</f>
      </c>
      <c r="B5611" s="5" t="s">
        <v>5619</v>
      </c>
      <c r="C5611" s="5">
        <v>0</v>
      </c>
      <c r="D5611" s="5">
        <v>0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</row>
    <row r="5612" spans="1:11" x14ac:dyDescent="0.25">
      <c r="A5612" s="5">
        <f>5605</f>
      </c>
      <c r="B5612" s="5" t="s">
        <v>5620</v>
      </c>
      <c r="C5612" s="5">
        <v>0</v>
      </c>
      <c r="D5612" s="5">
        <v>0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</row>
    <row r="5613" spans="1:11" x14ac:dyDescent="0.25">
      <c r="A5613" s="5">
        <f>5606</f>
      </c>
      <c r="B5613" s="5" t="s">
        <v>5621</v>
      </c>
      <c r="C5613" s="5">
        <v>0</v>
      </c>
      <c r="D5613" s="5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</row>
    <row r="5614" spans="1:11" x14ac:dyDescent="0.25">
      <c r="A5614" s="5">
        <f>5607</f>
      </c>
      <c r="B5614" s="5" t="s">
        <v>5622</v>
      </c>
      <c r="C5614" s="5">
        <v>0</v>
      </c>
      <c r="D5614" s="5">
        <v>0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</row>
    <row r="5615" spans="1:11" x14ac:dyDescent="0.25">
      <c r="A5615" s="5">
        <f>5608</f>
      </c>
      <c r="B5615" s="5" t="s">
        <v>5623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</row>
    <row r="5616" spans="1:11" x14ac:dyDescent="0.25">
      <c r="A5616" s="5">
        <f>5609</f>
      </c>
      <c r="B5616" s="5" t="s">
        <v>5624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</row>
    <row r="5617" spans="1:11" x14ac:dyDescent="0.25">
      <c r="A5617" s="5">
        <f>5610</f>
      </c>
      <c r="B5617" s="5" t="s">
        <v>5625</v>
      </c>
      <c r="C5617" s="5">
        <v>0</v>
      </c>
      <c r="D5617" s="5">
        <v>0</v>
      </c>
      <c r="E5617" s="5">
        <v>0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</row>
    <row r="5618" spans="1:11" x14ac:dyDescent="0.25">
      <c r="A5618" s="5">
        <f>5611</f>
      </c>
      <c r="B5618" s="5" t="s">
        <v>5626</v>
      </c>
      <c r="C5618" s="5">
        <v>0</v>
      </c>
      <c r="D5618" s="5">
        <v>0</v>
      </c>
      <c r="E5618" s="5">
        <v>0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</row>
    <row r="5619" spans="1:11" x14ac:dyDescent="0.25">
      <c r="A5619" s="5">
        <f>5612</f>
      </c>
      <c r="B5619" s="5" t="s">
        <v>5627</v>
      </c>
      <c r="C5619" s="5">
        <v>0</v>
      </c>
      <c r="D5619" s="5">
        <v>0</v>
      </c>
      <c r="E5619" s="5">
        <v>0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</row>
    <row r="5620" spans="1:11" x14ac:dyDescent="0.25">
      <c r="A5620" s="5">
        <f>5613</f>
      </c>
      <c r="B5620" s="5" t="s">
        <v>5628</v>
      </c>
      <c r="C5620" s="5">
        <v>0</v>
      </c>
      <c r="D5620" s="5">
        <v>0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</row>
    <row r="5621" spans="1:11" x14ac:dyDescent="0.25">
      <c r="A5621" s="5">
        <f>5614</f>
      </c>
      <c r="B5621" s="5" t="s">
        <v>5629</v>
      </c>
      <c r="C5621" s="5">
        <v>0</v>
      </c>
      <c r="D5621" s="5">
        <v>0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</row>
    <row r="5622" spans="1:11" x14ac:dyDescent="0.25">
      <c r="A5622" s="5">
        <f>5615</f>
      </c>
      <c r="B5622" s="5" t="s">
        <v>5630</v>
      </c>
      <c r="C5622" s="5">
        <v>0</v>
      </c>
      <c r="D5622" s="5">
        <v>0</v>
      </c>
      <c r="E5622" s="5">
        <v>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</row>
    <row r="5623" spans="1:11" x14ac:dyDescent="0.25">
      <c r="A5623" s="5">
        <f>5616</f>
      </c>
      <c r="B5623" s="5" t="s">
        <v>5631</v>
      </c>
      <c r="C5623" s="5">
        <v>0</v>
      </c>
      <c r="D5623" s="5">
        <v>0</v>
      </c>
      <c r="E5623" s="5">
        <v>0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</row>
    <row r="5624" spans="1:11" x14ac:dyDescent="0.25">
      <c r="A5624" s="5">
        <f>5617</f>
      </c>
      <c r="B5624" s="5" t="s">
        <v>5632</v>
      </c>
      <c r="C5624" s="5">
        <v>0</v>
      </c>
      <c r="D5624" s="5">
        <v>0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</row>
    <row r="5625" spans="1:11" x14ac:dyDescent="0.25">
      <c r="A5625" s="5">
        <f>5618</f>
      </c>
      <c r="B5625" s="5" t="s">
        <v>5633</v>
      </c>
      <c r="C5625" s="5">
        <v>0</v>
      </c>
      <c r="D5625" s="5">
        <v>0</v>
      </c>
      <c r="E5625" s="5">
        <v>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</row>
    <row r="5626" spans="1:11" x14ac:dyDescent="0.25">
      <c r="A5626" s="5">
        <f>5619</f>
      </c>
      <c r="B5626" s="5" t="s">
        <v>5634</v>
      </c>
      <c r="C5626" s="5">
        <v>0</v>
      </c>
      <c r="D5626" s="5">
        <v>0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</row>
    <row r="5627" spans="1:11" x14ac:dyDescent="0.25">
      <c r="A5627" s="5">
        <f>5620</f>
      </c>
      <c r="B5627" s="5" t="s">
        <v>5635</v>
      </c>
      <c r="C5627" s="5">
        <v>0</v>
      </c>
      <c r="D5627" s="5">
        <v>0</v>
      </c>
      <c r="E5627" s="5">
        <v>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</row>
    <row r="5628" spans="1:11" x14ac:dyDescent="0.25">
      <c r="A5628" s="5">
        <f>5621</f>
      </c>
      <c r="B5628" s="5" t="s">
        <v>5636</v>
      </c>
      <c r="C5628" s="5">
        <v>0</v>
      </c>
      <c r="D5628" s="5">
        <v>0</v>
      </c>
      <c r="E5628" s="5">
        <v>0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</row>
    <row r="5629" spans="1:11" x14ac:dyDescent="0.25">
      <c r="A5629" s="5">
        <f>5622</f>
      </c>
      <c r="B5629" s="5" t="s">
        <v>5637</v>
      </c>
      <c r="C5629" s="5">
        <v>0</v>
      </c>
      <c r="D5629" s="5">
        <v>0</v>
      </c>
      <c r="E5629" s="5">
        <v>0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</row>
    <row r="5630" spans="1:11" x14ac:dyDescent="0.25">
      <c r="A5630" s="5">
        <f>5623</f>
      </c>
      <c r="B5630" s="5" t="s">
        <v>5638</v>
      </c>
      <c r="C5630" s="5">
        <v>0</v>
      </c>
      <c r="D5630" s="5">
        <v>0</v>
      </c>
      <c r="E5630" s="5">
        <v>0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</row>
    <row r="5631" spans="1:11" x14ac:dyDescent="0.25">
      <c r="A5631" s="5">
        <f>5624</f>
      </c>
      <c r="B5631" s="5" t="s">
        <v>5639</v>
      </c>
      <c r="C5631" s="5">
        <v>0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</row>
    <row r="5632" spans="1:11" x14ac:dyDescent="0.25">
      <c r="A5632" s="5">
        <f>5625</f>
      </c>
      <c r="B5632" s="5" t="s">
        <v>5640</v>
      </c>
      <c r="C5632" s="5">
        <v>0</v>
      </c>
      <c r="D5632" s="5">
        <v>0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</row>
    <row r="5633" spans="1:11" x14ac:dyDescent="0.25">
      <c r="A5633" s="5">
        <f>5626</f>
      </c>
      <c r="B5633" s="5" t="s">
        <v>5641</v>
      </c>
      <c r="C5633" s="5">
        <v>0</v>
      </c>
      <c r="D5633" s="5">
        <v>0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</row>
    <row r="5634" spans="1:11" x14ac:dyDescent="0.25">
      <c r="A5634" s="5">
        <f>5627</f>
      </c>
      <c r="B5634" s="5" t="s">
        <v>5642</v>
      </c>
      <c r="C5634" s="5">
        <v>0</v>
      </c>
      <c r="D5634" s="5">
        <v>0</v>
      </c>
      <c r="E5634" s="5">
        <v>0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</row>
    <row r="5635" spans="1:11" x14ac:dyDescent="0.25">
      <c r="A5635" s="5">
        <f>5628</f>
      </c>
      <c r="B5635" s="5" t="s">
        <v>5643</v>
      </c>
      <c r="C5635" s="5">
        <v>0</v>
      </c>
      <c r="D5635" s="5">
        <v>0</v>
      </c>
      <c r="E5635" s="5">
        <v>0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</row>
    <row r="5636" spans="1:11" x14ac:dyDescent="0.25">
      <c r="A5636" s="5">
        <f>5629</f>
      </c>
      <c r="B5636" s="5" t="s">
        <v>5644</v>
      </c>
      <c r="C5636" s="5">
        <v>0</v>
      </c>
      <c r="D5636" s="5">
        <v>0</v>
      </c>
      <c r="E5636" s="5">
        <v>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</row>
    <row r="5637" spans="1:11" x14ac:dyDescent="0.25">
      <c r="A5637" s="5">
        <f>5630</f>
      </c>
      <c r="B5637" s="5" t="s">
        <v>5645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</row>
    <row r="5638" spans="1:11" x14ac:dyDescent="0.25">
      <c r="A5638" s="5">
        <f>5631</f>
      </c>
      <c r="B5638" s="5" t="s">
        <v>5646</v>
      </c>
      <c r="C5638" s="5">
        <v>0</v>
      </c>
      <c r="D5638" s="5">
        <v>0</v>
      </c>
      <c r="E5638" s="5">
        <v>0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</row>
    <row r="5639" spans="1:11" x14ac:dyDescent="0.25">
      <c r="A5639" s="5">
        <f>5632</f>
      </c>
      <c r="B5639" s="5" t="s">
        <v>5647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</row>
    <row r="5640" spans="1:11" x14ac:dyDescent="0.25">
      <c r="A5640" s="5">
        <f>5633</f>
      </c>
      <c r="B5640" s="5" t="s">
        <v>5648</v>
      </c>
      <c r="C5640" s="5">
        <v>0</v>
      </c>
      <c r="D5640" s="5">
        <v>0</v>
      </c>
      <c r="E5640" s="5">
        <v>0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</row>
    <row r="5641" spans="1:11" x14ac:dyDescent="0.25">
      <c r="A5641" s="5">
        <f>5634</f>
      </c>
      <c r="B5641" s="5" t="s">
        <v>5649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</row>
    <row r="5642" spans="1:11" x14ac:dyDescent="0.25">
      <c r="A5642" s="5">
        <f>5635</f>
      </c>
      <c r="B5642" s="5" t="s">
        <v>5650</v>
      </c>
      <c r="C5642" s="5">
        <v>0</v>
      </c>
      <c r="D5642" s="5">
        <v>0</v>
      </c>
      <c r="E5642" s="5">
        <v>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</row>
    <row r="5643" spans="1:11" x14ac:dyDescent="0.25">
      <c r="A5643" s="5">
        <f>5636</f>
      </c>
      <c r="B5643" s="5" t="s">
        <v>5651</v>
      </c>
      <c r="C5643" s="5">
        <v>0</v>
      </c>
      <c r="D5643" s="5">
        <v>0</v>
      </c>
      <c r="E5643" s="5">
        <v>0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</row>
    <row r="5644" spans="1:11" x14ac:dyDescent="0.25">
      <c r="A5644" s="5">
        <f>5637</f>
      </c>
      <c r="B5644" s="5" t="s">
        <v>5652</v>
      </c>
      <c r="C5644" s="5">
        <v>0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</row>
    <row r="5645" spans="1:11" x14ac:dyDescent="0.25">
      <c r="A5645" s="5">
        <f>5638</f>
      </c>
      <c r="B5645" s="5" t="s">
        <v>5653</v>
      </c>
      <c r="C5645" s="5">
        <v>0</v>
      </c>
      <c r="D5645" s="5">
        <v>0</v>
      </c>
      <c r="E5645" s="5">
        <v>0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</row>
    <row r="5646" spans="1:11" x14ac:dyDescent="0.25">
      <c r="A5646" s="5">
        <f>5639</f>
      </c>
      <c r="B5646" s="5" t="s">
        <v>5654</v>
      </c>
      <c r="C5646" s="5">
        <v>0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</row>
    <row r="5647" spans="1:11" x14ac:dyDescent="0.25">
      <c r="A5647" s="5">
        <f>5640</f>
      </c>
      <c r="B5647" s="5" t="s">
        <v>5655</v>
      </c>
      <c r="C5647" s="5">
        <v>0</v>
      </c>
      <c r="D5647" s="5">
        <v>0</v>
      </c>
      <c r="E5647" s="5">
        <v>0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</row>
    <row r="5648" spans="1:11" x14ac:dyDescent="0.25">
      <c r="A5648" s="5">
        <f>5641</f>
      </c>
      <c r="B5648" s="5" t="s">
        <v>5656</v>
      </c>
      <c r="C5648" s="5">
        <v>0</v>
      </c>
      <c r="D5648" s="5">
        <v>0</v>
      </c>
      <c r="E5648" s="5">
        <v>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</row>
    <row r="5649" spans="1:11" x14ac:dyDescent="0.25">
      <c r="A5649" s="5">
        <f>5642</f>
      </c>
      <c r="B5649" s="5" t="s">
        <v>5657</v>
      </c>
      <c r="C5649" s="5">
        <v>0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</row>
    <row r="5650" spans="1:11" x14ac:dyDescent="0.25">
      <c r="A5650" s="5">
        <f>5643</f>
      </c>
      <c r="B5650" s="5" t="s">
        <v>5658</v>
      </c>
      <c r="C5650" s="5">
        <v>0</v>
      </c>
      <c r="D5650" s="5">
        <v>0</v>
      </c>
      <c r="E5650" s="5">
        <v>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</row>
    <row r="5651" spans="1:11" x14ac:dyDescent="0.25">
      <c r="A5651" s="5">
        <f>5644</f>
      </c>
      <c r="B5651" s="5" t="s">
        <v>5659</v>
      </c>
      <c r="C5651" s="5">
        <v>0</v>
      </c>
      <c r="D5651" s="5">
        <v>0</v>
      </c>
      <c r="E5651" s="5">
        <v>0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</row>
    <row r="5652" spans="1:11" x14ac:dyDescent="0.25">
      <c r="A5652" s="5">
        <f>5645</f>
      </c>
      <c r="B5652" s="5" t="s">
        <v>5660</v>
      </c>
      <c r="C5652" s="5">
        <v>0</v>
      </c>
      <c r="D5652" s="5">
        <v>0</v>
      </c>
      <c r="E5652" s="5">
        <v>0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</row>
    <row r="5653" spans="1:11" x14ac:dyDescent="0.25">
      <c r="A5653" s="5">
        <f>5646</f>
      </c>
      <c r="B5653" s="5" t="s">
        <v>5661</v>
      </c>
      <c r="C5653" s="5">
        <v>0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</row>
    <row r="5654" spans="1:11" x14ac:dyDescent="0.25">
      <c r="A5654" s="5">
        <f>5647</f>
      </c>
      <c r="B5654" s="5" t="s">
        <v>5662</v>
      </c>
      <c r="C5654" s="5">
        <v>0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</row>
    <row r="5655" spans="1:11" x14ac:dyDescent="0.25">
      <c r="A5655" s="5">
        <f>5648</f>
      </c>
      <c r="B5655" s="5" t="s">
        <v>5663</v>
      </c>
      <c r="C5655" s="5">
        <v>0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</row>
    <row r="5656" spans="1:11" x14ac:dyDescent="0.25">
      <c r="A5656" s="5">
        <f>5649</f>
      </c>
      <c r="B5656" s="5" t="s">
        <v>5664</v>
      </c>
      <c r="C5656" s="5">
        <v>0</v>
      </c>
      <c r="D5656" s="5">
        <v>0</v>
      </c>
      <c r="E5656" s="5">
        <v>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</row>
    <row r="5657" spans="1:11" x14ac:dyDescent="0.25">
      <c r="A5657" s="5">
        <f>5650</f>
      </c>
      <c r="B5657" s="5" t="s">
        <v>5665</v>
      </c>
      <c r="C5657" s="5">
        <v>0</v>
      </c>
      <c r="D5657" s="5">
        <v>0</v>
      </c>
      <c r="E5657" s="5">
        <v>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</row>
    <row r="5658" spans="1:11" x14ac:dyDescent="0.25">
      <c r="A5658" s="5">
        <f>5651</f>
      </c>
      <c r="B5658" s="5" t="s">
        <v>5666</v>
      </c>
      <c r="C5658" s="5">
        <v>0</v>
      </c>
      <c r="D5658" s="5">
        <v>0</v>
      </c>
      <c r="E5658" s="5">
        <v>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</row>
    <row r="5659" spans="1:11" x14ac:dyDescent="0.25">
      <c r="A5659" s="5">
        <f>5652</f>
      </c>
      <c r="B5659" s="5" t="s">
        <v>5667</v>
      </c>
      <c r="C5659" s="5">
        <v>0</v>
      </c>
      <c r="D5659" s="5">
        <v>0</v>
      </c>
      <c r="E5659" s="5">
        <v>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</row>
    <row r="5660" spans="1:11" x14ac:dyDescent="0.25">
      <c r="A5660" s="5">
        <f>5653</f>
      </c>
      <c r="B5660" s="5" t="s">
        <v>5668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</row>
    <row r="5661" spans="1:11" x14ac:dyDescent="0.25">
      <c r="A5661" s="5">
        <f>5654</f>
      </c>
      <c r="B5661" s="5" t="s">
        <v>5669</v>
      </c>
      <c r="C5661" s="5">
        <v>0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</row>
    <row r="5662" spans="1:11" x14ac:dyDescent="0.25">
      <c r="A5662" s="5">
        <f>5655</f>
      </c>
      <c r="B5662" s="5" t="s">
        <v>5670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</row>
    <row r="5663" spans="1:11" x14ac:dyDescent="0.25">
      <c r="A5663" s="5">
        <f>5656</f>
      </c>
      <c r="B5663" s="5" t="s">
        <v>5671</v>
      </c>
      <c r="C5663" s="5">
        <v>0</v>
      </c>
      <c r="D5663" s="5">
        <v>0</v>
      </c>
      <c r="E5663" s="5">
        <v>0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</row>
    <row r="5664" spans="1:11" x14ac:dyDescent="0.25">
      <c r="A5664" s="5">
        <f>5657</f>
      </c>
      <c r="B5664" s="5" t="s">
        <v>5672</v>
      </c>
      <c r="C5664" s="5">
        <v>0</v>
      </c>
      <c r="D5664" s="5">
        <v>0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</row>
    <row r="5665" spans="1:11" x14ac:dyDescent="0.25">
      <c r="A5665" s="5">
        <f>5658</f>
      </c>
      <c r="B5665" s="5" t="s">
        <v>5673</v>
      </c>
      <c r="C5665" s="5">
        <v>0</v>
      </c>
      <c r="D5665" s="5">
        <v>0</v>
      </c>
      <c r="E5665" s="5">
        <v>0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</row>
    <row r="5666" spans="1:11" x14ac:dyDescent="0.25">
      <c r="A5666" s="5">
        <f>5659</f>
      </c>
      <c r="B5666" s="5" t="s">
        <v>5674</v>
      </c>
      <c r="C5666" s="5">
        <v>0</v>
      </c>
      <c r="D5666" s="5">
        <v>0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</row>
    <row r="5667" spans="1:11" x14ac:dyDescent="0.25">
      <c r="A5667" s="5">
        <f>5660</f>
      </c>
      <c r="B5667" s="5" t="s">
        <v>5675</v>
      </c>
      <c r="C5667" s="5">
        <v>0</v>
      </c>
      <c r="D5667" s="5">
        <v>0</v>
      </c>
      <c r="E5667" s="5">
        <v>0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</row>
    <row r="5668" spans="1:11" x14ac:dyDescent="0.25">
      <c r="A5668" s="5">
        <f>5661</f>
      </c>
      <c r="B5668" s="5" t="s">
        <v>5676</v>
      </c>
      <c r="C5668" s="5">
        <v>0</v>
      </c>
      <c r="D5668" s="5">
        <v>0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</row>
    <row r="5669" spans="1:11" x14ac:dyDescent="0.25">
      <c r="A5669" s="5">
        <f>5662</f>
      </c>
      <c r="B5669" s="5" t="s">
        <v>5677</v>
      </c>
      <c r="C5669" s="5">
        <v>0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</row>
    <row r="5670" spans="1:11" x14ac:dyDescent="0.25">
      <c r="A5670" s="5">
        <f>5663</f>
      </c>
      <c r="B5670" s="5" t="s">
        <v>5678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</row>
    <row r="5671" spans="1:11" x14ac:dyDescent="0.25">
      <c r="A5671" s="5">
        <f>5664</f>
      </c>
      <c r="B5671" s="5" t="s">
        <v>5679</v>
      </c>
      <c r="C5671" s="5">
        <v>0</v>
      </c>
      <c r="D5671" s="5">
        <v>0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</row>
    <row r="5672" spans="1:11" x14ac:dyDescent="0.25">
      <c r="A5672" s="5">
        <f>5665</f>
      </c>
      <c r="B5672" s="5" t="s">
        <v>5680</v>
      </c>
      <c r="C5672" s="5">
        <v>0</v>
      </c>
      <c r="D5672" s="5">
        <v>0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</row>
    <row r="5673" spans="1:11" x14ac:dyDescent="0.25">
      <c r="A5673" s="5">
        <f>5666</f>
      </c>
      <c r="B5673" s="5" t="s">
        <v>5681</v>
      </c>
      <c r="C5673" s="5">
        <v>0</v>
      </c>
      <c r="D5673" s="5">
        <v>0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</row>
    <row r="5674" spans="1:11" x14ac:dyDescent="0.25">
      <c r="A5674" s="5">
        <f>5667</f>
      </c>
      <c r="B5674" s="5" t="s">
        <v>5682</v>
      </c>
      <c r="C5674" s="5">
        <v>0</v>
      </c>
      <c r="D5674" s="5">
        <v>0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</row>
    <row r="5675" spans="1:11" x14ac:dyDescent="0.25">
      <c r="A5675" s="5">
        <f>5668</f>
      </c>
      <c r="B5675" s="5" t="s">
        <v>5683</v>
      </c>
      <c r="C5675" s="5">
        <v>0</v>
      </c>
      <c r="D5675" s="5">
        <v>0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</row>
    <row r="5676" spans="1:11" x14ac:dyDescent="0.25">
      <c r="A5676" s="5">
        <f>5669</f>
      </c>
      <c r="B5676" s="5" t="s">
        <v>5684</v>
      </c>
      <c r="C5676" s="5">
        <v>0</v>
      </c>
      <c r="D5676" s="5">
        <v>0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</row>
    <row r="5677" spans="1:11" x14ac:dyDescent="0.25">
      <c r="A5677" s="5">
        <f>5670</f>
      </c>
      <c r="B5677" s="5" t="s">
        <v>5685</v>
      </c>
      <c r="C5677" s="5">
        <v>0</v>
      </c>
      <c r="D5677" s="5">
        <v>0</v>
      </c>
      <c r="E5677" s="5">
        <v>0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</row>
    <row r="5678" spans="1:11" x14ac:dyDescent="0.25">
      <c r="A5678" s="5">
        <f>5671</f>
      </c>
      <c r="B5678" s="5" t="s">
        <v>5686</v>
      </c>
      <c r="C5678" s="5">
        <v>0</v>
      </c>
      <c r="D5678" s="5">
        <v>0</v>
      </c>
      <c r="E5678" s="5">
        <v>0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</row>
    <row r="5679" spans="1:11" x14ac:dyDescent="0.25">
      <c r="A5679" s="5">
        <f>5672</f>
      </c>
      <c r="B5679" s="5" t="s">
        <v>5687</v>
      </c>
      <c r="C5679" s="5">
        <v>0</v>
      </c>
      <c r="D5679" s="5">
        <v>0</v>
      </c>
      <c r="E5679" s="5">
        <v>0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</row>
    <row r="5680" spans="1:11" x14ac:dyDescent="0.25">
      <c r="A5680" s="5">
        <f>5673</f>
      </c>
      <c r="B5680" s="5" t="s">
        <v>5688</v>
      </c>
      <c r="C5680" s="5">
        <v>0</v>
      </c>
      <c r="D5680" s="5">
        <v>0</v>
      </c>
      <c r="E5680" s="5">
        <v>0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</row>
    <row r="5681" spans="1:11" x14ac:dyDescent="0.25">
      <c r="A5681" s="5">
        <f>5674</f>
      </c>
      <c r="B5681" s="5" t="s">
        <v>5689</v>
      </c>
      <c r="C5681" s="5">
        <v>0</v>
      </c>
      <c r="D5681" s="5">
        <v>0</v>
      </c>
      <c r="E5681" s="5">
        <v>0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</row>
    <row r="5682" spans="1:11" x14ac:dyDescent="0.25">
      <c r="A5682" s="5">
        <f>5675</f>
      </c>
      <c r="B5682" s="5" t="s">
        <v>5690</v>
      </c>
      <c r="C5682" s="5">
        <v>0</v>
      </c>
      <c r="D5682" s="5">
        <v>0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</row>
    <row r="5683" spans="1:11" x14ac:dyDescent="0.25">
      <c r="A5683" s="5">
        <f>5676</f>
      </c>
      <c r="B5683" s="5" t="s">
        <v>5691</v>
      </c>
      <c r="C5683" s="5">
        <v>0</v>
      </c>
      <c r="D5683" s="5">
        <v>0</v>
      </c>
      <c r="E5683" s="5">
        <v>0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</row>
    <row r="5684" spans="1:11" x14ac:dyDescent="0.25">
      <c r="A5684" s="5">
        <f>5677</f>
      </c>
      <c r="B5684" s="5" t="s">
        <v>5692</v>
      </c>
      <c r="C5684" s="5">
        <v>0</v>
      </c>
      <c r="D5684" s="5">
        <v>0</v>
      </c>
      <c r="E5684" s="5">
        <v>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</row>
    <row r="5685" spans="1:11" x14ac:dyDescent="0.25">
      <c r="A5685" s="5">
        <f>5678</f>
      </c>
      <c r="B5685" s="5" t="s">
        <v>5693</v>
      </c>
      <c r="C5685" s="5">
        <v>0</v>
      </c>
      <c r="D5685" s="5">
        <v>0</v>
      </c>
      <c r="E5685" s="5">
        <v>0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</row>
    <row r="5686" spans="1:11" x14ac:dyDescent="0.25">
      <c r="A5686" s="5">
        <f>5679</f>
      </c>
      <c r="B5686" s="5" t="s">
        <v>5694</v>
      </c>
      <c r="C5686" s="5">
        <v>0</v>
      </c>
      <c r="D5686" s="5">
        <v>0</v>
      </c>
      <c r="E5686" s="5">
        <v>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</row>
    <row r="5687" spans="1:11" x14ac:dyDescent="0.25">
      <c r="A5687" s="5">
        <f>5680</f>
      </c>
      <c r="B5687" s="5" t="s">
        <v>5695</v>
      </c>
      <c r="C5687" s="5">
        <v>0</v>
      </c>
      <c r="D5687" s="5">
        <v>0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</row>
    <row r="5688" spans="1:11" x14ac:dyDescent="0.25">
      <c r="A5688" s="5">
        <f>5681</f>
      </c>
      <c r="B5688" s="5" t="s">
        <v>5696</v>
      </c>
      <c r="C5688" s="5">
        <v>0</v>
      </c>
      <c r="D5688" s="5">
        <v>0</v>
      </c>
      <c r="E5688" s="5">
        <v>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</row>
    <row r="5689" spans="1:11" x14ac:dyDescent="0.25">
      <c r="A5689" s="5">
        <f>5682</f>
      </c>
      <c r="B5689" s="5" t="s">
        <v>5697</v>
      </c>
      <c r="C5689" s="5">
        <v>0</v>
      </c>
      <c r="D5689" s="5">
        <v>0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</row>
    <row r="5690" spans="1:11" x14ac:dyDescent="0.25">
      <c r="A5690" s="5">
        <f>5683</f>
      </c>
      <c r="B5690" s="5" t="s">
        <v>5698</v>
      </c>
      <c r="C5690" s="5">
        <v>0</v>
      </c>
      <c r="D5690" s="5">
        <v>0</v>
      </c>
      <c r="E5690" s="5">
        <v>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</row>
    <row r="5691" spans="1:11" x14ac:dyDescent="0.25">
      <c r="A5691" s="5">
        <f>5684</f>
      </c>
      <c r="B5691" s="5" t="s">
        <v>5699</v>
      </c>
      <c r="C5691" s="5">
        <v>0</v>
      </c>
      <c r="D5691" s="5">
        <v>0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</row>
    <row r="5692" spans="1:11" x14ac:dyDescent="0.25">
      <c r="A5692" s="5">
        <f>5685</f>
      </c>
      <c r="B5692" s="5" t="s">
        <v>5700</v>
      </c>
      <c r="C5692" s="5">
        <v>0</v>
      </c>
      <c r="D5692" s="5">
        <v>0</v>
      </c>
      <c r="E5692" s="5">
        <v>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</row>
    <row r="5693" spans="1:11" x14ac:dyDescent="0.25">
      <c r="A5693" s="5">
        <f>5686</f>
      </c>
      <c r="B5693" s="5" t="s">
        <v>5701</v>
      </c>
      <c r="C5693" s="5">
        <v>0</v>
      </c>
      <c r="D5693" s="5">
        <v>0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</row>
    <row r="5694" spans="1:11" x14ac:dyDescent="0.25">
      <c r="A5694" s="5">
        <f>5687</f>
      </c>
      <c r="B5694" s="5" t="s">
        <v>5702</v>
      </c>
      <c r="C5694" s="5">
        <v>0</v>
      </c>
      <c r="D5694" s="5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</row>
    <row r="5695" spans="1:11" x14ac:dyDescent="0.25">
      <c r="A5695" s="5">
        <f>5688</f>
      </c>
      <c r="B5695" s="5" t="s">
        <v>5703</v>
      </c>
      <c r="C5695" s="5">
        <v>0</v>
      </c>
      <c r="D5695" s="5">
        <v>0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</row>
    <row r="5696" spans="1:11" x14ac:dyDescent="0.25">
      <c r="A5696" s="5">
        <f>5689</f>
      </c>
      <c r="B5696" s="5" t="s">
        <v>5704</v>
      </c>
      <c r="C5696" s="5">
        <v>0</v>
      </c>
      <c r="D5696" s="5">
        <v>0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</row>
    <row r="5697" spans="1:11" x14ac:dyDescent="0.25">
      <c r="A5697" s="5">
        <f>5690</f>
      </c>
      <c r="B5697" s="5" t="s">
        <v>5705</v>
      </c>
      <c r="C5697" s="5">
        <v>0</v>
      </c>
      <c r="D5697" s="5">
        <v>0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</row>
    <row r="5698" spans="1:11" x14ac:dyDescent="0.25">
      <c r="A5698" s="5">
        <f>5691</f>
      </c>
      <c r="B5698" s="5" t="s">
        <v>5706</v>
      </c>
      <c r="C5698" s="5">
        <v>0</v>
      </c>
      <c r="D5698" s="5">
        <v>0</v>
      </c>
      <c r="E5698" s="5">
        <v>0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</row>
    <row r="5699" spans="1:11" x14ac:dyDescent="0.25">
      <c r="A5699" s="5">
        <f>5692</f>
      </c>
      <c r="B5699" s="5" t="s">
        <v>5707</v>
      </c>
      <c r="C5699" s="5">
        <v>0</v>
      </c>
      <c r="D5699" s="5">
        <v>0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</row>
    <row r="5700" spans="1:11" x14ac:dyDescent="0.25">
      <c r="A5700" s="5">
        <f>5693</f>
      </c>
      <c r="B5700" s="5" t="s">
        <v>5708</v>
      </c>
      <c r="C5700" s="5">
        <v>0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</row>
    <row r="5701" spans="1:11" x14ac:dyDescent="0.25">
      <c r="A5701" s="5">
        <f>5694</f>
      </c>
      <c r="B5701" s="5" t="s">
        <v>5709</v>
      </c>
      <c r="C5701" s="5">
        <v>0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</row>
    <row r="5702" spans="1:11" x14ac:dyDescent="0.25">
      <c r="A5702" s="5">
        <f>5695</f>
      </c>
      <c r="B5702" s="5" t="s">
        <v>5710</v>
      </c>
      <c r="C5702" s="5">
        <v>0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</row>
    <row r="5703" spans="1:11" x14ac:dyDescent="0.25">
      <c r="A5703" s="5">
        <f>5696</f>
      </c>
      <c r="B5703" s="5" t="s">
        <v>5711</v>
      </c>
      <c r="C5703" s="5">
        <v>0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</row>
    <row r="5704" spans="1:11" x14ac:dyDescent="0.25">
      <c r="A5704" s="5">
        <f>5697</f>
      </c>
      <c r="B5704" s="5" t="s">
        <v>5712</v>
      </c>
      <c r="C5704" s="5">
        <v>0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</row>
    <row r="5705" spans="1:11" x14ac:dyDescent="0.25">
      <c r="A5705" s="5">
        <f>5698</f>
      </c>
      <c r="B5705" s="5" t="s">
        <v>5713</v>
      </c>
      <c r="C5705" s="5">
        <v>0</v>
      </c>
      <c r="D5705" s="5">
        <v>0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</row>
    <row r="5706" spans="1:11" x14ac:dyDescent="0.25">
      <c r="A5706" s="5">
        <f>5699</f>
      </c>
      <c r="B5706" s="5" t="s">
        <v>5714</v>
      </c>
      <c r="C5706" s="5">
        <v>0</v>
      </c>
      <c r="D5706" s="5">
        <v>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</row>
    <row r="5707" spans="1:11" x14ac:dyDescent="0.25">
      <c r="A5707" s="5">
        <f>5700</f>
      </c>
      <c r="B5707" s="5" t="s">
        <v>5715</v>
      </c>
      <c r="C5707" s="5">
        <v>0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</row>
    <row r="5708" spans="1:11" x14ac:dyDescent="0.25">
      <c r="A5708" s="5">
        <f>5701</f>
      </c>
      <c r="B5708" s="5" t="s">
        <v>5716</v>
      </c>
      <c r="C5708" s="5">
        <v>0</v>
      </c>
      <c r="D5708" s="5">
        <v>0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</row>
    <row r="5709" spans="1:11" x14ac:dyDescent="0.25">
      <c r="A5709" s="5">
        <f>5702</f>
      </c>
      <c r="B5709" s="5" t="s">
        <v>5717</v>
      </c>
      <c r="C5709" s="5">
        <v>0</v>
      </c>
      <c r="D5709" s="5">
        <v>0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</row>
    <row r="5710" spans="1:11" x14ac:dyDescent="0.25">
      <c r="A5710" s="5">
        <f>5703</f>
      </c>
      <c r="B5710" s="5" t="s">
        <v>5718</v>
      </c>
      <c r="C5710" s="5">
        <v>0</v>
      </c>
      <c r="D5710" s="5">
        <v>0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</row>
    <row r="5711" spans="1:11" x14ac:dyDescent="0.25">
      <c r="A5711" s="5">
        <f>5704</f>
      </c>
      <c r="B5711" s="5" t="s">
        <v>5719</v>
      </c>
      <c r="C5711" s="5">
        <v>0</v>
      </c>
      <c r="D5711" s="5">
        <v>0</v>
      </c>
      <c r="E5711" s="5">
        <v>0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</row>
    <row r="5712" spans="1:11" x14ac:dyDescent="0.25">
      <c r="A5712" s="5">
        <f>5705</f>
      </c>
      <c r="B5712" s="5" t="s">
        <v>5720</v>
      </c>
      <c r="C5712" s="5">
        <v>0</v>
      </c>
      <c r="D5712" s="5">
        <v>0</v>
      </c>
      <c r="E5712" s="5">
        <v>0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</row>
    <row r="5713" spans="1:11" x14ac:dyDescent="0.25">
      <c r="A5713" s="5">
        <f>5706</f>
      </c>
      <c r="B5713" s="5" t="s">
        <v>5721</v>
      </c>
      <c r="C5713" s="5">
        <v>0</v>
      </c>
      <c r="D5713" s="5">
        <v>0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</row>
    <row r="5714" spans="1:11" x14ac:dyDescent="0.25">
      <c r="A5714" s="5">
        <f>5707</f>
      </c>
      <c r="B5714" s="5" t="s">
        <v>5722</v>
      </c>
      <c r="C5714" s="5">
        <v>0</v>
      </c>
      <c r="D5714" s="5">
        <v>0</v>
      </c>
      <c r="E5714" s="5">
        <v>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</row>
    <row r="5715" spans="1:11" x14ac:dyDescent="0.25">
      <c r="A5715" s="5">
        <f>5708</f>
      </c>
      <c r="B5715" s="5" t="s">
        <v>5723</v>
      </c>
      <c r="C5715" s="5">
        <v>0</v>
      </c>
      <c r="D5715" s="5">
        <v>0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</row>
    <row r="5716" spans="1:11" x14ac:dyDescent="0.25">
      <c r="A5716" s="5">
        <f>5709</f>
      </c>
      <c r="B5716" s="5" t="s">
        <v>5724</v>
      </c>
      <c r="C5716" s="5">
        <v>0</v>
      </c>
      <c r="D5716" s="5">
        <v>0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</row>
    <row r="5717" spans="1:11" x14ac:dyDescent="0.25">
      <c r="A5717" s="5">
        <f>5710</f>
      </c>
      <c r="B5717" s="5" t="s">
        <v>5725</v>
      </c>
      <c r="C5717" s="5">
        <v>0</v>
      </c>
      <c r="D5717" s="5">
        <v>0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</row>
    <row r="5718" spans="1:11" x14ac:dyDescent="0.25">
      <c r="A5718" s="5">
        <f>5711</f>
      </c>
      <c r="B5718" s="5" t="s">
        <v>5726</v>
      </c>
      <c r="C5718" s="5">
        <v>0</v>
      </c>
      <c r="D5718" s="5">
        <v>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</row>
    <row r="5719" spans="1:11" x14ac:dyDescent="0.25">
      <c r="A5719" s="5">
        <f>5712</f>
      </c>
      <c r="B5719" s="5" t="s">
        <v>5727</v>
      </c>
      <c r="C5719" s="5">
        <v>0</v>
      </c>
      <c r="D5719" s="5">
        <v>0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</row>
    <row r="5720" spans="1:11" x14ac:dyDescent="0.25">
      <c r="A5720" s="5">
        <f>5713</f>
      </c>
      <c r="B5720" s="5" t="s">
        <v>5728</v>
      </c>
      <c r="C5720" s="5">
        <v>0</v>
      </c>
      <c r="D5720" s="5">
        <v>0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</row>
    <row r="5721" spans="1:11" x14ac:dyDescent="0.25">
      <c r="A5721" s="5">
        <f>5714</f>
      </c>
      <c r="B5721" s="5" t="s">
        <v>5729</v>
      </c>
      <c r="C5721" s="5">
        <v>0</v>
      </c>
      <c r="D5721" s="5">
        <v>0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</row>
    <row r="5722" spans="1:11" x14ac:dyDescent="0.25">
      <c r="A5722" s="5">
        <f>5715</f>
      </c>
      <c r="B5722" s="5" t="s">
        <v>5730</v>
      </c>
      <c r="C5722" s="5">
        <v>0</v>
      </c>
      <c r="D5722" s="5">
        <v>0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</row>
    <row r="5723" spans="1:11" x14ac:dyDescent="0.25">
      <c r="A5723" s="5">
        <f>5716</f>
      </c>
      <c r="B5723" s="5" t="s">
        <v>5731</v>
      </c>
      <c r="C5723" s="5">
        <v>0</v>
      </c>
      <c r="D5723" s="5">
        <v>0</v>
      </c>
      <c r="E5723" s="5">
        <v>0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</row>
    <row r="5724" spans="1:11" x14ac:dyDescent="0.25">
      <c r="A5724" s="5">
        <f>5717</f>
      </c>
      <c r="B5724" s="5" t="s">
        <v>5732</v>
      </c>
      <c r="C5724" s="5">
        <v>0</v>
      </c>
      <c r="D5724" s="5">
        <v>0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</row>
    <row r="5725" spans="1:11" x14ac:dyDescent="0.25">
      <c r="A5725" s="5">
        <f>5718</f>
      </c>
      <c r="B5725" s="5" t="s">
        <v>5733</v>
      </c>
      <c r="C5725" s="5">
        <v>0</v>
      </c>
      <c r="D5725" s="5">
        <v>0</v>
      </c>
      <c r="E5725" s="5">
        <v>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</row>
    <row r="5726" spans="1:11" x14ac:dyDescent="0.25">
      <c r="A5726" s="5">
        <f>5719</f>
      </c>
      <c r="B5726" s="5" t="s">
        <v>5734</v>
      </c>
      <c r="C5726" s="5">
        <v>0</v>
      </c>
      <c r="D5726" s="5">
        <v>0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</row>
    <row r="5727" spans="1:11" x14ac:dyDescent="0.25">
      <c r="A5727" s="5">
        <f>5720</f>
      </c>
      <c r="B5727" s="5" t="s">
        <v>5735</v>
      </c>
      <c r="C5727" s="5">
        <v>0</v>
      </c>
      <c r="D5727" s="5">
        <v>0</v>
      </c>
      <c r="E5727" s="5">
        <v>0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</row>
    <row r="5728" spans="1:11" x14ac:dyDescent="0.25">
      <c r="A5728" s="5">
        <f>5721</f>
      </c>
      <c r="B5728" s="5" t="s">
        <v>5736</v>
      </c>
      <c r="C5728" s="5">
        <v>0</v>
      </c>
      <c r="D5728" s="5">
        <v>0</v>
      </c>
      <c r="E5728" s="5">
        <v>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</row>
    <row r="5729" spans="1:11" x14ac:dyDescent="0.25">
      <c r="A5729" s="5">
        <f>5722</f>
      </c>
      <c r="B5729" s="5" t="s">
        <v>5737</v>
      </c>
      <c r="C5729" s="5">
        <v>0</v>
      </c>
      <c r="D5729" s="5">
        <v>0</v>
      </c>
      <c r="E5729" s="5">
        <v>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</row>
    <row r="5730" spans="1:11" x14ac:dyDescent="0.25">
      <c r="A5730" s="5">
        <f>5723</f>
      </c>
      <c r="B5730" s="5" t="s">
        <v>5738</v>
      </c>
      <c r="C5730" s="5">
        <v>0</v>
      </c>
      <c r="D5730" s="5">
        <v>0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</row>
    <row r="5731" spans="1:11" x14ac:dyDescent="0.25">
      <c r="A5731" s="5">
        <f>5724</f>
      </c>
      <c r="B5731" s="5" t="s">
        <v>5739</v>
      </c>
      <c r="C5731" s="5">
        <v>0</v>
      </c>
      <c r="D5731" s="5">
        <v>0</v>
      </c>
      <c r="E5731" s="5">
        <v>0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</row>
    <row r="5732" spans="1:11" x14ac:dyDescent="0.25">
      <c r="A5732" s="5">
        <f>5725</f>
      </c>
      <c r="B5732" s="5" t="s">
        <v>5740</v>
      </c>
      <c r="C5732" s="5">
        <v>0</v>
      </c>
      <c r="D5732" s="5">
        <v>0</v>
      </c>
      <c r="E5732" s="5">
        <v>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</row>
    <row r="5733" spans="1:11" x14ac:dyDescent="0.25">
      <c r="A5733" s="5">
        <f>5726</f>
      </c>
      <c r="B5733" s="5" t="s">
        <v>5741</v>
      </c>
      <c r="C5733" s="5">
        <v>0</v>
      </c>
      <c r="D5733" s="5">
        <v>0</v>
      </c>
      <c r="E5733" s="5">
        <v>0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</row>
    <row r="5734" spans="1:11" x14ac:dyDescent="0.25">
      <c r="A5734" s="5">
        <f>5727</f>
      </c>
      <c r="B5734" s="5" t="s">
        <v>5742</v>
      </c>
      <c r="C5734" s="5">
        <v>0</v>
      </c>
      <c r="D5734" s="5">
        <v>0</v>
      </c>
      <c r="E5734" s="5">
        <v>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</row>
    <row r="5735" spans="1:11" x14ac:dyDescent="0.25">
      <c r="A5735" s="5">
        <f>5728</f>
      </c>
      <c r="B5735" s="5" t="s">
        <v>5743</v>
      </c>
      <c r="C5735" s="5">
        <v>0</v>
      </c>
      <c r="D5735" s="5">
        <v>0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</row>
    <row r="5736" spans="1:11" x14ac:dyDescent="0.25">
      <c r="A5736" s="5">
        <f>5729</f>
      </c>
      <c r="B5736" s="5" t="s">
        <v>5744</v>
      </c>
      <c r="C5736" s="5">
        <v>0</v>
      </c>
      <c r="D5736" s="5">
        <v>0</v>
      </c>
      <c r="E5736" s="5">
        <v>0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</row>
    <row r="5737" spans="1:11" x14ac:dyDescent="0.25">
      <c r="A5737" s="5">
        <f>5730</f>
      </c>
      <c r="B5737" s="5" t="s">
        <v>5745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</row>
    <row r="5738" spans="1:11" x14ac:dyDescent="0.25">
      <c r="A5738" s="5">
        <f>5731</f>
      </c>
      <c r="B5738" s="5" t="s">
        <v>5746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</row>
    <row r="5739" spans="1:11" x14ac:dyDescent="0.25">
      <c r="A5739" s="5">
        <f>5732</f>
      </c>
      <c r="B5739" s="5" t="s">
        <v>5747</v>
      </c>
      <c r="C5739" s="5">
        <v>0</v>
      </c>
      <c r="D5739" s="5">
        <v>0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</row>
    <row r="5740" spans="1:11" x14ac:dyDescent="0.25">
      <c r="A5740" s="5">
        <f>5733</f>
      </c>
      <c r="B5740" s="5" t="s">
        <v>5748</v>
      </c>
      <c r="C5740" s="5">
        <v>0</v>
      </c>
      <c r="D5740" s="5">
        <v>0</v>
      </c>
      <c r="E5740" s="5">
        <v>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</row>
    <row r="5741" spans="1:11" x14ac:dyDescent="0.25">
      <c r="A5741" s="5">
        <f>5734</f>
      </c>
      <c r="B5741" s="5" t="s">
        <v>5749</v>
      </c>
      <c r="C5741" s="5">
        <v>0</v>
      </c>
      <c r="D5741" s="5">
        <v>0</v>
      </c>
      <c r="E5741" s="5">
        <v>0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</row>
    <row r="5742" spans="1:11" x14ac:dyDescent="0.25">
      <c r="A5742" s="5">
        <f>5735</f>
      </c>
      <c r="B5742" s="5" t="s">
        <v>5750</v>
      </c>
      <c r="C5742" s="5">
        <v>0</v>
      </c>
      <c r="D5742" s="5">
        <v>0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</row>
    <row r="5743" spans="1:11" x14ac:dyDescent="0.25">
      <c r="A5743" s="5">
        <f>5736</f>
      </c>
      <c r="B5743" s="5" t="s">
        <v>5751</v>
      </c>
      <c r="C5743" s="5">
        <v>0</v>
      </c>
      <c r="D5743" s="5">
        <v>0</v>
      </c>
      <c r="E5743" s="5">
        <v>0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</row>
    <row r="5744" spans="1:11" x14ac:dyDescent="0.25">
      <c r="A5744" s="5">
        <f>5737</f>
      </c>
      <c r="B5744" s="5" t="s">
        <v>5752</v>
      </c>
      <c r="C5744" s="5">
        <v>0</v>
      </c>
      <c r="D5744" s="5">
        <v>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</row>
    <row r="5745" spans="1:11" x14ac:dyDescent="0.25">
      <c r="A5745" s="5">
        <f>5738</f>
      </c>
      <c r="B5745" s="5" t="s">
        <v>5753</v>
      </c>
      <c r="C5745" s="5">
        <v>0</v>
      </c>
      <c r="D5745" s="5">
        <v>0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</row>
    <row r="5746" spans="1:11" x14ac:dyDescent="0.25">
      <c r="A5746" s="5">
        <f>5739</f>
      </c>
      <c r="B5746" s="5" t="s">
        <v>5754</v>
      </c>
      <c r="C5746" s="5">
        <v>0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</row>
    <row r="5747" spans="1:11" x14ac:dyDescent="0.25">
      <c r="A5747" s="5">
        <f>5740</f>
      </c>
      <c r="B5747" s="5" t="s">
        <v>5755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</row>
    <row r="5748" spans="1:11" x14ac:dyDescent="0.25">
      <c r="A5748" s="5">
        <f>5741</f>
      </c>
      <c r="B5748" s="5" t="s">
        <v>5756</v>
      </c>
      <c r="C5748" s="5">
        <v>0</v>
      </c>
      <c r="D5748" s="5">
        <v>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</row>
    <row r="5749" spans="1:11" x14ac:dyDescent="0.25">
      <c r="A5749" s="5">
        <f>5742</f>
      </c>
      <c r="B5749" s="5" t="s">
        <v>5757</v>
      </c>
      <c r="C5749" s="5">
        <v>0</v>
      </c>
      <c r="D5749" s="5">
        <v>0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</row>
    <row r="5750" spans="1:11" x14ac:dyDescent="0.25">
      <c r="A5750" s="5">
        <f>5743</f>
      </c>
      <c r="B5750" s="5" t="s">
        <v>5758</v>
      </c>
      <c r="C5750" s="5">
        <v>0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</row>
    <row r="5751" spans="1:11" x14ac:dyDescent="0.25">
      <c r="A5751" s="5">
        <f>5744</f>
      </c>
      <c r="B5751" s="5" t="s">
        <v>5759</v>
      </c>
      <c r="C5751" s="5">
        <v>0</v>
      </c>
      <c r="D5751" s="5">
        <v>0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</row>
    <row r="5752" spans="1:11" x14ac:dyDescent="0.25">
      <c r="A5752" s="5">
        <f>5745</f>
      </c>
      <c r="B5752" s="5" t="s">
        <v>5760</v>
      </c>
      <c r="C5752" s="5">
        <v>0</v>
      </c>
      <c r="D5752" s="5">
        <v>0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</row>
    <row r="5753" spans="1:11" x14ac:dyDescent="0.25">
      <c r="A5753" s="5">
        <f>5746</f>
      </c>
      <c r="B5753" s="5" t="s">
        <v>5761</v>
      </c>
      <c r="C5753" s="5">
        <v>0</v>
      </c>
      <c r="D5753" s="5">
        <v>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</row>
    <row r="5754" spans="1:11" x14ac:dyDescent="0.25">
      <c r="A5754" s="5">
        <f>5747</f>
      </c>
      <c r="B5754" s="5" t="s">
        <v>5762</v>
      </c>
      <c r="C5754" s="5">
        <v>0</v>
      </c>
      <c r="D5754" s="5">
        <v>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</row>
    <row r="5755" spans="1:11" x14ac:dyDescent="0.25">
      <c r="A5755" s="5">
        <f>5748</f>
      </c>
      <c r="B5755" s="5" t="s">
        <v>5763</v>
      </c>
      <c r="C5755" s="5">
        <v>0</v>
      </c>
      <c r="D5755" s="5">
        <v>0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</row>
    <row r="5756" spans="1:11" x14ac:dyDescent="0.25">
      <c r="A5756" s="5">
        <f>5749</f>
      </c>
      <c r="B5756" s="5" t="s">
        <v>5764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</row>
    <row r="5757" spans="1:11" x14ac:dyDescent="0.25">
      <c r="A5757" s="5">
        <f>5750</f>
      </c>
      <c r="B5757" s="5" t="s">
        <v>5765</v>
      </c>
      <c r="C5757" s="5">
        <v>0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</row>
    <row r="5758" spans="1:11" x14ac:dyDescent="0.25">
      <c r="A5758" s="5">
        <f>5751</f>
      </c>
      <c r="B5758" s="5" t="s">
        <v>5766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</row>
    <row r="5759" spans="1:11" x14ac:dyDescent="0.25">
      <c r="A5759" s="5">
        <f>5752</f>
      </c>
      <c r="B5759" s="5" t="s">
        <v>5767</v>
      </c>
      <c r="C5759" s="5">
        <v>0</v>
      </c>
      <c r="D5759" s="5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</row>
    <row r="5760" spans="1:11" x14ac:dyDescent="0.25">
      <c r="A5760" s="5">
        <f>5753</f>
      </c>
      <c r="B5760" s="5" t="s">
        <v>5768</v>
      </c>
      <c r="C5760" s="5">
        <v>0</v>
      </c>
      <c r="D5760" s="5">
        <v>0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</row>
    <row r="5761" spans="1:11" x14ac:dyDescent="0.25">
      <c r="A5761" s="5">
        <f>5754</f>
      </c>
      <c r="B5761" s="5" t="s">
        <v>5769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</row>
    <row r="5762" spans="1:11" x14ac:dyDescent="0.25">
      <c r="A5762" s="5">
        <f>5755</f>
      </c>
      <c r="B5762" s="5" t="s">
        <v>5770</v>
      </c>
      <c r="C5762" s="5">
        <v>0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</row>
    <row r="5763" spans="1:11" x14ac:dyDescent="0.25">
      <c r="A5763" s="5">
        <f>5756</f>
      </c>
      <c r="B5763" s="5" t="s">
        <v>5771</v>
      </c>
      <c r="C5763" s="5">
        <v>0</v>
      </c>
      <c r="D5763" s="5">
        <v>0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</row>
    <row r="5764" spans="1:11" x14ac:dyDescent="0.25">
      <c r="A5764" s="5">
        <f>5757</f>
      </c>
      <c r="B5764" s="5" t="s">
        <v>5772</v>
      </c>
      <c r="C5764" s="5">
        <v>0</v>
      </c>
      <c r="D5764" s="5">
        <v>0</v>
      </c>
      <c r="E5764" s="5">
        <v>0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</row>
    <row r="5765" spans="1:11" x14ac:dyDescent="0.25">
      <c r="A5765" s="5">
        <f>5758</f>
      </c>
      <c r="B5765" s="5" t="s">
        <v>5773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</row>
    <row r="5766" spans="1:11" x14ac:dyDescent="0.25">
      <c r="A5766" s="5">
        <f>5759</f>
      </c>
      <c r="B5766" s="5" t="s">
        <v>5774</v>
      </c>
      <c r="C5766" s="5">
        <v>0</v>
      </c>
      <c r="D5766" s="5">
        <v>0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</row>
    <row r="5767" spans="1:11" x14ac:dyDescent="0.25">
      <c r="A5767" s="5">
        <f>5760</f>
      </c>
      <c r="B5767" s="5" t="s">
        <v>5775</v>
      </c>
      <c r="C5767" s="5">
        <v>0</v>
      </c>
      <c r="D5767" s="5">
        <v>0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</row>
    <row r="5768" spans="1:11" x14ac:dyDescent="0.25">
      <c r="A5768" s="5">
        <f>5761</f>
      </c>
      <c r="B5768" s="5" t="s">
        <v>5776</v>
      </c>
      <c r="C5768" s="5">
        <v>0</v>
      </c>
      <c r="D5768" s="5">
        <v>0</v>
      </c>
      <c r="E5768" s="5">
        <v>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</row>
    <row r="5769" spans="1:11" x14ac:dyDescent="0.25">
      <c r="A5769" s="5">
        <f>5762</f>
      </c>
      <c r="B5769" s="5" t="s">
        <v>5777</v>
      </c>
      <c r="C5769" s="5">
        <v>0</v>
      </c>
      <c r="D5769" s="5">
        <v>0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</row>
    <row r="5770" spans="1:11" x14ac:dyDescent="0.25">
      <c r="A5770" s="5">
        <f>5763</f>
      </c>
      <c r="B5770" s="5" t="s">
        <v>5778</v>
      </c>
      <c r="C5770" s="5">
        <v>0</v>
      </c>
      <c r="D5770" s="5">
        <v>0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</row>
    <row r="5771" spans="1:11" x14ac:dyDescent="0.25">
      <c r="A5771" s="5">
        <f>5764</f>
      </c>
      <c r="B5771" s="5" t="s">
        <v>5779</v>
      </c>
      <c r="C5771" s="5">
        <v>0</v>
      </c>
      <c r="D5771" s="5">
        <v>0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</row>
    <row r="5772" spans="1:11" x14ac:dyDescent="0.25">
      <c r="A5772" s="5">
        <f>5765</f>
      </c>
      <c r="B5772" s="5" t="s">
        <v>5780</v>
      </c>
      <c r="C5772" s="5">
        <v>0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</row>
    <row r="5773" spans="1:11" x14ac:dyDescent="0.25">
      <c r="A5773" s="5">
        <f>5766</f>
      </c>
      <c r="B5773" s="5" t="s">
        <v>5781</v>
      </c>
      <c r="C5773" s="5">
        <v>0</v>
      </c>
      <c r="D5773" s="5">
        <v>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</row>
    <row r="5774" spans="1:11" x14ac:dyDescent="0.25">
      <c r="A5774" s="5">
        <f>5767</f>
      </c>
      <c r="B5774" s="5" t="s">
        <v>5782</v>
      </c>
      <c r="C5774" s="5">
        <v>0</v>
      </c>
      <c r="D5774" s="5">
        <v>0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</row>
    <row r="5775" spans="1:11" x14ac:dyDescent="0.25">
      <c r="A5775" s="5">
        <f>5768</f>
      </c>
      <c r="B5775" s="5" t="s">
        <v>5783</v>
      </c>
      <c r="C5775" s="5">
        <v>0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</row>
    <row r="5776" spans="1:11" x14ac:dyDescent="0.25">
      <c r="A5776" s="5">
        <f>5769</f>
      </c>
      <c r="B5776" s="5" t="s">
        <v>5784</v>
      </c>
      <c r="C5776" s="5">
        <v>0</v>
      </c>
      <c r="D5776" s="5">
        <v>0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</row>
    <row r="5777" spans="1:11" x14ac:dyDescent="0.25">
      <c r="A5777" s="5">
        <f>5770</f>
      </c>
      <c r="B5777" s="5" t="s">
        <v>5785</v>
      </c>
      <c r="C5777" s="5">
        <v>0</v>
      </c>
      <c r="D5777" s="5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</row>
    <row r="5778" spans="1:11" x14ac:dyDescent="0.25">
      <c r="A5778" s="5">
        <f>5771</f>
      </c>
      <c r="B5778" s="5" t="s">
        <v>5786</v>
      </c>
      <c r="C5778" s="5">
        <v>0</v>
      </c>
      <c r="D5778" s="5">
        <v>0</v>
      </c>
      <c r="E5778" s="5">
        <v>0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</row>
    <row r="5779" spans="1:11" x14ac:dyDescent="0.25">
      <c r="A5779" s="5">
        <f>5772</f>
      </c>
      <c r="B5779" s="5" t="s">
        <v>5787</v>
      </c>
      <c r="C5779" s="5">
        <v>0</v>
      </c>
      <c r="D5779" s="5">
        <v>0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</row>
    <row r="5780" spans="1:11" x14ac:dyDescent="0.25">
      <c r="A5780" s="5">
        <f>5773</f>
      </c>
      <c r="B5780" s="5" t="s">
        <v>5788</v>
      </c>
      <c r="C5780" s="5">
        <v>0</v>
      </c>
      <c r="D5780" s="5">
        <v>0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</row>
    <row r="5781" spans="1:11" x14ac:dyDescent="0.25">
      <c r="A5781" s="5">
        <f>5774</f>
      </c>
      <c r="B5781" s="5" t="s">
        <v>5789</v>
      </c>
      <c r="C5781" s="5">
        <v>0</v>
      </c>
      <c r="D5781" s="5">
        <v>0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</row>
    <row r="5782" spans="1:11" x14ac:dyDescent="0.25">
      <c r="A5782" s="5">
        <f>5775</f>
      </c>
      <c r="B5782" s="5" t="s">
        <v>5790</v>
      </c>
      <c r="C5782" s="5">
        <v>0</v>
      </c>
      <c r="D5782" s="5">
        <v>0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</row>
    <row r="5783" spans="1:11" x14ac:dyDescent="0.25">
      <c r="A5783" s="5">
        <f>5776</f>
      </c>
      <c r="B5783" s="5" t="s">
        <v>5791</v>
      </c>
      <c r="C5783" s="5">
        <v>0</v>
      </c>
      <c r="D5783" s="5">
        <v>0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</row>
    <row r="5784" spans="1:11" x14ac:dyDescent="0.25">
      <c r="A5784" s="5">
        <f>5777</f>
      </c>
      <c r="B5784" s="5" t="s">
        <v>5792</v>
      </c>
      <c r="C5784" s="5">
        <v>0</v>
      </c>
      <c r="D5784" s="5">
        <v>0</v>
      </c>
      <c r="E5784" s="5">
        <v>0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</row>
    <row r="5785" spans="1:11" x14ac:dyDescent="0.25">
      <c r="A5785" s="5">
        <f>5778</f>
      </c>
      <c r="B5785" s="5" t="s">
        <v>5793</v>
      </c>
      <c r="C5785" s="5">
        <v>0</v>
      </c>
      <c r="D5785" s="5">
        <v>0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</row>
    <row r="5786" spans="1:11" x14ac:dyDescent="0.25">
      <c r="A5786" s="5">
        <f>5779</f>
      </c>
      <c r="B5786" s="5" t="s">
        <v>5794</v>
      </c>
      <c r="C5786" s="5">
        <v>0</v>
      </c>
      <c r="D5786" s="5">
        <v>0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</row>
    <row r="5787" spans="1:11" x14ac:dyDescent="0.25">
      <c r="A5787" s="5">
        <f>5780</f>
      </c>
      <c r="B5787" s="5" t="s">
        <v>5795</v>
      </c>
      <c r="C5787" s="5">
        <v>0</v>
      </c>
      <c r="D5787" s="5">
        <v>0</v>
      </c>
      <c r="E5787" s="5">
        <v>0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</row>
    <row r="5788" spans="1:11" x14ac:dyDescent="0.25">
      <c r="A5788" s="5">
        <f>5781</f>
      </c>
      <c r="B5788" s="5" t="s">
        <v>5796</v>
      </c>
      <c r="C5788" s="5">
        <v>0</v>
      </c>
      <c r="D5788" s="5">
        <v>0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</row>
    <row r="5789" spans="1:11" x14ac:dyDescent="0.25">
      <c r="A5789" s="5">
        <f>5782</f>
      </c>
      <c r="B5789" s="5" t="s">
        <v>5797</v>
      </c>
      <c r="C5789" s="5">
        <v>0</v>
      </c>
      <c r="D5789" s="5">
        <v>0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</row>
    <row r="5790" spans="1:11" x14ac:dyDescent="0.25">
      <c r="A5790" s="5">
        <f>5783</f>
      </c>
      <c r="B5790" s="5" t="s">
        <v>5798</v>
      </c>
      <c r="C5790" s="5">
        <v>0</v>
      </c>
      <c r="D5790" s="5">
        <v>0</v>
      </c>
      <c r="E5790" s="5">
        <v>0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</row>
    <row r="5791" spans="1:11" x14ac:dyDescent="0.25">
      <c r="A5791" s="5">
        <f>5784</f>
      </c>
      <c r="B5791" s="5" t="s">
        <v>5799</v>
      </c>
      <c r="C5791" s="5">
        <v>0</v>
      </c>
      <c r="D5791" s="5">
        <v>0</v>
      </c>
      <c r="E5791" s="5">
        <v>0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</row>
    <row r="5792" spans="1:11" x14ac:dyDescent="0.25">
      <c r="A5792" s="5">
        <f>5785</f>
      </c>
      <c r="B5792" s="5" t="s">
        <v>5800</v>
      </c>
      <c r="C5792" s="5">
        <v>0</v>
      </c>
      <c r="D5792" s="5">
        <v>0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</row>
    <row r="5793" spans="1:11" x14ac:dyDescent="0.25">
      <c r="A5793" s="5">
        <f>5786</f>
      </c>
      <c r="B5793" s="5" t="s">
        <v>5801</v>
      </c>
      <c r="C5793" s="5">
        <v>0</v>
      </c>
      <c r="D5793" s="5">
        <v>0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</row>
    <row r="5794" spans="1:11" x14ac:dyDescent="0.25">
      <c r="A5794" s="5">
        <f>5787</f>
      </c>
      <c r="B5794" s="5" t="s">
        <v>5802</v>
      </c>
      <c r="C5794" s="5">
        <v>0</v>
      </c>
      <c r="D5794" s="5">
        <v>0</v>
      </c>
      <c r="E5794" s="5">
        <v>0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</row>
    <row r="5795" spans="1:11" x14ac:dyDescent="0.25">
      <c r="A5795" s="5">
        <f>5788</f>
      </c>
      <c r="B5795" s="5" t="s">
        <v>5803</v>
      </c>
      <c r="C5795" s="5">
        <v>0</v>
      </c>
      <c r="D5795" s="5">
        <v>0</v>
      </c>
      <c r="E5795" s="5">
        <v>0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</row>
    <row r="5796" spans="1:11" x14ac:dyDescent="0.25">
      <c r="A5796" s="5">
        <f>5789</f>
      </c>
      <c r="B5796" s="5" t="s">
        <v>5804</v>
      </c>
      <c r="C5796" s="5">
        <v>0</v>
      </c>
      <c r="D5796" s="5">
        <v>0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</row>
    <row r="5797" spans="1:11" x14ac:dyDescent="0.25">
      <c r="A5797" s="5">
        <f>5790</f>
      </c>
      <c r="B5797" s="5" t="s">
        <v>5805</v>
      </c>
      <c r="C5797" s="5">
        <v>0</v>
      </c>
      <c r="D5797" s="5">
        <v>0</v>
      </c>
      <c r="E5797" s="5">
        <v>0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</row>
    <row r="5798" spans="1:11" x14ac:dyDescent="0.25">
      <c r="A5798" s="5">
        <f>5791</f>
      </c>
      <c r="B5798" s="5" t="s">
        <v>5806</v>
      </c>
      <c r="C5798" s="5">
        <v>0</v>
      </c>
      <c r="D5798" s="5">
        <v>0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</row>
    <row r="5799" spans="1:11" x14ac:dyDescent="0.25">
      <c r="A5799" s="5">
        <f>5792</f>
      </c>
      <c r="B5799" s="5" t="s">
        <v>5807</v>
      </c>
      <c r="C5799" s="5">
        <v>0</v>
      </c>
      <c r="D5799" s="5">
        <v>0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</row>
    <row r="5800" spans="1:11" x14ac:dyDescent="0.25">
      <c r="A5800" s="5">
        <f>5793</f>
      </c>
      <c r="B5800" s="5" t="s">
        <v>5808</v>
      </c>
      <c r="C5800" s="5">
        <v>0</v>
      </c>
      <c r="D5800" s="5">
        <v>0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</row>
    <row r="5801" spans="1:11" x14ac:dyDescent="0.25">
      <c r="A5801" s="5">
        <f>5794</f>
      </c>
      <c r="B5801" s="5" t="s">
        <v>5809</v>
      </c>
      <c r="C5801" s="5">
        <v>0</v>
      </c>
      <c r="D5801" s="5">
        <v>0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</row>
    <row r="5802" spans="1:11" x14ac:dyDescent="0.25">
      <c r="A5802" s="5">
        <f>5795</f>
      </c>
      <c r="B5802" s="5" t="s">
        <v>5810</v>
      </c>
      <c r="C5802" s="5">
        <v>0</v>
      </c>
      <c r="D5802" s="5">
        <v>0</v>
      </c>
      <c r="E5802" s="5">
        <v>0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</row>
    <row r="5803" spans="1:11" x14ac:dyDescent="0.25">
      <c r="A5803" s="5">
        <f>5796</f>
      </c>
      <c r="B5803" s="5" t="s">
        <v>5811</v>
      </c>
      <c r="C5803" s="5">
        <v>0</v>
      </c>
      <c r="D5803" s="5">
        <v>0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</row>
    <row r="5804" spans="1:11" x14ac:dyDescent="0.25">
      <c r="A5804" s="5">
        <f>5797</f>
      </c>
      <c r="B5804" s="5" t="s">
        <v>5812</v>
      </c>
      <c r="C5804" s="5">
        <v>0</v>
      </c>
      <c r="D5804" s="5">
        <v>0</v>
      </c>
      <c r="E5804" s="5">
        <v>0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</row>
    <row r="5805" spans="1:11" x14ac:dyDescent="0.25">
      <c r="A5805" s="5">
        <f>5798</f>
      </c>
      <c r="B5805" s="5" t="s">
        <v>5813</v>
      </c>
      <c r="C5805" s="5">
        <v>0</v>
      </c>
      <c r="D5805" s="5">
        <v>0</v>
      </c>
      <c r="E5805" s="5">
        <v>0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</row>
    <row r="5806" spans="1:11" x14ac:dyDescent="0.25">
      <c r="A5806" s="5">
        <f>5799</f>
      </c>
      <c r="B5806" s="5" t="s">
        <v>5814</v>
      </c>
      <c r="C5806" s="5">
        <v>0</v>
      </c>
      <c r="D5806" s="5">
        <v>0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</row>
    <row r="5807" spans="1:11" x14ac:dyDescent="0.25">
      <c r="A5807" s="5">
        <f>5800</f>
      </c>
      <c r="B5807" s="5" t="s">
        <v>5815</v>
      </c>
      <c r="C5807" s="5">
        <v>0</v>
      </c>
      <c r="D5807" s="5">
        <v>0</v>
      </c>
      <c r="E5807" s="5">
        <v>0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</row>
    <row r="5808" spans="1:11" x14ac:dyDescent="0.25">
      <c r="A5808" s="5">
        <f>5801</f>
      </c>
      <c r="B5808" s="5" t="s">
        <v>5816</v>
      </c>
      <c r="C5808" s="5">
        <v>0</v>
      </c>
      <c r="D5808" s="5">
        <v>0</v>
      </c>
      <c r="E5808" s="5">
        <v>0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</row>
    <row r="5809" spans="1:11" x14ac:dyDescent="0.25">
      <c r="A5809" s="5">
        <f>5802</f>
      </c>
      <c r="B5809" s="5" t="s">
        <v>5817</v>
      </c>
      <c r="C5809" s="5">
        <v>0</v>
      </c>
      <c r="D5809" s="5">
        <v>0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</row>
    <row r="5810" spans="1:11" x14ac:dyDescent="0.25">
      <c r="A5810" s="5">
        <f>5803</f>
      </c>
      <c r="B5810" s="5" t="s">
        <v>5818</v>
      </c>
      <c r="C5810" s="5">
        <v>0</v>
      </c>
      <c r="D5810" s="5">
        <v>0</v>
      </c>
      <c r="E5810" s="5">
        <v>0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</row>
    <row r="5811" spans="1:11" x14ac:dyDescent="0.25">
      <c r="A5811" s="5">
        <f>5804</f>
      </c>
      <c r="B5811" s="5" t="s">
        <v>5819</v>
      </c>
      <c r="C5811" s="5">
        <v>0</v>
      </c>
      <c r="D5811" s="5">
        <v>0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</row>
    <row r="5812" spans="1:11" x14ac:dyDescent="0.25">
      <c r="A5812" s="5">
        <f>5805</f>
      </c>
      <c r="B5812" s="5" t="s">
        <v>5820</v>
      </c>
      <c r="C5812" s="5">
        <v>0</v>
      </c>
      <c r="D5812" s="5">
        <v>0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</row>
    <row r="5813" spans="1:11" x14ac:dyDescent="0.25">
      <c r="A5813" s="5">
        <f>5806</f>
      </c>
      <c r="B5813" s="5" t="s">
        <v>5821</v>
      </c>
      <c r="C5813" s="5">
        <v>0</v>
      </c>
      <c r="D5813" s="5">
        <v>0</v>
      </c>
      <c r="E5813" s="5">
        <v>0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</row>
    <row r="5814" spans="1:11" x14ac:dyDescent="0.25">
      <c r="A5814" s="5">
        <f>5807</f>
      </c>
      <c r="B5814" s="5" t="s">
        <v>5822</v>
      </c>
      <c r="C5814" s="5">
        <v>0</v>
      </c>
      <c r="D5814" s="5">
        <v>0</v>
      </c>
      <c r="E5814" s="5">
        <v>0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</row>
    <row r="5815" spans="1:11" x14ac:dyDescent="0.25">
      <c r="A5815" s="5">
        <f>5808</f>
      </c>
      <c r="B5815" s="5" t="s">
        <v>5823</v>
      </c>
      <c r="C5815" s="5">
        <v>0</v>
      </c>
      <c r="D5815" s="5">
        <v>0</v>
      </c>
      <c r="E5815" s="5">
        <v>0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</row>
    <row r="5816" spans="1:11" x14ac:dyDescent="0.25">
      <c r="A5816" s="5">
        <f>5809</f>
      </c>
      <c r="B5816" s="5" t="s">
        <v>5824</v>
      </c>
      <c r="C5816" s="5">
        <v>0</v>
      </c>
      <c r="D5816" s="5">
        <v>0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</row>
    <row r="5817" spans="1:11" x14ac:dyDescent="0.25">
      <c r="A5817" s="5">
        <f>5810</f>
      </c>
      <c r="B5817" s="5" t="s">
        <v>5825</v>
      </c>
      <c r="C5817" s="5">
        <v>0</v>
      </c>
      <c r="D5817" s="5">
        <v>0</v>
      </c>
      <c r="E5817" s="5">
        <v>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</row>
    <row r="5818" spans="1:11" x14ac:dyDescent="0.25">
      <c r="A5818" s="5">
        <f>5811</f>
      </c>
      <c r="B5818" s="5" t="s">
        <v>5826</v>
      </c>
      <c r="C5818" s="5">
        <v>0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</row>
    <row r="5819" spans="1:11" x14ac:dyDescent="0.25">
      <c r="A5819" s="5">
        <f>5812</f>
      </c>
      <c r="B5819" s="5" t="s">
        <v>5827</v>
      </c>
      <c r="C5819" s="5">
        <v>0</v>
      </c>
      <c r="D5819" s="5">
        <v>0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</row>
    <row r="5820" spans="1:11" x14ac:dyDescent="0.25">
      <c r="A5820" s="5">
        <f>5813</f>
      </c>
      <c r="B5820" s="5" t="s">
        <v>5828</v>
      </c>
      <c r="C5820" s="5">
        <v>0</v>
      </c>
      <c r="D5820" s="5">
        <v>0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</row>
    <row r="5821" spans="1:11" x14ac:dyDescent="0.25">
      <c r="A5821" s="5">
        <f>5814</f>
      </c>
      <c r="B5821" s="5" t="s">
        <v>5829</v>
      </c>
      <c r="C5821" s="5">
        <v>0</v>
      </c>
      <c r="D5821" s="5">
        <v>0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</row>
    <row r="5822" spans="1:11" x14ac:dyDescent="0.25">
      <c r="A5822" s="5">
        <f>5815</f>
      </c>
      <c r="B5822" s="5" t="s">
        <v>5830</v>
      </c>
      <c r="C5822" s="5">
        <v>0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</row>
    <row r="5823" spans="1:11" x14ac:dyDescent="0.25">
      <c r="A5823" s="5">
        <f>5816</f>
      </c>
      <c r="B5823" s="5" t="s">
        <v>5831</v>
      </c>
      <c r="C5823" s="5">
        <v>0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</row>
    <row r="5824" spans="1:11" x14ac:dyDescent="0.25">
      <c r="A5824" s="5">
        <f>5817</f>
      </c>
      <c r="B5824" s="5" t="s">
        <v>5832</v>
      </c>
      <c r="C5824" s="5">
        <v>0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</row>
    <row r="5825" spans="1:11" x14ac:dyDescent="0.25">
      <c r="A5825" s="5">
        <f>5818</f>
      </c>
      <c r="B5825" s="5" t="s">
        <v>5833</v>
      </c>
      <c r="C5825" s="5">
        <v>0</v>
      </c>
      <c r="D5825" s="5">
        <v>0</v>
      </c>
      <c r="E5825" s="5">
        <v>0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</row>
    <row r="5826" spans="1:11" x14ac:dyDescent="0.25">
      <c r="A5826" s="5">
        <f>5819</f>
      </c>
      <c r="B5826" s="5" t="s">
        <v>5834</v>
      </c>
      <c r="C5826" s="5">
        <v>0</v>
      </c>
      <c r="D5826" s="5">
        <v>0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</row>
    <row r="5827" spans="1:11" x14ac:dyDescent="0.25">
      <c r="A5827" s="5">
        <f>5820</f>
      </c>
      <c r="B5827" s="5" t="s">
        <v>5835</v>
      </c>
      <c r="C5827" s="5">
        <v>0</v>
      </c>
      <c r="D5827" s="5">
        <v>0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</row>
    <row r="5828" spans="1:11" x14ac:dyDescent="0.25">
      <c r="A5828" s="5">
        <f>5821</f>
      </c>
      <c r="B5828" s="5" t="s">
        <v>5836</v>
      </c>
      <c r="C5828" s="5">
        <v>0</v>
      </c>
      <c r="D5828" s="5">
        <v>0</v>
      </c>
      <c r="E5828" s="5">
        <v>0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</row>
    <row r="5829" spans="1:11" x14ac:dyDescent="0.25">
      <c r="A5829" s="5">
        <f>5822</f>
      </c>
      <c r="B5829" s="5" t="s">
        <v>5837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</row>
    <row r="5830" spans="1:11" x14ac:dyDescent="0.25">
      <c r="A5830" s="5">
        <f>5823</f>
      </c>
      <c r="B5830" s="5" t="s">
        <v>5838</v>
      </c>
      <c r="C5830" s="5">
        <v>0</v>
      </c>
      <c r="D5830" s="5">
        <v>0</v>
      </c>
      <c r="E5830" s="5">
        <v>0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</row>
    <row r="5831" spans="1:11" x14ac:dyDescent="0.25">
      <c r="A5831" s="5">
        <f>5824</f>
      </c>
      <c r="B5831" s="5" t="s">
        <v>5839</v>
      </c>
      <c r="C5831" s="5">
        <v>0</v>
      </c>
      <c r="D5831" s="5">
        <v>0</v>
      </c>
      <c r="E5831" s="5">
        <v>0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</row>
    <row r="5832" spans="1:11" x14ac:dyDescent="0.25">
      <c r="A5832" s="5">
        <f>5825</f>
      </c>
      <c r="B5832" s="5" t="s">
        <v>5840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</row>
    <row r="5833" spans="1:11" x14ac:dyDescent="0.25">
      <c r="A5833" s="5">
        <f>5826</f>
      </c>
      <c r="B5833" s="5" t="s">
        <v>5841</v>
      </c>
      <c r="C5833" s="5">
        <v>0</v>
      </c>
      <c r="D5833" s="5">
        <v>0</v>
      </c>
      <c r="E5833" s="5">
        <v>0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</row>
    <row r="5834" spans="1:11" x14ac:dyDescent="0.25">
      <c r="A5834" s="5">
        <f>5827</f>
      </c>
      <c r="B5834" s="5" t="s">
        <v>5842</v>
      </c>
      <c r="C5834" s="5">
        <v>0</v>
      </c>
      <c r="D5834" s="5">
        <v>0</v>
      </c>
      <c r="E5834" s="5">
        <v>0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</row>
    <row r="5835" spans="1:11" x14ac:dyDescent="0.25">
      <c r="A5835" s="5">
        <f>5828</f>
      </c>
      <c r="B5835" s="5" t="s">
        <v>5843</v>
      </c>
      <c r="C5835" s="5">
        <v>0</v>
      </c>
      <c r="D5835" s="5">
        <v>0</v>
      </c>
      <c r="E5835" s="5">
        <v>0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</row>
    <row r="5836" spans="1:11" x14ac:dyDescent="0.25">
      <c r="A5836" s="5">
        <f>5829</f>
      </c>
      <c r="B5836" s="5" t="s">
        <v>5844</v>
      </c>
      <c r="C5836" s="5">
        <v>0</v>
      </c>
      <c r="D5836" s="5">
        <v>0</v>
      </c>
      <c r="E5836" s="5">
        <v>0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</row>
    <row r="5837" spans="1:11" x14ac:dyDescent="0.25">
      <c r="A5837" s="5">
        <f>5830</f>
      </c>
      <c r="B5837" s="5" t="s">
        <v>5845</v>
      </c>
      <c r="C5837" s="5">
        <v>0</v>
      </c>
      <c r="D5837" s="5">
        <v>0</v>
      </c>
      <c r="E5837" s="5">
        <v>0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</row>
    <row r="5838" spans="1:11" x14ac:dyDescent="0.25">
      <c r="A5838" s="5">
        <f>5831</f>
      </c>
      <c r="B5838" s="5" t="s">
        <v>5846</v>
      </c>
      <c r="C5838" s="5">
        <v>0</v>
      </c>
      <c r="D5838" s="5">
        <v>0</v>
      </c>
      <c r="E5838" s="5">
        <v>0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</row>
    <row r="5839" spans="1:11" x14ac:dyDescent="0.25">
      <c r="A5839" s="5">
        <f>5832</f>
      </c>
      <c r="B5839" s="5" t="s">
        <v>5847</v>
      </c>
      <c r="C5839" s="5">
        <v>0</v>
      </c>
      <c r="D5839" s="5">
        <v>0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</row>
    <row r="5840" spans="1:11" x14ac:dyDescent="0.25">
      <c r="A5840" s="5">
        <f>5833</f>
      </c>
      <c r="B5840" s="5" t="s">
        <v>5848</v>
      </c>
      <c r="C5840" s="5">
        <v>0</v>
      </c>
      <c r="D5840" s="5">
        <v>0</v>
      </c>
      <c r="E5840" s="5">
        <v>0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</row>
    <row r="5841" spans="1:11" x14ac:dyDescent="0.25">
      <c r="A5841" s="5">
        <f>5834</f>
      </c>
      <c r="B5841" s="5" t="s">
        <v>5849</v>
      </c>
      <c r="C5841" s="5">
        <v>0</v>
      </c>
      <c r="D5841" s="5">
        <v>0</v>
      </c>
      <c r="E5841" s="5">
        <v>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</row>
    <row r="5842" spans="1:11" x14ac:dyDescent="0.25">
      <c r="A5842" s="5">
        <f>5835</f>
      </c>
      <c r="B5842" s="5" t="s">
        <v>5850</v>
      </c>
      <c r="C5842" s="5">
        <v>0</v>
      </c>
      <c r="D5842" s="5">
        <v>0</v>
      </c>
      <c r="E5842" s="5">
        <v>0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</row>
    <row r="5843" spans="1:11" x14ac:dyDescent="0.25">
      <c r="A5843" s="5">
        <f>5836</f>
      </c>
      <c r="B5843" s="5" t="s">
        <v>5851</v>
      </c>
      <c r="C5843" s="5">
        <v>0</v>
      </c>
      <c r="D5843" s="5">
        <v>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</row>
    <row r="5844" spans="1:11" x14ac:dyDescent="0.25">
      <c r="A5844" s="5">
        <f>5837</f>
      </c>
      <c r="B5844" s="5" t="s">
        <v>5852</v>
      </c>
      <c r="C5844" s="5">
        <v>0</v>
      </c>
      <c r="D5844" s="5">
        <v>0</v>
      </c>
      <c r="E5844" s="5">
        <v>0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</row>
    <row r="5845" spans="1:11" x14ac:dyDescent="0.25">
      <c r="A5845" s="5">
        <f>5838</f>
      </c>
      <c r="B5845" s="5" t="s">
        <v>5853</v>
      </c>
      <c r="C5845" s="5">
        <v>0</v>
      </c>
      <c r="D5845" s="5">
        <v>0</v>
      </c>
      <c r="E5845" s="5">
        <v>0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</row>
    <row r="5846" spans="1:11" x14ac:dyDescent="0.25">
      <c r="A5846" s="5">
        <f>5839</f>
      </c>
      <c r="B5846" s="5" t="s">
        <v>5854</v>
      </c>
      <c r="C5846" s="5">
        <v>0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</row>
    <row r="5847" spans="1:11" x14ac:dyDescent="0.25">
      <c r="A5847" s="5">
        <f>5840</f>
      </c>
      <c r="B5847" s="5" t="s">
        <v>5855</v>
      </c>
      <c r="C5847" s="5">
        <v>0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</row>
    <row r="5848" spans="1:11" x14ac:dyDescent="0.25">
      <c r="A5848" s="5">
        <f>5841</f>
      </c>
      <c r="B5848" s="5" t="s">
        <v>5856</v>
      </c>
      <c r="C5848" s="5">
        <v>0</v>
      </c>
      <c r="D5848" s="5">
        <v>0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</row>
    <row r="5849" spans="1:11" x14ac:dyDescent="0.25">
      <c r="A5849" s="5">
        <f>5842</f>
      </c>
      <c r="B5849" s="5" t="s">
        <v>5857</v>
      </c>
      <c r="C5849" s="5">
        <v>0</v>
      </c>
      <c r="D5849" s="5">
        <v>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</row>
    <row r="5850" spans="1:11" x14ac:dyDescent="0.25">
      <c r="A5850" s="5">
        <f>5843</f>
      </c>
      <c r="B5850" s="5" t="s">
        <v>5858</v>
      </c>
      <c r="C5850" s="5">
        <v>0</v>
      </c>
      <c r="D5850" s="5">
        <v>0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</row>
    <row r="5851" spans="1:11" x14ac:dyDescent="0.25">
      <c r="A5851" s="5">
        <f>5844</f>
      </c>
      <c r="B5851" s="5" t="s">
        <v>5859</v>
      </c>
      <c r="C5851" s="5">
        <v>0</v>
      </c>
      <c r="D5851" s="5">
        <v>0</v>
      </c>
      <c r="E5851" s="5">
        <v>0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</row>
    <row r="5852" spans="1:11" x14ac:dyDescent="0.25">
      <c r="A5852" s="5">
        <f>5845</f>
      </c>
      <c r="B5852" s="5" t="s">
        <v>5860</v>
      </c>
      <c r="C5852" s="5">
        <v>0</v>
      </c>
      <c r="D5852" s="5">
        <v>0</v>
      </c>
      <c r="E5852" s="5">
        <v>0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</row>
    <row r="5853" spans="1:11" x14ac:dyDescent="0.25">
      <c r="A5853" s="5">
        <f>5846</f>
      </c>
      <c r="B5853" s="5" t="s">
        <v>5861</v>
      </c>
      <c r="C5853" s="5">
        <v>0</v>
      </c>
      <c r="D5853" s="5">
        <v>0</v>
      </c>
      <c r="E5853" s="5">
        <v>0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</row>
    <row r="5854" spans="1:11" x14ac:dyDescent="0.25">
      <c r="A5854" s="5">
        <f>5847</f>
      </c>
      <c r="B5854" s="5" t="s">
        <v>5862</v>
      </c>
      <c r="C5854" s="5">
        <v>96.6</v>
      </c>
      <c r="D5854" s="5">
        <v>0.1</v>
      </c>
      <c r="E5854" s="5">
        <v>96.7</v>
      </c>
      <c r="F5854" s="5">
        <v>195.4</v>
      </c>
      <c r="G5854" s="5">
        <v>97.4</v>
      </c>
      <c r="H5854" s="5">
        <v>97.1</v>
      </c>
      <c r="I5854" s="5">
        <v>0</v>
      </c>
      <c r="J5854" s="5">
        <v>0</v>
      </c>
      <c r="K5854" s="5">
        <v>0</v>
      </c>
    </row>
    <row r="5855" spans="1:11" x14ac:dyDescent="0.25">
      <c r="A5855" s="5">
        <f>5848</f>
      </c>
      <c r="B5855" s="5" t="s">
        <v>5863</v>
      </c>
      <c r="C5855" s="5">
        <v>96.6</v>
      </c>
      <c r="D5855" s="5">
        <v>0.1</v>
      </c>
      <c r="E5855" s="5">
        <v>96.7</v>
      </c>
      <c r="F5855" s="5">
        <v>195.4</v>
      </c>
      <c r="G5855" s="5">
        <v>97.4</v>
      </c>
      <c r="H5855" s="5">
        <v>97.1</v>
      </c>
      <c r="I5855" s="5">
        <v>0</v>
      </c>
      <c r="J5855" s="5">
        <v>0</v>
      </c>
      <c r="K5855" s="5">
        <v>0</v>
      </c>
    </row>
    <row r="5856" spans="1:11" x14ac:dyDescent="0.25">
      <c r="A5856" s="5">
        <f>5849</f>
      </c>
      <c r="B5856" s="5" t="s">
        <v>5864</v>
      </c>
      <c r="C5856" s="5">
        <v>101.6</v>
      </c>
      <c r="D5856" s="5">
        <v>0.1</v>
      </c>
      <c r="E5856" s="5">
        <v>101.8</v>
      </c>
      <c r="F5856" s="5">
        <v>202.6</v>
      </c>
      <c r="G5856" s="5">
        <v>101.1</v>
      </c>
      <c r="H5856" s="5">
        <v>101</v>
      </c>
      <c r="I5856" s="5">
        <v>0</v>
      </c>
      <c r="J5856" s="5">
        <v>0</v>
      </c>
      <c r="K5856" s="5">
        <v>0</v>
      </c>
    </row>
    <row r="5857" spans="1:11" x14ac:dyDescent="0.25">
      <c r="A5857" s="5">
        <f>5850</f>
      </c>
      <c r="B5857" s="5" t="s">
        <v>5865</v>
      </c>
      <c r="C5857" s="5">
        <v>101.6</v>
      </c>
      <c r="D5857" s="5">
        <v>0.1</v>
      </c>
      <c r="E5857" s="5">
        <v>101.8</v>
      </c>
      <c r="F5857" s="5">
        <v>202.6</v>
      </c>
      <c r="G5857" s="5">
        <v>101.1</v>
      </c>
      <c r="H5857" s="5">
        <v>101</v>
      </c>
      <c r="I5857" s="5">
        <v>0</v>
      </c>
      <c r="J5857" s="5">
        <v>0</v>
      </c>
      <c r="K5857" s="5">
        <v>0</v>
      </c>
    </row>
    <row r="5858" spans="1:11" x14ac:dyDescent="0.25">
      <c r="A5858" s="5">
        <f>5851</f>
      </c>
      <c r="B5858" s="5" t="s">
        <v>5866</v>
      </c>
      <c r="C5858" s="5">
        <v>101.6</v>
      </c>
      <c r="D5858" s="5">
        <v>0.1</v>
      </c>
      <c r="E5858" s="5">
        <v>101.8</v>
      </c>
      <c r="F5858" s="5">
        <v>201.6</v>
      </c>
      <c r="G5858" s="5">
        <v>100.7</v>
      </c>
      <c r="H5858" s="5">
        <v>100.6</v>
      </c>
      <c r="I5858" s="5">
        <v>0</v>
      </c>
      <c r="J5858" s="5">
        <v>0</v>
      </c>
      <c r="K5858" s="5">
        <v>0</v>
      </c>
    </row>
    <row r="5859" spans="1:11" x14ac:dyDescent="0.25">
      <c r="A5859" s="5">
        <f>5852</f>
      </c>
      <c r="B5859" s="5" t="s">
        <v>5867</v>
      </c>
      <c r="C5859" s="5">
        <v>101.6</v>
      </c>
      <c r="D5859" s="5">
        <v>0.1</v>
      </c>
      <c r="E5859" s="5">
        <v>101.8</v>
      </c>
      <c r="F5859" s="5">
        <v>201.6</v>
      </c>
      <c r="G5859" s="5">
        <v>100.7</v>
      </c>
      <c r="H5859" s="5">
        <v>100.6</v>
      </c>
      <c r="I5859" s="5">
        <v>0</v>
      </c>
      <c r="J5859" s="5">
        <v>0</v>
      </c>
      <c r="K5859" s="5">
        <v>0</v>
      </c>
    </row>
    <row r="5860" spans="1:11" x14ac:dyDescent="0.25">
      <c r="A5860" s="5">
        <f>5853</f>
      </c>
      <c r="B5860" s="5" t="s">
        <v>5868</v>
      </c>
      <c r="C5860" s="5">
        <v>104.3</v>
      </c>
      <c r="D5860" s="5">
        <v>0.1</v>
      </c>
      <c r="E5860" s="5">
        <v>104.5</v>
      </c>
      <c r="F5860" s="5">
        <v>207</v>
      </c>
      <c r="G5860" s="5">
        <v>103.4</v>
      </c>
      <c r="H5860" s="5">
        <v>103.3</v>
      </c>
      <c r="I5860" s="5">
        <v>0</v>
      </c>
      <c r="J5860" s="5">
        <v>0</v>
      </c>
      <c r="K5860" s="5">
        <v>0</v>
      </c>
    </row>
    <row r="5861" spans="1:11" x14ac:dyDescent="0.25">
      <c r="A5861" s="5">
        <f>5854</f>
      </c>
      <c r="B5861" s="5" t="s">
        <v>5869</v>
      </c>
      <c r="C5861" s="5">
        <v>104.3</v>
      </c>
      <c r="D5861" s="5">
        <v>0.1</v>
      </c>
      <c r="E5861" s="5">
        <v>104.5</v>
      </c>
      <c r="F5861" s="5">
        <v>207</v>
      </c>
      <c r="G5861" s="5">
        <v>103.4</v>
      </c>
      <c r="H5861" s="5">
        <v>103.3</v>
      </c>
      <c r="I5861" s="5">
        <v>0</v>
      </c>
      <c r="J5861" s="5">
        <v>0</v>
      </c>
      <c r="K5861" s="5">
        <v>0</v>
      </c>
    </row>
    <row r="5862" spans="1:11" x14ac:dyDescent="0.25">
      <c r="A5862" s="5">
        <f>5855</f>
      </c>
      <c r="B5862" s="5" t="s">
        <v>5870</v>
      </c>
      <c r="C5862" s="5">
        <v>104.3</v>
      </c>
      <c r="D5862" s="5">
        <v>0.1</v>
      </c>
      <c r="E5862" s="5">
        <v>104.5</v>
      </c>
      <c r="F5862" s="5">
        <v>207</v>
      </c>
      <c r="G5862" s="5">
        <v>103.4</v>
      </c>
      <c r="H5862" s="5">
        <v>103.3</v>
      </c>
      <c r="I5862" s="5">
        <v>0</v>
      </c>
      <c r="J5862" s="5">
        <v>0</v>
      </c>
      <c r="K5862" s="5">
        <v>0</v>
      </c>
    </row>
    <row r="5863" spans="1:11" x14ac:dyDescent="0.25">
      <c r="A5863" s="5">
        <f>5856</f>
      </c>
      <c r="B5863" s="5" t="s">
        <v>5871</v>
      </c>
      <c r="C5863" s="5">
        <v>104.3</v>
      </c>
      <c r="D5863" s="5">
        <v>0.1</v>
      </c>
      <c r="E5863" s="5">
        <v>104.5</v>
      </c>
      <c r="F5863" s="5">
        <v>207</v>
      </c>
      <c r="G5863" s="5">
        <v>103.4</v>
      </c>
      <c r="H5863" s="5">
        <v>103.3</v>
      </c>
      <c r="I5863" s="5">
        <v>0</v>
      </c>
      <c r="J5863" s="5">
        <v>0</v>
      </c>
      <c r="K5863" s="5">
        <v>0</v>
      </c>
    </row>
    <row r="5864" spans="1:11" x14ac:dyDescent="0.25">
      <c r="A5864" s="5">
        <f>5857</f>
      </c>
      <c r="B5864" s="5" t="s">
        <v>5872</v>
      </c>
      <c r="C5864" s="5">
        <v>98.6</v>
      </c>
      <c r="D5864" s="5">
        <v>0.1</v>
      </c>
      <c r="E5864" s="5">
        <v>98.8</v>
      </c>
      <c r="F5864" s="5">
        <v>196.9</v>
      </c>
      <c r="G5864" s="5">
        <v>98.2</v>
      </c>
      <c r="H5864" s="5">
        <v>98</v>
      </c>
      <c r="I5864" s="5">
        <v>0</v>
      </c>
      <c r="J5864" s="5">
        <v>0</v>
      </c>
      <c r="K5864" s="5">
        <v>0</v>
      </c>
    </row>
    <row r="5865" spans="1:11" x14ac:dyDescent="0.25">
      <c r="A5865" s="5">
        <f>5858</f>
      </c>
      <c r="B5865" s="5" t="s">
        <v>5873</v>
      </c>
      <c r="C5865" s="5">
        <v>98.6</v>
      </c>
      <c r="D5865" s="5">
        <v>0.1</v>
      </c>
      <c r="E5865" s="5">
        <v>98.8</v>
      </c>
      <c r="F5865" s="5">
        <v>196.9</v>
      </c>
      <c r="G5865" s="5">
        <v>98.2</v>
      </c>
      <c r="H5865" s="5">
        <v>98</v>
      </c>
      <c r="I5865" s="5">
        <v>0</v>
      </c>
      <c r="J5865" s="5">
        <v>0</v>
      </c>
      <c r="K5865" s="5">
        <v>0</v>
      </c>
    </row>
    <row r="5866" spans="1:11" x14ac:dyDescent="0.25">
      <c r="A5866" s="5">
        <f>5859</f>
      </c>
      <c r="B5866" s="5" t="s">
        <v>5874</v>
      </c>
      <c r="C5866" s="5">
        <v>103.5</v>
      </c>
      <c r="D5866" s="5">
        <v>0.1</v>
      </c>
      <c r="E5866" s="5">
        <v>103.7</v>
      </c>
      <c r="F5866" s="5">
        <v>198</v>
      </c>
      <c r="G5866" s="5">
        <v>98.7</v>
      </c>
      <c r="H5866" s="5">
        <v>98.4</v>
      </c>
      <c r="I5866" s="5">
        <v>0</v>
      </c>
      <c r="J5866" s="5">
        <v>0</v>
      </c>
      <c r="K5866" s="5">
        <v>0</v>
      </c>
    </row>
    <row r="5867" spans="1:11" x14ac:dyDescent="0.25">
      <c r="A5867" s="5">
        <f>5860</f>
      </c>
      <c r="B5867" s="5" t="s">
        <v>5875</v>
      </c>
      <c r="C5867" s="5">
        <v>103.5</v>
      </c>
      <c r="D5867" s="5">
        <v>0.1</v>
      </c>
      <c r="E5867" s="5">
        <v>103.7</v>
      </c>
      <c r="F5867" s="5">
        <v>198</v>
      </c>
      <c r="G5867" s="5">
        <v>98.7</v>
      </c>
      <c r="H5867" s="5">
        <v>98.4</v>
      </c>
      <c r="I5867" s="5">
        <v>0</v>
      </c>
      <c r="J5867" s="5">
        <v>0</v>
      </c>
      <c r="K5867" s="5">
        <v>0</v>
      </c>
    </row>
    <row r="5868" spans="1:11" x14ac:dyDescent="0.25">
      <c r="A5868" s="5">
        <f>5861</f>
      </c>
      <c r="B5868" s="5" t="s">
        <v>5876</v>
      </c>
      <c r="C5868" s="5">
        <v>104</v>
      </c>
      <c r="D5868" s="5">
        <v>0.1</v>
      </c>
      <c r="E5868" s="5">
        <v>104.1</v>
      </c>
      <c r="F5868" s="5">
        <v>207.9</v>
      </c>
      <c r="G5868" s="5">
        <v>103.8</v>
      </c>
      <c r="H5868" s="5">
        <v>103.7</v>
      </c>
      <c r="I5868" s="5">
        <v>0</v>
      </c>
      <c r="J5868" s="5">
        <v>0</v>
      </c>
      <c r="K5868" s="5">
        <v>0</v>
      </c>
    </row>
    <row r="5869" spans="1:11" x14ac:dyDescent="0.25">
      <c r="A5869" s="5">
        <f>5862</f>
      </c>
      <c r="B5869" s="5" t="s">
        <v>5877</v>
      </c>
      <c r="C5869" s="5">
        <v>104</v>
      </c>
      <c r="D5869" s="5">
        <v>0.1</v>
      </c>
      <c r="E5869" s="5">
        <v>104.1</v>
      </c>
      <c r="F5869" s="5">
        <v>207.9</v>
      </c>
      <c r="G5869" s="5">
        <v>103.8</v>
      </c>
      <c r="H5869" s="5">
        <v>103.7</v>
      </c>
      <c r="I5869" s="5">
        <v>0</v>
      </c>
      <c r="J5869" s="5">
        <v>0</v>
      </c>
      <c r="K5869" s="5">
        <v>0</v>
      </c>
    </row>
    <row r="5870" spans="1:11" x14ac:dyDescent="0.25">
      <c r="A5870" s="5">
        <f>5863</f>
      </c>
      <c r="B5870" s="5" t="s">
        <v>5878</v>
      </c>
      <c r="C5870" s="5">
        <v>104.3</v>
      </c>
      <c r="D5870" s="5">
        <v>0.1</v>
      </c>
      <c r="E5870" s="5">
        <v>104.4</v>
      </c>
      <c r="F5870" s="5">
        <v>208.1</v>
      </c>
      <c r="G5870" s="5">
        <v>103.8</v>
      </c>
      <c r="H5870" s="5">
        <v>103.6</v>
      </c>
      <c r="I5870" s="5">
        <v>0</v>
      </c>
      <c r="J5870" s="5">
        <v>0</v>
      </c>
      <c r="K5870" s="5">
        <v>0</v>
      </c>
    </row>
    <row r="5871" spans="1:11" x14ac:dyDescent="0.25">
      <c r="A5871" s="5">
        <f>5864</f>
      </c>
      <c r="B5871" s="5" t="s">
        <v>5879</v>
      </c>
      <c r="C5871" s="5">
        <v>104.3</v>
      </c>
      <c r="D5871" s="5">
        <v>0.1</v>
      </c>
      <c r="E5871" s="5">
        <v>104.4</v>
      </c>
      <c r="F5871" s="5">
        <v>208.1</v>
      </c>
      <c r="G5871" s="5">
        <v>103.8</v>
      </c>
      <c r="H5871" s="5">
        <v>103.6</v>
      </c>
      <c r="I5871" s="5">
        <v>0</v>
      </c>
      <c r="J5871" s="5">
        <v>0</v>
      </c>
      <c r="K5871" s="5">
        <v>0</v>
      </c>
    </row>
    <row r="5872" spans="1:11" x14ac:dyDescent="0.25">
      <c r="A5872" s="5">
        <f>5865</f>
      </c>
      <c r="B5872" s="5" t="s">
        <v>5880</v>
      </c>
      <c r="C5872" s="5">
        <v>104.3</v>
      </c>
      <c r="D5872" s="5">
        <v>0.1</v>
      </c>
      <c r="E5872" s="5">
        <v>104.4</v>
      </c>
      <c r="F5872" s="5">
        <v>208.1</v>
      </c>
      <c r="G5872" s="5">
        <v>103.8</v>
      </c>
      <c r="H5872" s="5">
        <v>103.6</v>
      </c>
      <c r="I5872" s="5">
        <v>0</v>
      </c>
      <c r="J5872" s="5">
        <v>0</v>
      </c>
      <c r="K5872" s="5">
        <v>0</v>
      </c>
    </row>
    <row r="5873" spans="1:11" x14ac:dyDescent="0.25">
      <c r="A5873" s="5">
        <f>5866</f>
      </c>
      <c r="B5873" s="5" t="s">
        <v>5881</v>
      </c>
      <c r="C5873" s="5">
        <v>104.3</v>
      </c>
      <c r="D5873" s="5">
        <v>0.1</v>
      </c>
      <c r="E5873" s="5">
        <v>104.4</v>
      </c>
      <c r="F5873" s="5">
        <v>208.1</v>
      </c>
      <c r="G5873" s="5">
        <v>103.8</v>
      </c>
      <c r="H5873" s="5">
        <v>103.6</v>
      </c>
      <c r="I5873" s="5">
        <v>0</v>
      </c>
      <c r="J5873" s="5">
        <v>0</v>
      </c>
      <c r="K5873" s="5">
        <v>0</v>
      </c>
    </row>
    <row r="5874" spans="1:11" x14ac:dyDescent="0.25">
      <c r="A5874" s="5">
        <f>5867</f>
      </c>
      <c r="B5874" s="5" t="s">
        <v>5882</v>
      </c>
      <c r="C5874" s="5">
        <v>103.8</v>
      </c>
      <c r="D5874" s="5">
        <v>0.1</v>
      </c>
      <c r="E5874" s="5">
        <v>104</v>
      </c>
      <c r="F5874" s="5">
        <v>206.9</v>
      </c>
      <c r="G5874" s="5">
        <v>103.2</v>
      </c>
      <c r="H5874" s="5">
        <v>103.1</v>
      </c>
      <c r="I5874" s="5">
        <v>0</v>
      </c>
      <c r="J5874" s="5">
        <v>0</v>
      </c>
      <c r="K5874" s="5">
        <v>0</v>
      </c>
    </row>
    <row r="5875" spans="1:11" x14ac:dyDescent="0.25">
      <c r="A5875" s="5">
        <f>5868</f>
      </c>
      <c r="B5875" s="5" t="s">
        <v>5883</v>
      </c>
      <c r="C5875" s="5">
        <v>103.8</v>
      </c>
      <c r="D5875" s="5">
        <v>0.1</v>
      </c>
      <c r="E5875" s="5">
        <v>104</v>
      </c>
      <c r="F5875" s="5">
        <v>206.9</v>
      </c>
      <c r="G5875" s="5">
        <v>103.2</v>
      </c>
      <c r="H5875" s="5">
        <v>103.1</v>
      </c>
      <c r="I5875" s="5">
        <v>0</v>
      </c>
      <c r="J5875" s="5">
        <v>0</v>
      </c>
      <c r="K5875" s="5">
        <v>0</v>
      </c>
    </row>
    <row r="5876" spans="1:11" x14ac:dyDescent="0.25">
      <c r="A5876" s="5">
        <f>5869</f>
      </c>
      <c r="B5876" s="5" t="s">
        <v>5884</v>
      </c>
      <c r="C5876" s="5">
        <v>103.8</v>
      </c>
      <c r="D5876" s="5">
        <v>0.1</v>
      </c>
      <c r="E5876" s="5">
        <v>104</v>
      </c>
      <c r="F5876" s="5">
        <v>207.6</v>
      </c>
      <c r="G5876" s="5">
        <v>103.6</v>
      </c>
      <c r="H5876" s="5">
        <v>103.4</v>
      </c>
      <c r="I5876" s="5">
        <v>0</v>
      </c>
      <c r="J5876" s="5">
        <v>0</v>
      </c>
      <c r="K5876" s="5">
        <v>0</v>
      </c>
    </row>
    <row r="5877" spans="1:11" x14ac:dyDescent="0.25">
      <c r="A5877" s="5">
        <f>5870</f>
      </c>
      <c r="B5877" s="5" t="s">
        <v>5885</v>
      </c>
      <c r="C5877" s="5">
        <v>103.8</v>
      </c>
      <c r="D5877" s="5">
        <v>0.1</v>
      </c>
      <c r="E5877" s="5">
        <v>104</v>
      </c>
      <c r="F5877" s="5">
        <v>207.6</v>
      </c>
      <c r="G5877" s="5">
        <v>103.6</v>
      </c>
      <c r="H5877" s="5">
        <v>102.9</v>
      </c>
      <c r="I5877" s="5">
        <v>0</v>
      </c>
      <c r="J5877" s="5">
        <v>0</v>
      </c>
      <c r="K5877" s="5">
        <v>0</v>
      </c>
    </row>
    <row r="5878" spans="1:11" x14ac:dyDescent="0.25">
      <c r="A5878" s="5">
        <f>5871</f>
      </c>
      <c r="B5878" s="5" t="s">
        <v>5886</v>
      </c>
      <c r="C5878" s="5">
        <v>103.2</v>
      </c>
      <c r="D5878" s="5">
        <v>0.1</v>
      </c>
      <c r="E5878" s="5">
        <v>103.3</v>
      </c>
      <c r="F5878" s="5">
        <v>206.6</v>
      </c>
      <c r="G5878" s="5">
        <v>103</v>
      </c>
      <c r="H5878" s="5">
        <v>102.9</v>
      </c>
      <c r="I5878" s="5">
        <v>0</v>
      </c>
      <c r="J5878" s="5">
        <v>0</v>
      </c>
      <c r="K5878" s="5">
        <v>0</v>
      </c>
    </row>
    <row r="5879" spans="1:11" x14ac:dyDescent="0.25">
      <c r="A5879" s="5">
        <f>5872</f>
      </c>
      <c r="B5879" s="5" t="s">
        <v>5887</v>
      </c>
      <c r="C5879" s="5">
        <v>103.2</v>
      </c>
      <c r="D5879" s="5">
        <v>0.1</v>
      </c>
      <c r="E5879" s="5">
        <v>103.3</v>
      </c>
      <c r="F5879" s="5">
        <v>206.6</v>
      </c>
      <c r="G5879" s="5">
        <v>103</v>
      </c>
      <c r="H5879" s="5">
        <v>102.9</v>
      </c>
      <c r="I5879" s="5">
        <v>0</v>
      </c>
      <c r="J5879" s="5">
        <v>0</v>
      </c>
      <c r="K5879" s="5">
        <v>0</v>
      </c>
    </row>
    <row r="5880" spans="1:11" x14ac:dyDescent="0.25">
      <c r="A5880" s="5">
        <f>5873</f>
      </c>
      <c r="B5880" s="5" t="s">
        <v>5888</v>
      </c>
      <c r="C5880" s="5">
        <v>103.7</v>
      </c>
      <c r="D5880" s="5">
        <v>0.1</v>
      </c>
      <c r="E5880" s="5">
        <v>103.8</v>
      </c>
      <c r="F5880" s="5">
        <v>207.1</v>
      </c>
      <c r="G5880" s="5">
        <v>103.3</v>
      </c>
      <c r="H5880" s="5">
        <v>103.2</v>
      </c>
      <c r="I5880" s="5">
        <v>0</v>
      </c>
      <c r="J5880" s="5">
        <v>0</v>
      </c>
      <c r="K5880" s="5">
        <v>0</v>
      </c>
    </row>
    <row r="5881" spans="1:11" x14ac:dyDescent="0.25">
      <c r="A5881" s="5">
        <f>5874</f>
      </c>
      <c r="B5881" s="5" t="s">
        <v>5889</v>
      </c>
      <c r="C5881" s="5">
        <v>103.7</v>
      </c>
      <c r="D5881" s="5">
        <v>0.1</v>
      </c>
      <c r="E5881" s="5">
        <v>103.8</v>
      </c>
      <c r="F5881" s="5">
        <v>207.1</v>
      </c>
      <c r="G5881" s="5">
        <v>103.3</v>
      </c>
      <c r="H5881" s="5">
        <v>103.2</v>
      </c>
      <c r="I5881" s="5">
        <v>0</v>
      </c>
      <c r="J5881" s="5">
        <v>0</v>
      </c>
      <c r="K5881" s="5">
        <v>0</v>
      </c>
    </row>
    <row r="5882" spans="1:11" x14ac:dyDescent="0.25">
      <c r="A5882" s="5">
        <f>5875</f>
      </c>
      <c r="B5882" s="5" t="s">
        <v>5890</v>
      </c>
      <c r="C5882" s="5">
        <v>103.7</v>
      </c>
      <c r="D5882" s="5">
        <v>0.1</v>
      </c>
      <c r="E5882" s="5">
        <v>103.8</v>
      </c>
      <c r="F5882" s="5">
        <v>207.1</v>
      </c>
      <c r="G5882" s="5">
        <v>103.3</v>
      </c>
      <c r="H5882" s="5">
        <v>103.2</v>
      </c>
      <c r="I5882" s="5">
        <v>0</v>
      </c>
      <c r="J5882" s="5">
        <v>0</v>
      </c>
      <c r="K5882" s="5">
        <v>0</v>
      </c>
    </row>
    <row r="5883" spans="1:11" x14ac:dyDescent="0.25">
      <c r="A5883" s="5">
        <f>5876</f>
      </c>
      <c r="B5883" s="5" t="s">
        <v>5891</v>
      </c>
      <c r="C5883" s="5">
        <v>103.7</v>
      </c>
      <c r="D5883" s="5">
        <v>0.1</v>
      </c>
      <c r="E5883" s="5">
        <v>103.8</v>
      </c>
      <c r="F5883" s="5">
        <v>206.8</v>
      </c>
      <c r="G5883" s="5">
        <v>103.3</v>
      </c>
      <c r="H5883" s="5">
        <v>103.2</v>
      </c>
      <c r="I5883" s="5">
        <v>0</v>
      </c>
      <c r="J5883" s="5">
        <v>0</v>
      </c>
      <c r="K5883" s="5">
        <v>0</v>
      </c>
    </row>
    <row r="5884" spans="1:11" x14ac:dyDescent="0.25">
      <c r="A5884" s="5">
        <f>5877</f>
      </c>
      <c r="B5884" s="5" t="s">
        <v>5892</v>
      </c>
      <c r="C5884" s="5">
        <v>103.7</v>
      </c>
      <c r="D5884" s="5">
        <v>0.1</v>
      </c>
      <c r="E5884" s="5">
        <v>103.8</v>
      </c>
      <c r="F5884" s="5">
        <v>206.8</v>
      </c>
      <c r="G5884" s="5">
        <v>103.2</v>
      </c>
      <c r="H5884" s="5">
        <v>103</v>
      </c>
      <c r="I5884" s="5">
        <v>0</v>
      </c>
      <c r="J5884" s="5">
        <v>0</v>
      </c>
      <c r="K5884" s="5">
        <v>0</v>
      </c>
    </row>
    <row r="5885" spans="1:11" x14ac:dyDescent="0.25">
      <c r="A5885" s="5">
        <f>5878</f>
      </c>
      <c r="B5885" s="5" t="s">
        <v>5893</v>
      </c>
      <c r="C5885" s="5">
        <v>103.2</v>
      </c>
      <c r="D5885" s="5">
        <v>0.1</v>
      </c>
      <c r="E5885" s="5">
        <v>103.4</v>
      </c>
      <c r="F5885" s="5">
        <v>206.4</v>
      </c>
      <c r="G5885" s="5">
        <v>103.2</v>
      </c>
      <c r="H5885" s="5">
        <v>103</v>
      </c>
      <c r="I5885" s="5">
        <v>0</v>
      </c>
      <c r="J5885" s="5">
        <v>0</v>
      </c>
      <c r="K5885" s="5">
        <v>0</v>
      </c>
    </row>
    <row r="5886" spans="1:11" x14ac:dyDescent="0.25">
      <c r="A5886" s="5">
        <f>5879</f>
      </c>
      <c r="B5886" s="5" t="s">
        <v>5894</v>
      </c>
      <c r="C5886" s="5">
        <v>103.2</v>
      </c>
      <c r="D5886" s="5">
        <v>0.1</v>
      </c>
      <c r="E5886" s="5">
        <v>103.4</v>
      </c>
      <c r="F5886" s="5">
        <v>206.4</v>
      </c>
      <c r="G5886" s="5">
        <v>103</v>
      </c>
      <c r="H5886" s="5">
        <v>102.8</v>
      </c>
      <c r="I5886" s="5">
        <v>0</v>
      </c>
      <c r="J5886" s="5">
        <v>0</v>
      </c>
      <c r="K5886" s="5">
        <v>0</v>
      </c>
    </row>
    <row r="5887" spans="1:11" x14ac:dyDescent="0.25">
      <c r="A5887" s="5">
        <f>5880</f>
      </c>
      <c r="B5887" s="5" t="s">
        <v>5895</v>
      </c>
      <c r="C5887" s="5">
        <v>103.4</v>
      </c>
      <c r="D5887" s="5">
        <v>0.1</v>
      </c>
      <c r="E5887" s="5">
        <v>103.4</v>
      </c>
      <c r="F5887" s="5">
        <v>206.4</v>
      </c>
      <c r="G5887" s="5">
        <v>103</v>
      </c>
      <c r="H5887" s="5">
        <v>102.8</v>
      </c>
      <c r="I5887" s="5">
        <v>0</v>
      </c>
      <c r="J5887" s="5">
        <v>0</v>
      </c>
      <c r="K5887" s="5">
        <v>0</v>
      </c>
    </row>
    <row r="5888" spans="1:11" x14ac:dyDescent="0.25">
      <c r="A5888" s="5">
        <f>5881</f>
      </c>
      <c r="B5888" s="5" t="s">
        <v>5896</v>
      </c>
      <c r="C5888" s="5">
        <v>103.4</v>
      </c>
      <c r="D5888" s="5">
        <v>0.1</v>
      </c>
      <c r="E5888" s="5">
        <v>103.6</v>
      </c>
      <c r="F5888" s="5">
        <v>207.2</v>
      </c>
      <c r="G5888" s="5">
        <v>103.3</v>
      </c>
      <c r="H5888" s="5">
        <v>103.2</v>
      </c>
      <c r="I5888" s="5">
        <v>0</v>
      </c>
      <c r="J5888" s="5">
        <v>0</v>
      </c>
      <c r="K5888" s="5">
        <v>0</v>
      </c>
    </row>
    <row r="5889" spans="1:11" x14ac:dyDescent="0.25">
      <c r="A5889" s="5">
        <f>5882</f>
      </c>
      <c r="B5889" s="5" t="s">
        <v>5897</v>
      </c>
      <c r="C5889" s="5">
        <v>103.4</v>
      </c>
      <c r="D5889" s="5">
        <v>0.1</v>
      </c>
      <c r="E5889" s="5">
        <v>103.6</v>
      </c>
      <c r="F5889" s="5">
        <v>207.2</v>
      </c>
      <c r="G5889" s="5">
        <v>103.3</v>
      </c>
      <c r="H5889" s="5">
        <v>103.2</v>
      </c>
      <c r="I5889" s="5">
        <v>0</v>
      </c>
      <c r="J5889" s="5">
        <v>0</v>
      </c>
      <c r="K5889" s="5">
        <v>0</v>
      </c>
    </row>
    <row r="5890" spans="1:11" x14ac:dyDescent="0.25">
      <c r="A5890" s="5">
        <f>5883</f>
      </c>
      <c r="B5890" s="5" t="s">
        <v>5898</v>
      </c>
      <c r="C5890" s="5">
        <v>104</v>
      </c>
      <c r="D5890" s="5">
        <v>0.1</v>
      </c>
      <c r="E5890" s="5">
        <v>104.1</v>
      </c>
      <c r="F5890" s="5">
        <v>208.3</v>
      </c>
      <c r="G5890" s="5">
        <v>103.9</v>
      </c>
      <c r="H5890" s="5">
        <v>103.7</v>
      </c>
      <c r="I5890" s="5">
        <v>0</v>
      </c>
      <c r="J5890" s="5">
        <v>0</v>
      </c>
      <c r="K5890" s="5">
        <v>0</v>
      </c>
    </row>
    <row r="5891" spans="1:11" x14ac:dyDescent="0.25">
      <c r="A5891" s="5">
        <f>5884</f>
      </c>
      <c r="B5891" s="5" t="s">
        <v>5899</v>
      </c>
      <c r="C5891" s="5">
        <v>104</v>
      </c>
      <c r="D5891" s="5">
        <v>0.1</v>
      </c>
      <c r="E5891" s="5">
        <v>104.1</v>
      </c>
      <c r="F5891" s="5">
        <v>208.3</v>
      </c>
      <c r="G5891" s="5">
        <v>103.9</v>
      </c>
      <c r="H5891" s="5">
        <v>103.7</v>
      </c>
      <c r="I5891" s="5">
        <v>0</v>
      </c>
      <c r="J5891" s="5">
        <v>0</v>
      </c>
      <c r="K5891" s="5">
        <v>0</v>
      </c>
    </row>
    <row r="5892" spans="1:11" x14ac:dyDescent="0.25">
      <c r="A5892" s="5">
        <f>5885</f>
      </c>
      <c r="B5892" s="5" t="s">
        <v>5900</v>
      </c>
      <c r="C5892" s="5">
        <v>104</v>
      </c>
      <c r="D5892" s="5">
        <v>0.1</v>
      </c>
      <c r="E5892" s="5">
        <v>104.1</v>
      </c>
      <c r="F5892" s="5">
        <v>208.3</v>
      </c>
      <c r="G5892" s="5">
        <v>103.9</v>
      </c>
      <c r="H5892" s="5">
        <v>103.7</v>
      </c>
      <c r="I5892" s="5">
        <v>0</v>
      </c>
      <c r="J5892" s="5">
        <v>0</v>
      </c>
      <c r="K5892" s="5">
        <v>0</v>
      </c>
    </row>
    <row r="5893" spans="1:11" x14ac:dyDescent="0.25">
      <c r="A5893" s="5">
        <f>5886</f>
      </c>
      <c r="B5893" s="5" t="s">
        <v>5901</v>
      </c>
      <c r="C5893" s="5">
        <v>104</v>
      </c>
      <c r="D5893" s="5">
        <v>0.1</v>
      </c>
      <c r="E5893" s="5">
        <v>104.1</v>
      </c>
      <c r="F5893" s="5">
        <v>208.3</v>
      </c>
      <c r="G5893" s="5">
        <v>103.9</v>
      </c>
      <c r="H5893" s="5">
        <v>103.7</v>
      </c>
      <c r="I5893" s="5">
        <v>0</v>
      </c>
      <c r="J5893" s="5">
        <v>0</v>
      </c>
      <c r="K5893" s="5">
        <v>0</v>
      </c>
    </row>
    <row r="5894" spans="1:11" x14ac:dyDescent="0.25">
      <c r="A5894" s="5">
        <f>5887</f>
      </c>
      <c r="B5894" s="5" t="s">
        <v>5902</v>
      </c>
      <c r="C5894" s="5">
        <v>104</v>
      </c>
      <c r="D5894" s="5">
        <v>0.1</v>
      </c>
      <c r="E5894" s="5">
        <v>104.1</v>
      </c>
      <c r="F5894" s="5">
        <v>206.9</v>
      </c>
      <c r="G5894" s="5">
        <v>103.2</v>
      </c>
      <c r="H5894" s="5">
        <v>103.1</v>
      </c>
      <c r="I5894" s="5">
        <v>0</v>
      </c>
      <c r="J5894" s="5">
        <v>0</v>
      </c>
      <c r="K5894" s="5">
        <v>0</v>
      </c>
    </row>
    <row r="5895" spans="1:11" x14ac:dyDescent="0.25">
      <c r="A5895" s="5">
        <f>5888</f>
      </c>
      <c r="B5895" s="5" t="s">
        <v>5903</v>
      </c>
      <c r="C5895" s="5">
        <v>104</v>
      </c>
      <c r="D5895" s="5">
        <v>0.1</v>
      </c>
      <c r="E5895" s="5">
        <v>104.1</v>
      </c>
      <c r="F5895" s="5">
        <v>206.9</v>
      </c>
      <c r="G5895" s="5">
        <v>103.2</v>
      </c>
      <c r="H5895" s="5">
        <v>103.1</v>
      </c>
      <c r="I5895" s="5">
        <v>0</v>
      </c>
      <c r="J5895" s="5">
        <v>0</v>
      </c>
      <c r="K5895" s="5">
        <v>0</v>
      </c>
    </row>
    <row r="5896" spans="1:11" x14ac:dyDescent="0.25">
      <c r="A5896" s="5">
        <f>5889</f>
      </c>
      <c r="B5896" s="5" t="s">
        <v>5904</v>
      </c>
      <c r="C5896" s="5">
        <v>102.8</v>
      </c>
      <c r="D5896" s="5">
        <v>0.1</v>
      </c>
      <c r="E5896" s="5">
        <v>103</v>
      </c>
      <c r="F5896" s="5">
        <v>206.5</v>
      </c>
      <c r="G5896" s="5">
        <v>103.1</v>
      </c>
      <c r="H5896" s="5">
        <v>102.9</v>
      </c>
      <c r="I5896" s="5">
        <v>0</v>
      </c>
      <c r="J5896" s="5">
        <v>0</v>
      </c>
      <c r="K5896" s="5">
        <v>0</v>
      </c>
    </row>
    <row r="5897" spans="1:11" x14ac:dyDescent="0.25">
      <c r="A5897" s="5">
        <f>5890</f>
      </c>
      <c r="B5897" s="5" t="s">
        <v>5905</v>
      </c>
      <c r="C5897" s="5">
        <v>102.8</v>
      </c>
      <c r="D5897" s="5">
        <v>0.1</v>
      </c>
      <c r="E5897" s="5">
        <v>103</v>
      </c>
      <c r="F5897" s="5">
        <v>206.5</v>
      </c>
      <c r="G5897" s="5">
        <v>103.1</v>
      </c>
      <c r="H5897" s="5">
        <v>102.9</v>
      </c>
      <c r="I5897" s="5">
        <v>0</v>
      </c>
      <c r="J5897" s="5">
        <v>0</v>
      </c>
      <c r="K5897" s="5">
        <v>0</v>
      </c>
    </row>
    <row r="5898" spans="1:11" x14ac:dyDescent="0.25">
      <c r="A5898" s="5">
        <f>5891</f>
      </c>
      <c r="B5898" s="5" t="s">
        <v>5906</v>
      </c>
      <c r="C5898" s="5">
        <v>103.5</v>
      </c>
      <c r="D5898" s="5">
        <v>0.1</v>
      </c>
      <c r="E5898" s="5">
        <v>103.7</v>
      </c>
      <c r="F5898" s="5">
        <v>207.2</v>
      </c>
      <c r="G5898" s="5">
        <v>103.4</v>
      </c>
      <c r="H5898" s="5">
        <v>103.2</v>
      </c>
      <c r="I5898" s="5">
        <v>0</v>
      </c>
      <c r="J5898" s="5">
        <v>0</v>
      </c>
      <c r="K5898" s="5">
        <v>0</v>
      </c>
    </row>
    <row r="5899" spans="1:11" x14ac:dyDescent="0.25">
      <c r="A5899" s="5">
        <f>5892</f>
      </c>
      <c r="B5899" s="5" t="s">
        <v>5907</v>
      </c>
      <c r="C5899" s="5">
        <v>103.5</v>
      </c>
      <c r="D5899" s="5">
        <v>0.1</v>
      </c>
      <c r="E5899" s="5">
        <v>103.7</v>
      </c>
      <c r="F5899" s="5">
        <v>207.2</v>
      </c>
      <c r="G5899" s="5">
        <v>103.4</v>
      </c>
      <c r="H5899" s="5">
        <v>103.2</v>
      </c>
      <c r="I5899" s="5">
        <v>0</v>
      </c>
      <c r="J5899" s="5">
        <v>0</v>
      </c>
      <c r="K5899" s="5">
        <v>0</v>
      </c>
    </row>
    <row r="5900" spans="1:11" x14ac:dyDescent="0.25">
      <c r="A5900" s="5">
        <f>5893</f>
      </c>
      <c r="B5900" s="5" t="s">
        <v>5908</v>
      </c>
      <c r="C5900" s="5">
        <v>103.9</v>
      </c>
      <c r="D5900" s="5">
        <v>0.1</v>
      </c>
      <c r="E5900" s="5">
        <v>104</v>
      </c>
      <c r="F5900" s="5">
        <v>207.3</v>
      </c>
      <c r="G5900" s="5">
        <v>103.4</v>
      </c>
      <c r="H5900" s="5">
        <v>103.2</v>
      </c>
      <c r="I5900" s="5">
        <v>0</v>
      </c>
      <c r="J5900" s="5">
        <v>0</v>
      </c>
      <c r="K5900" s="5">
        <v>0</v>
      </c>
    </row>
    <row r="5901" spans="1:11" x14ac:dyDescent="0.25">
      <c r="A5901" s="5">
        <f>5894</f>
      </c>
      <c r="B5901" s="5" t="s">
        <v>5909</v>
      </c>
      <c r="C5901" s="5">
        <v>103.9</v>
      </c>
      <c r="D5901" s="5">
        <v>0.1</v>
      </c>
      <c r="E5901" s="5">
        <v>104</v>
      </c>
      <c r="F5901" s="5">
        <v>207.3</v>
      </c>
      <c r="G5901" s="5">
        <v>103.4</v>
      </c>
      <c r="H5901" s="5">
        <v>103.2</v>
      </c>
      <c r="I5901" s="5">
        <v>0</v>
      </c>
      <c r="J5901" s="5">
        <v>0</v>
      </c>
      <c r="K5901" s="5">
        <v>0</v>
      </c>
    </row>
    <row r="5902" spans="1:11" x14ac:dyDescent="0.25">
      <c r="A5902" s="5">
        <f>5895</f>
      </c>
      <c r="B5902" s="5" t="s">
        <v>5910</v>
      </c>
      <c r="C5902" s="5">
        <v>103.9</v>
      </c>
      <c r="D5902" s="5">
        <v>0.1</v>
      </c>
      <c r="E5902" s="5">
        <v>104</v>
      </c>
      <c r="F5902" s="5">
        <v>207.3</v>
      </c>
      <c r="G5902" s="5">
        <v>103.4</v>
      </c>
      <c r="H5902" s="5">
        <v>103.2</v>
      </c>
      <c r="I5902" s="5">
        <v>0</v>
      </c>
      <c r="J5902" s="5">
        <v>0</v>
      </c>
      <c r="K5902" s="5">
        <v>0</v>
      </c>
    </row>
    <row r="5903" spans="1:11" x14ac:dyDescent="0.25">
      <c r="A5903" s="5">
        <f>5896</f>
      </c>
      <c r="B5903" s="5" t="s">
        <v>5911</v>
      </c>
      <c r="C5903" s="5">
        <v>104.3</v>
      </c>
      <c r="D5903" s="5">
        <v>0.1</v>
      </c>
      <c r="E5903" s="5">
        <v>104.5</v>
      </c>
      <c r="F5903" s="5">
        <v>208.3</v>
      </c>
      <c r="G5903" s="5">
        <v>103.9</v>
      </c>
      <c r="H5903" s="5">
        <v>103.8</v>
      </c>
      <c r="I5903" s="5">
        <v>0</v>
      </c>
      <c r="J5903" s="5">
        <v>0</v>
      </c>
      <c r="K5903" s="5">
        <v>0</v>
      </c>
    </row>
    <row r="5904" spans="1:11" x14ac:dyDescent="0.25">
      <c r="A5904" s="5">
        <f>5897</f>
      </c>
      <c r="B5904" s="5" t="s">
        <v>5912</v>
      </c>
      <c r="C5904" s="5">
        <v>103.5</v>
      </c>
      <c r="D5904" s="5">
        <v>0.1</v>
      </c>
      <c r="E5904" s="5">
        <v>103.7</v>
      </c>
      <c r="F5904" s="5">
        <v>206.8</v>
      </c>
      <c r="G5904" s="5">
        <v>103.2</v>
      </c>
      <c r="H5904" s="5">
        <v>103.1</v>
      </c>
      <c r="I5904" s="5">
        <v>0</v>
      </c>
      <c r="J5904" s="5">
        <v>0</v>
      </c>
      <c r="K5904" s="5">
        <v>0</v>
      </c>
    </row>
    <row r="5905" spans="1:11" x14ac:dyDescent="0.25">
      <c r="A5905" s="5">
        <f>5898</f>
      </c>
      <c r="B5905" s="5" t="s">
        <v>5913</v>
      </c>
      <c r="C5905" s="5">
        <v>103.5</v>
      </c>
      <c r="D5905" s="5">
        <v>0.1</v>
      </c>
      <c r="E5905" s="5">
        <v>103.7</v>
      </c>
      <c r="F5905" s="5">
        <v>206.8</v>
      </c>
      <c r="G5905" s="5">
        <v>103.2</v>
      </c>
      <c r="H5905" s="5">
        <v>103.1</v>
      </c>
      <c r="I5905" s="5">
        <v>0</v>
      </c>
      <c r="J5905" s="5">
        <v>0</v>
      </c>
      <c r="K5905" s="5">
        <v>0</v>
      </c>
    </row>
    <row r="5906" spans="1:11" x14ac:dyDescent="0.25">
      <c r="A5906" s="5">
        <f>5899</f>
      </c>
      <c r="B5906" s="5" t="s">
        <v>5914</v>
      </c>
      <c r="C5906" s="5">
        <v>103.6</v>
      </c>
      <c r="D5906" s="5">
        <v>0.1</v>
      </c>
      <c r="E5906" s="5">
        <v>103.7</v>
      </c>
      <c r="F5906" s="5">
        <v>207</v>
      </c>
      <c r="G5906" s="5">
        <v>103.3</v>
      </c>
      <c r="H5906" s="5">
        <v>103.1</v>
      </c>
      <c r="I5906" s="5">
        <v>0</v>
      </c>
      <c r="J5906" s="5">
        <v>0</v>
      </c>
      <c r="K5906" s="5">
        <v>0</v>
      </c>
    </row>
    <row r="5907" spans="1:11" x14ac:dyDescent="0.25">
      <c r="A5907" s="5">
        <f>5900</f>
      </c>
      <c r="B5907" s="5" t="s">
        <v>5915</v>
      </c>
      <c r="C5907" s="5">
        <v>103.6</v>
      </c>
      <c r="D5907" s="5">
        <v>0.1</v>
      </c>
      <c r="E5907" s="5">
        <v>103.7</v>
      </c>
      <c r="F5907" s="5">
        <v>207</v>
      </c>
      <c r="G5907" s="5">
        <v>103.3</v>
      </c>
      <c r="H5907" s="5">
        <v>103.1</v>
      </c>
      <c r="I5907" s="5">
        <v>0</v>
      </c>
      <c r="J5907" s="5">
        <v>0</v>
      </c>
      <c r="K5907" s="5">
        <v>0</v>
      </c>
    </row>
    <row r="5908" spans="1:11" x14ac:dyDescent="0.25">
      <c r="A5908" s="5">
        <f>5901</f>
      </c>
      <c r="B5908" s="5" t="s">
        <v>5916</v>
      </c>
      <c r="C5908" s="5">
        <v>104.4</v>
      </c>
      <c r="D5908" s="5">
        <v>0.1</v>
      </c>
      <c r="E5908" s="5">
        <v>104.6</v>
      </c>
      <c r="F5908" s="5">
        <v>207.7</v>
      </c>
      <c r="G5908" s="5">
        <v>103.7</v>
      </c>
      <c r="H5908" s="5">
        <v>103.6</v>
      </c>
      <c r="I5908" s="5">
        <v>0</v>
      </c>
      <c r="J5908" s="5">
        <v>0</v>
      </c>
      <c r="K5908" s="5">
        <v>0</v>
      </c>
    </row>
    <row r="5909" spans="1:11" x14ac:dyDescent="0.25">
      <c r="A5909" s="5">
        <f>5902</f>
      </c>
      <c r="B5909" s="5" t="s">
        <v>5917</v>
      </c>
      <c r="C5909" s="5">
        <v>104.4</v>
      </c>
      <c r="D5909" s="5">
        <v>0.1</v>
      </c>
      <c r="E5909" s="5">
        <v>104.6</v>
      </c>
      <c r="F5909" s="5">
        <v>207.7</v>
      </c>
      <c r="G5909" s="5">
        <v>103.7</v>
      </c>
      <c r="H5909" s="5">
        <v>103.6</v>
      </c>
      <c r="I5909" s="5">
        <v>0</v>
      </c>
      <c r="J5909" s="5">
        <v>0</v>
      </c>
      <c r="K5909" s="5">
        <v>0</v>
      </c>
    </row>
    <row r="5910" spans="1:11" x14ac:dyDescent="0.25">
      <c r="A5910" s="5">
        <f>5903</f>
      </c>
      <c r="B5910" s="5" t="s">
        <v>5918</v>
      </c>
      <c r="C5910" s="5">
        <v>104.4</v>
      </c>
      <c r="D5910" s="5">
        <v>0.1</v>
      </c>
      <c r="E5910" s="5">
        <v>104.6</v>
      </c>
      <c r="F5910" s="5">
        <v>207.7</v>
      </c>
      <c r="G5910" s="5">
        <v>103.7</v>
      </c>
      <c r="H5910" s="5">
        <v>103.6</v>
      </c>
      <c r="I5910" s="5">
        <v>0</v>
      </c>
      <c r="J5910" s="5">
        <v>0</v>
      </c>
      <c r="K5910" s="5">
        <v>0</v>
      </c>
    </row>
    <row r="5911" spans="1:11" x14ac:dyDescent="0.25">
      <c r="A5911" s="5">
        <f>5904</f>
      </c>
      <c r="B5911" s="5" t="s">
        <v>5919</v>
      </c>
      <c r="C5911" s="5">
        <v>104.4</v>
      </c>
      <c r="D5911" s="5">
        <v>0.1</v>
      </c>
      <c r="E5911" s="5">
        <v>104.6</v>
      </c>
      <c r="F5911" s="5">
        <v>207.7</v>
      </c>
      <c r="G5911" s="5">
        <v>103.7</v>
      </c>
      <c r="H5911" s="5">
        <v>103.6</v>
      </c>
      <c r="I5911" s="5">
        <v>0</v>
      </c>
      <c r="J5911" s="5">
        <v>0</v>
      </c>
      <c r="K5911" s="5">
        <v>0</v>
      </c>
    </row>
    <row r="5912" spans="1:11" x14ac:dyDescent="0.25">
      <c r="A5912" s="5">
        <f>5905</f>
      </c>
      <c r="B5912" s="5" t="s">
        <v>5920</v>
      </c>
      <c r="C5912" s="5">
        <v>104</v>
      </c>
      <c r="D5912" s="5">
        <v>0.1</v>
      </c>
      <c r="E5912" s="5">
        <v>104.2</v>
      </c>
      <c r="F5912" s="5">
        <v>207.7</v>
      </c>
      <c r="G5912" s="5">
        <v>103.6</v>
      </c>
      <c r="H5912" s="5">
        <v>103.5</v>
      </c>
      <c r="I5912" s="5">
        <v>0</v>
      </c>
      <c r="J5912" s="5">
        <v>0</v>
      </c>
      <c r="K5912" s="5">
        <v>0</v>
      </c>
    </row>
    <row r="5913" spans="1:11" x14ac:dyDescent="0.25">
      <c r="A5913" s="5">
        <f>5906</f>
      </c>
      <c r="B5913" s="5" t="s">
        <v>5921</v>
      </c>
      <c r="C5913" s="5">
        <v>104</v>
      </c>
      <c r="D5913" s="5">
        <v>0.1</v>
      </c>
      <c r="E5913" s="5">
        <v>104.2</v>
      </c>
      <c r="F5913" s="5">
        <v>207.7</v>
      </c>
      <c r="G5913" s="5">
        <v>103.6</v>
      </c>
      <c r="H5913" s="5">
        <v>103.5</v>
      </c>
      <c r="I5913" s="5">
        <v>0</v>
      </c>
      <c r="J5913" s="5">
        <v>0</v>
      </c>
      <c r="K5913" s="5">
        <v>0</v>
      </c>
    </row>
    <row r="5914" spans="1:11" x14ac:dyDescent="0.25">
      <c r="A5914" s="5">
        <f>5907</f>
      </c>
      <c r="B5914" s="5" t="s">
        <v>5922</v>
      </c>
      <c r="C5914" s="5">
        <v>103.7</v>
      </c>
      <c r="D5914" s="5">
        <v>0.1</v>
      </c>
      <c r="E5914" s="5">
        <v>103.7</v>
      </c>
      <c r="F5914" s="5">
        <v>208</v>
      </c>
      <c r="G5914" s="5">
        <v>103.7</v>
      </c>
      <c r="H5914" s="5">
        <v>103.5</v>
      </c>
      <c r="I5914" s="5">
        <v>0</v>
      </c>
      <c r="J5914" s="5">
        <v>0</v>
      </c>
      <c r="K5914" s="5">
        <v>0</v>
      </c>
    </row>
    <row r="5915" spans="1:11" x14ac:dyDescent="0.25">
      <c r="A5915" s="5">
        <f>5908</f>
      </c>
      <c r="B5915" s="5" t="s">
        <v>5923</v>
      </c>
      <c r="C5915" s="5">
        <v>103.7</v>
      </c>
      <c r="D5915" s="5">
        <v>0.1</v>
      </c>
      <c r="E5915" s="5">
        <v>103.7</v>
      </c>
      <c r="F5915" s="5">
        <v>208</v>
      </c>
      <c r="G5915" s="5">
        <v>103.7</v>
      </c>
      <c r="H5915" s="5">
        <v>103.5</v>
      </c>
      <c r="I5915" s="5">
        <v>0</v>
      </c>
      <c r="J5915" s="5">
        <v>0</v>
      </c>
      <c r="K5915" s="5">
        <v>0</v>
      </c>
    </row>
    <row r="5916" spans="1:11" x14ac:dyDescent="0.25">
      <c r="A5916" s="5">
        <f>5909</f>
      </c>
      <c r="B5916" s="5" t="s">
        <v>5924</v>
      </c>
      <c r="C5916" s="5">
        <v>104.6</v>
      </c>
      <c r="D5916" s="5">
        <v>0.1</v>
      </c>
      <c r="E5916" s="5">
        <v>104.8</v>
      </c>
      <c r="F5916" s="5">
        <v>207.4</v>
      </c>
      <c r="G5916" s="5">
        <v>103.5</v>
      </c>
      <c r="H5916" s="5">
        <v>103.3</v>
      </c>
      <c r="I5916" s="5">
        <v>0</v>
      </c>
      <c r="J5916" s="5">
        <v>0</v>
      </c>
      <c r="K5916" s="5">
        <v>0</v>
      </c>
    </row>
    <row r="5917" spans="1:11" x14ac:dyDescent="0.25">
      <c r="A5917" s="5">
        <f>5910</f>
      </c>
      <c r="B5917" s="5" t="s">
        <v>5925</v>
      </c>
      <c r="C5917" s="5">
        <v>104.6</v>
      </c>
      <c r="D5917" s="5">
        <v>0.1</v>
      </c>
      <c r="E5917" s="5">
        <v>104.8</v>
      </c>
      <c r="F5917" s="5">
        <v>207.4</v>
      </c>
      <c r="G5917" s="5">
        <v>103.5</v>
      </c>
      <c r="H5917" s="5">
        <v>103.3</v>
      </c>
      <c r="I5917" s="5">
        <v>0</v>
      </c>
      <c r="J5917" s="5">
        <v>0</v>
      </c>
      <c r="K5917" s="5">
        <v>0</v>
      </c>
    </row>
    <row r="5918" spans="1:11" x14ac:dyDescent="0.25">
      <c r="A5918" s="5">
        <f>5911</f>
      </c>
      <c r="B5918" s="5" t="s">
        <v>5926</v>
      </c>
      <c r="C5918" s="5">
        <v>104.3</v>
      </c>
      <c r="D5918" s="5">
        <v>0.1</v>
      </c>
      <c r="E5918" s="5">
        <v>104.5</v>
      </c>
      <c r="F5918" s="5">
        <v>207.9</v>
      </c>
      <c r="G5918" s="5">
        <v>103.7</v>
      </c>
      <c r="H5918" s="5">
        <v>103.6</v>
      </c>
      <c r="I5918" s="5">
        <v>0</v>
      </c>
      <c r="J5918" s="5">
        <v>0</v>
      </c>
      <c r="K5918" s="5">
        <v>0</v>
      </c>
    </row>
    <row r="5919" spans="1:11" x14ac:dyDescent="0.25">
      <c r="A5919" s="5">
        <f>5912</f>
      </c>
      <c r="B5919" s="5" t="s">
        <v>5927</v>
      </c>
      <c r="C5919" s="5">
        <v>104.3</v>
      </c>
      <c r="D5919" s="5">
        <v>0.1</v>
      </c>
      <c r="E5919" s="5">
        <v>104.5</v>
      </c>
      <c r="F5919" s="5">
        <v>207.9</v>
      </c>
      <c r="G5919" s="5">
        <v>103.7</v>
      </c>
      <c r="H5919" s="5">
        <v>103.6</v>
      </c>
      <c r="I5919" s="5">
        <v>0</v>
      </c>
      <c r="J5919" s="5">
        <v>0</v>
      </c>
      <c r="K5919" s="5">
        <v>0</v>
      </c>
    </row>
    <row r="5920" spans="1:11" x14ac:dyDescent="0.25">
      <c r="A5920" s="5">
        <f>5913</f>
      </c>
      <c r="B5920" s="5" t="s">
        <v>5928</v>
      </c>
      <c r="C5920" s="5">
        <v>104.3</v>
      </c>
      <c r="D5920" s="5">
        <v>0.1</v>
      </c>
      <c r="E5920" s="5">
        <v>104.5</v>
      </c>
      <c r="F5920" s="5">
        <v>207.9</v>
      </c>
      <c r="G5920" s="5">
        <v>103.7</v>
      </c>
      <c r="H5920" s="5">
        <v>103.6</v>
      </c>
      <c r="I5920" s="5">
        <v>0</v>
      </c>
      <c r="J5920" s="5">
        <v>0</v>
      </c>
      <c r="K5920" s="5">
        <v>0</v>
      </c>
    </row>
    <row r="5921" spans="1:11" x14ac:dyDescent="0.25">
      <c r="A5921" s="5">
        <f>5914</f>
      </c>
      <c r="B5921" s="5" t="s">
        <v>5929</v>
      </c>
      <c r="C5921" s="5">
        <v>104.6</v>
      </c>
      <c r="D5921" s="5">
        <v>0.1</v>
      </c>
      <c r="E5921" s="5">
        <v>104.7</v>
      </c>
      <c r="F5921" s="5">
        <v>208.8</v>
      </c>
      <c r="G5921" s="5">
        <v>104.2</v>
      </c>
      <c r="H5921" s="5">
        <v>104</v>
      </c>
      <c r="I5921" s="5">
        <v>0</v>
      </c>
      <c r="J5921" s="5">
        <v>0</v>
      </c>
      <c r="K5921" s="5">
        <v>0</v>
      </c>
    </row>
    <row r="5922" spans="1:11" x14ac:dyDescent="0.25">
      <c r="A5922" s="5">
        <f>5915</f>
      </c>
      <c r="B5922" s="5" t="s">
        <v>5930</v>
      </c>
      <c r="C5922" s="5">
        <v>104.6</v>
      </c>
      <c r="D5922" s="5">
        <v>0.1</v>
      </c>
      <c r="E5922" s="5">
        <v>104.7</v>
      </c>
      <c r="F5922" s="5">
        <v>208.8</v>
      </c>
      <c r="G5922" s="5">
        <v>104.2</v>
      </c>
      <c r="H5922" s="5">
        <v>104</v>
      </c>
      <c r="I5922" s="5">
        <v>0</v>
      </c>
      <c r="J5922" s="5">
        <v>0</v>
      </c>
      <c r="K5922" s="5">
        <v>0</v>
      </c>
    </row>
    <row r="5923" spans="1:11" x14ac:dyDescent="0.25">
      <c r="A5923" s="5">
        <f>5916</f>
      </c>
      <c r="B5923" s="5" t="s">
        <v>5931</v>
      </c>
      <c r="C5923" s="5">
        <v>104.6</v>
      </c>
      <c r="D5923" s="5">
        <v>0.1</v>
      </c>
      <c r="E5923" s="5">
        <v>104.8</v>
      </c>
      <c r="F5923" s="5">
        <v>208.7</v>
      </c>
      <c r="G5923" s="5">
        <v>104.1</v>
      </c>
      <c r="H5923" s="5">
        <v>104</v>
      </c>
      <c r="I5923" s="5">
        <v>0</v>
      </c>
      <c r="J5923" s="5">
        <v>0</v>
      </c>
      <c r="K5923" s="5">
        <v>0</v>
      </c>
    </row>
    <row r="5924" spans="1:11" x14ac:dyDescent="0.25">
      <c r="A5924" s="5">
        <f>5917</f>
      </c>
      <c r="B5924" s="5" t="s">
        <v>5932</v>
      </c>
      <c r="C5924" s="5">
        <v>104.6</v>
      </c>
      <c r="D5924" s="5">
        <v>0.1</v>
      </c>
      <c r="E5924" s="5">
        <v>104.8</v>
      </c>
      <c r="F5924" s="5">
        <v>208.7</v>
      </c>
      <c r="G5924" s="5">
        <v>104.1</v>
      </c>
      <c r="H5924" s="5">
        <v>104</v>
      </c>
      <c r="I5924" s="5">
        <v>0</v>
      </c>
      <c r="J5924" s="5">
        <v>0</v>
      </c>
      <c r="K5924" s="5">
        <v>0</v>
      </c>
    </row>
    <row r="5925" spans="1:11" x14ac:dyDescent="0.25">
      <c r="A5925" s="5">
        <f>5918</f>
      </c>
      <c r="B5925" s="5" t="s">
        <v>5933</v>
      </c>
      <c r="C5925" s="5">
        <v>104.6</v>
      </c>
      <c r="D5925" s="5">
        <v>0.1</v>
      </c>
      <c r="E5925" s="5">
        <v>104.6</v>
      </c>
      <c r="F5925" s="5">
        <v>208.6</v>
      </c>
      <c r="G5925" s="5">
        <v>104.1</v>
      </c>
      <c r="H5925" s="5">
        <v>103.9</v>
      </c>
      <c r="I5925" s="5">
        <v>0</v>
      </c>
      <c r="J5925" s="5">
        <v>0</v>
      </c>
      <c r="K5925" s="5">
        <v>0</v>
      </c>
    </row>
    <row r="5926" spans="1:11" x14ac:dyDescent="0.25">
      <c r="A5926" s="5">
        <f>5919</f>
      </c>
      <c r="B5926" s="5" t="s">
        <v>5934</v>
      </c>
      <c r="C5926" s="5">
        <v>104.4</v>
      </c>
      <c r="D5926" s="5">
        <v>0.1</v>
      </c>
      <c r="E5926" s="5">
        <v>104.6</v>
      </c>
      <c r="F5926" s="5">
        <v>208.6</v>
      </c>
      <c r="G5926" s="5">
        <v>104.1</v>
      </c>
      <c r="H5926" s="5">
        <v>103.9</v>
      </c>
      <c r="I5926" s="5">
        <v>0</v>
      </c>
      <c r="J5926" s="5">
        <v>0</v>
      </c>
      <c r="K5926" s="5">
        <v>0</v>
      </c>
    </row>
    <row r="5927" spans="1:11" x14ac:dyDescent="0.25">
      <c r="A5927" s="5">
        <f>5920</f>
      </c>
      <c r="B5927" s="5" t="s">
        <v>5935</v>
      </c>
      <c r="C5927" s="5">
        <v>104.4</v>
      </c>
      <c r="D5927" s="5">
        <v>0.1</v>
      </c>
      <c r="E5927" s="5">
        <v>104.6</v>
      </c>
      <c r="F5927" s="5">
        <v>209.1</v>
      </c>
      <c r="G5927" s="5">
        <v>104.3</v>
      </c>
      <c r="H5927" s="5">
        <v>104.2</v>
      </c>
      <c r="I5927" s="5">
        <v>0</v>
      </c>
      <c r="J5927" s="5">
        <v>0</v>
      </c>
      <c r="K5927" s="5">
        <v>0</v>
      </c>
    </row>
    <row r="5928" spans="1:11" x14ac:dyDescent="0.25">
      <c r="A5928" s="5">
        <f>5921</f>
      </c>
      <c r="B5928" s="5" t="s">
        <v>5936</v>
      </c>
      <c r="C5928" s="5">
        <v>104.6</v>
      </c>
      <c r="D5928" s="5">
        <v>0.1</v>
      </c>
      <c r="E5928" s="5">
        <v>104.8</v>
      </c>
      <c r="F5928" s="5">
        <v>209.1</v>
      </c>
      <c r="G5928" s="5">
        <v>104.3</v>
      </c>
      <c r="H5928" s="5">
        <v>104.2</v>
      </c>
      <c r="I5928" s="5">
        <v>0</v>
      </c>
      <c r="J5928" s="5">
        <v>0</v>
      </c>
      <c r="K5928" s="5">
        <v>0</v>
      </c>
    </row>
    <row r="5929" spans="1:11" x14ac:dyDescent="0.25">
      <c r="A5929" s="5">
        <f>5922</f>
      </c>
      <c r="B5929" s="5" t="s">
        <v>5937</v>
      </c>
      <c r="C5929" s="5">
        <v>104.6</v>
      </c>
      <c r="D5929" s="5">
        <v>0.1</v>
      </c>
      <c r="E5929" s="5">
        <v>104.8</v>
      </c>
      <c r="F5929" s="5">
        <v>209.1</v>
      </c>
      <c r="G5929" s="5">
        <v>104.3</v>
      </c>
      <c r="H5929" s="5">
        <v>104.2</v>
      </c>
      <c r="I5929" s="5">
        <v>0</v>
      </c>
      <c r="J5929" s="5">
        <v>0</v>
      </c>
      <c r="K5929" s="5">
        <v>0</v>
      </c>
    </row>
    <row r="5930" spans="1:11" x14ac:dyDescent="0.25">
      <c r="A5930" s="5">
        <f>5923</f>
      </c>
      <c r="B5930" s="5" t="s">
        <v>5938</v>
      </c>
      <c r="C5930" s="5">
        <v>104.6</v>
      </c>
      <c r="D5930" s="5">
        <v>0.1</v>
      </c>
      <c r="E5930" s="5">
        <v>104.8</v>
      </c>
      <c r="F5930" s="5">
        <v>209.1</v>
      </c>
      <c r="G5930" s="5">
        <v>104.3</v>
      </c>
      <c r="H5930" s="5">
        <v>104.2</v>
      </c>
      <c r="I5930" s="5">
        <v>0</v>
      </c>
      <c r="J5930" s="5">
        <v>0</v>
      </c>
      <c r="K5930" s="5">
        <v>0</v>
      </c>
    </row>
    <row r="5931" spans="1:11" x14ac:dyDescent="0.25">
      <c r="A5931" s="5">
        <f>5924</f>
      </c>
      <c r="B5931" s="5" t="s">
        <v>5939</v>
      </c>
      <c r="C5931" s="5">
        <v>103.1</v>
      </c>
      <c r="D5931" s="5">
        <v>0.1</v>
      </c>
      <c r="E5931" s="5">
        <v>103.3</v>
      </c>
      <c r="F5931" s="5">
        <v>205.2</v>
      </c>
      <c r="G5931" s="5">
        <v>102.4</v>
      </c>
      <c r="H5931" s="5">
        <v>102.3</v>
      </c>
      <c r="I5931" s="5">
        <v>0</v>
      </c>
      <c r="J5931" s="5">
        <v>0</v>
      </c>
      <c r="K5931" s="5">
        <v>0</v>
      </c>
    </row>
    <row r="5932" spans="1:11" x14ac:dyDescent="0.25">
      <c r="A5932" s="5">
        <f>5925</f>
      </c>
      <c r="B5932" s="5" t="s">
        <v>5940</v>
      </c>
      <c r="C5932" s="5">
        <v>103.1</v>
      </c>
      <c r="D5932" s="5">
        <v>0</v>
      </c>
      <c r="E5932" s="5">
        <v>0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</row>
    <row r="5933" spans="1:11" x14ac:dyDescent="0.25">
      <c r="A5933" s="5">
        <f>5926</f>
      </c>
      <c r="B5933" s="5" t="s">
        <v>5941</v>
      </c>
      <c r="C5933" s="5">
        <v>102.2</v>
      </c>
      <c r="D5933" s="5">
        <v>0.1</v>
      </c>
      <c r="E5933" s="5">
        <v>102.4</v>
      </c>
      <c r="F5933" s="5">
        <v>204.6</v>
      </c>
      <c r="G5933" s="5">
        <v>102.1</v>
      </c>
      <c r="H5933" s="5">
        <v>102</v>
      </c>
      <c r="I5933" s="5">
        <v>0</v>
      </c>
      <c r="J5933" s="5">
        <v>0</v>
      </c>
      <c r="K5933" s="5">
        <v>0</v>
      </c>
    </row>
    <row r="5934" spans="1:11" x14ac:dyDescent="0.25">
      <c r="A5934" s="5">
        <f>5927</f>
      </c>
      <c r="B5934" s="5" t="s">
        <v>5942</v>
      </c>
      <c r="C5934" s="5">
        <v>102.4</v>
      </c>
      <c r="D5934" s="5">
        <v>0.1</v>
      </c>
      <c r="E5934" s="5">
        <v>102.6</v>
      </c>
      <c r="F5934" s="5">
        <v>204.3</v>
      </c>
      <c r="G5934" s="5">
        <v>101.9</v>
      </c>
      <c r="H5934" s="5">
        <v>101.8</v>
      </c>
      <c r="I5934" s="5">
        <v>0</v>
      </c>
      <c r="J5934" s="5">
        <v>0</v>
      </c>
      <c r="K5934" s="5">
        <v>0</v>
      </c>
    </row>
    <row r="5935" spans="1:11" x14ac:dyDescent="0.25">
      <c r="A5935" s="5">
        <f>5928</f>
      </c>
      <c r="B5935" s="5" t="s">
        <v>5943</v>
      </c>
      <c r="C5935" s="5">
        <v>102.4</v>
      </c>
      <c r="D5935" s="5">
        <v>0.1</v>
      </c>
      <c r="E5935" s="5">
        <v>102.6</v>
      </c>
      <c r="F5935" s="5">
        <v>204.3</v>
      </c>
      <c r="G5935" s="5">
        <v>101.9</v>
      </c>
      <c r="H5935" s="5">
        <v>101.8</v>
      </c>
      <c r="I5935" s="5">
        <v>0</v>
      </c>
      <c r="J5935" s="5">
        <v>0</v>
      </c>
      <c r="K5935" s="5">
        <v>0</v>
      </c>
    </row>
    <row r="5936" spans="1:11" x14ac:dyDescent="0.25">
      <c r="A5936" s="5">
        <f>5929</f>
      </c>
      <c r="B5936" s="5" t="s">
        <v>5944</v>
      </c>
      <c r="C5936" s="5">
        <v>102.5</v>
      </c>
      <c r="D5936" s="5">
        <v>0.1</v>
      </c>
      <c r="E5936" s="5">
        <v>102.7</v>
      </c>
      <c r="F5936" s="5">
        <v>204.9</v>
      </c>
      <c r="G5936" s="5">
        <v>102.2</v>
      </c>
      <c r="H5936" s="5">
        <v>102.1</v>
      </c>
      <c r="I5936" s="5">
        <v>0</v>
      </c>
      <c r="J5936" s="5">
        <v>0</v>
      </c>
      <c r="K5936" s="5">
        <v>0</v>
      </c>
    </row>
    <row r="5937" spans="1:11" x14ac:dyDescent="0.25">
      <c r="A5937" s="5">
        <f>5930</f>
      </c>
      <c r="B5937" s="5" t="s">
        <v>5945</v>
      </c>
      <c r="C5937" s="5">
        <v>102.5</v>
      </c>
      <c r="D5937" s="5">
        <v>0.1</v>
      </c>
      <c r="E5937" s="5">
        <v>102.7</v>
      </c>
      <c r="F5937" s="5">
        <v>204.9</v>
      </c>
      <c r="G5937" s="5">
        <v>102.2</v>
      </c>
      <c r="H5937" s="5">
        <v>102.1</v>
      </c>
      <c r="I5937" s="5">
        <v>0</v>
      </c>
      <c r="J5937" s="5">
        <v>0</v>
      </c>
      <c r="K5937" s="5">
        <v>0</v>
      </c>
    </row>
    <row r="5938" spans="1:11" x14ac:dyDescent="0.25">
      <c r="A5938" s="5">
        <f>5931</f>
      </c>
      <c r="B5938" s="5" t="s">
        <v>5946</v>
      </c>
      <c r="C5938" s="5">
        <v>102.5</v>
      </c>
      <c r="D5938" s="5">
        <v>0.1</v>
      </c>
      <c r="E5938" s="5">
        <v>102.7</v>
      </c>
      <c r="F5938" s="5">
        <v>204.9</v>
      </c>
      <c r="G5938" s="5">
        <v>102.2</v>
      </c>
      <c r="H5938" s="5">
        <v>102.1</v>
      </c>
      <c r="I5938" s="5">
        <v>0</v>
      </c>
      <c r="J5938" s="5">
        <v>0</v>
      </c>
      <c r="K5938" s="5">
        <v>0</v>
      </c>
    </row>
    <row r="5939" spans="1:11" x14ac:dyDescent="0.25">
      <c r="A5939" s="5">
        <f>5932</f>
      </c>
      <c r="B5939" s="5" t="s">
        <v>5947</v>
      </c>
      <c r="C5939" s="5">
        <v>102.5</v>
      </c>
      <c r="D5939" s="5">
        <v>0.1</v>
      </c>
      <c r="E5939" s="5">
        <v>102.7</v>
      </c>
      <c r="F5939" s="5">
        <v>204.9</v>
      </c>
      <c r="G5939" s="5">
        <v>102.2</v>
      </c>
      <c r="H5939" s="5">
        <v>102.1</v>
      </c>
      <c r="I5939" s="5">
        <v>0</v>
      </c>
      <c r="J5939" s="5">
        <v>0</v>
      </c>
      <c r="K5939" s="5">
        <v>0</v>
      </c>
    </row>
    <row r="5940" spans="1:11" x14ac:dyDescent="0.25">
      <c r="A5940" s="5">
        <f>5933</f>
      </c>
      <c r="B5940" s="5" t="s">
        <v>5948</v>
      </c>
      <c r="C5940" s="5">
        <v>102.5</v>
      </c>
      <c r="D5940" s="5">
        <v>0.1</v>
      </c>
      <c r="E5940" s="5">
        <v>102.7</v>
      </c>
      <c r="F5940" s="5">
        <v>204.9</v>
      </c>
      <c r="G5940" s="5">
        <v>102.2</v>
      </c>
      <c r="H5940" s="5">
        <v>102.1</v>
      </c>
      <c r="I5940" s="5">
        <v>0</v>
      </c>
      <c r="J5940" s="5">
        <v>0</v>
      </c>
      <c r="K5940" s="5">
        <v>0</v>
      </c>
    </row>
    <row r="5941" spans="1:11" x14ac:dyDescent="0.25">
      <c r="A5941" s="5">
        <f>5934</f>
      </c>
      <c r="B5941" s="5" t="s">
        <v>5949</v>
      </c>
      <c r="C5941" s="5">
        <v>102.5</v>
      </c>
      <c r="D5941" s="5">
        <v>0.1</v>
      </c>
      <c r="E5941" s="5">
        <v>102.7</v>
      </c>
      <c r="F5941" s="5">
        <v>205.4</v>
      </c>
      <c r="G5941" s="5">
        <v>102.4</v>
      </c>
      <c r="H5941" s="5">
        <v>102.3</v>
      </c>
      <c r="I5941" s="5">
        <v>0</v>
      </c>
      <c r="J5941" s="5">
        <v>0</v>
      </c>
      <c r="K5941" s="5">
        <v>0</v>
      </c>
    </row>
    <row r="5942" spans="1:11" x14ac:dyDescent="0.25">
      <c r="A5942" s="5">
        <f>5935</f>
      </c>
      <c r="B5942" s="5" t="s">
        <v>5950</v>
      </c>
      <c r="C5942" s="5">
        <v>102.8</v>
      </c>
      <c r="D5942" s="5">
        <v>0.1</v>
      </c>
      <c r="E5942" s="5">
        <v>103</v>
      </c>
      <c r="F5942" s="5">
        <v>205.4</v>
      </c>
      <c r="G5942" s="5">
        <v>102.4</v>
      </c>
      <c r="H5942" s="5">
        <v>102.3</v>
      </c>
      <c r="I5942" s="5">
        <v>0</v>
      </c>
      <c r="J5942" s="5">
        <v>0</v>
      </c>
      <c r="K5942" s="5">
        <v>0</v>
      </c>
    </row>
    <row r="5943" spans="1:11" x14ac:dyDescent="0.25">
      <c r="A5943" s="5">
        <f>5936</f>
      </c>
      <c r="B5943" s="5" t="s">
        <v>5951</v>
      </c>
      <c r="C5943" s="5">
        <v>102.8</v>
      </c>
      <c r="D5943" s="5">
        <v>0.1</v>
      </c>
      <c r="E5943" s="5">
        <v>103</v>
      </c>
      <c r="F5943" s="5">
        <v>205.4</v>
      </c>
      <c r="G5943" s="5">
        <v>102.4</v>
      </c>
      <c r="H5943" s="5">
        <v>102.3</v>
      </c>
      <c r="I5943" s="5">
        <v>0</v>
      </c>
      <c r="J5943" s="5">
        <v>0</v>
      </c>
      <c r="K5943" s="5">
        <v>0</v>
      </c>
    </row>
    <row r="5944" spans="1:11" x14ac:dyDescent="0.25">
      <c r="A5944" s="5">
        <f>5937</f>
      </c>
      <c r="B5944" s="5" t="s">
        <v>5952</v>
      </c>
      <c r="C5944" s="5">
        <v>102.4</v>
      </c>
      <c r="D5944" s="5">
        <v>0.1</v>
      </c>
      <c r="E5944" s="5">
        <v>102.5</v>
      </c>
      <c r="F5944" s="5">
        <v>204.4</v>
      </c>
      <c r="G5944" s="5">
        <v>102</v>
      </c>
      <c r="H5944" s="5">
        <v>101.8</v>
      </c>
      <c r="I5944" s="5">
        <v>0</v>
      </c>
      <c r="J5944" s="5">
        <v>0</v>
      </c>
      <c r="K5944" s="5">
        <v>0</v>
      </c>
    </row>
    <row r="5945" spans="1:11" x14ac:dyDescent="0.25">
      <c r="A5945" s="5">
        <f>5938</f>
      </c>
      <c r="B5945" s="5" t="s">
        <v>5953</v>
      </c>
      <c r="C5945" s="5">
        <v>102.4</v>
      </c>
      <c r="D5945" s="5">
        <v>0.1</v>
      </c>
      <c r="E5945" s="5">
        <v>102.5</v>
      </c>
      <c r="F5945" s="5">
        <v>204.4</v>
      </c>
      <c r="G5945" s="5">
        <v>102</v>
      </c>
      <c r="H5945" s="5">
        <v>101.8</v>
      </c>
      <c r="I5945" s="5">
        <v>0</v>
      </c>
      <c r="J5945" s="5">
        <v>0</v>
      </c>
      <c r="K5945" s="5">
        <v>0</v>
      </c>
    </row>
    <row r="5946" spans="1:11" x14ac:dyDescent="0.25">
      <c r="A5946" s="5">
        <f>5939</f>
      </c>
      <c r="B5946" s="5" t="s">
        <v>5954</v>
      </c>
      <c r="C5946" s="5">
        <v>102.5</v>
      </c>
      <c r="D5946" s="5">
        <v>0.1</v>
      </c>
      <c r="E5946" s="5">
        <v>102.7</v>
      </c>
      <c r="F5946" s="5">
        <v>204.6</v>
      </c>
      <c r="G5946" s="5">
        <v>102.1</v>
      </c>
      <c r="H5946" s="5">
        <v>102</v>
      </c>
      <c r="I5946" s="5">
        <v>0</v>
      </c>
      <c r="J5946" s="5">
        <v>0</v>
      </c>
      <c r="K5946" s="5">
        <v>0</v>
      </c>
    </row>
    <row r="5947" spans="1:11" x14ac:dyDescent="0.25">
      <c r="A5947" s="5">
        <f>5940</f>
      </c>
      <c r="B5947" s="5" t="s">
        <v>5955</v>
      </c>
      <c r="C5947" s="5">
        <v>102.5</v>
      </c>
      <c r="D5947" s="5">
        <v>0.1</v>
      </c>
      <c r="E5947" s="5">
        <v>102.7</v>
      </c>
      <c r="F5947" s="5">
        <v>204.6</v>
      </c>
      <c r="G5947" s="5">
        <v>102.1</v>
      </c>
      <c r="H5947" s="5">
        <v>102</v>
      </c>
      <c r="I5947" s="5">
        <v>0</v>
      </c>
      <c r="J5947" s="5">
        <v>0</v>
      </c>
      <c r="K5947" s="5">
        <v>0</v>
      </c>
    </row>
    <row r="5948" spans="1:11" x14ac:dyDescent="0.25">
      <c r="A5948" s="5">
        <f>5941</f>
      </c>
      <c r="B5948" s="5" t="s">
        <v>5956</v>
      </c>
      <c r="C5948" s="5">
        <v>102.7</v>
      </c>
      <c r="D5948" s="5">
        <v>0.1</v>
      </c>
      <c r="E5948" s="5">
        <v>102.8</v>
      </c>
      <c r="F5948" s="5">
        <v>204.3</v>
      </c>
      <c r="G5948" s="5">
        <v>101.9</v>
      </c>
      <c r="H5948" s="5">
        <v>101.8</v>
      </c>
      <c r="I5948" s="5">
        <v>0</v>
      </c>
      <c r="J5948" s="5">
        <v>0</v>
      </c>
      <c r="K5948" s="5">
        <v>0</v>
      </c>
    </row>
    <row r="5949" spans="1:11" x14ac:dyDescent="0.25">
      <c r="A5949" s="5">
        <f>5942</f>
      </c>
      <c r="B5949" s="5" t="s">
        <v>5957</v>
      </c>
      <c r="C5949" s="5">
        <v>102.7</v>
      </c>
      <c r="D5949" s="5">
        <v>0.1</v>
      </c>
      <c r="E5949" s="5">
        <v>102.8</v>
      </c>
      <c r="F5949" s="5">
        <v>204.3</v>
      </c>
      <c r="G5949" s="5">
        <v>101.9</v>
      </c>
      <c r="H5949" s="5">
        <v>101.8</v>
      </c>
      <c r="I5949" s="5">
        <v>0</v>
      </c>
      <c r="J5949" s="5">
        <v>0</v>
      </c>
      <c r="K5949" s="5">
        <v>0</v>
      </c>
    </row>
    <row r="5950" spans="1:11" x14ac:dyDescent="0.25">
      <c r="A5950" s="5">
        <f>5943</f>
      </c>
      <c r="B5950" s="5" t="s">
        <v>5958</v>
      </c>
      <c r="C5950" s="5">
        <v>102.1</v>
      </c>
      <c r="D5950" s="5">
        <v>0.1</v>
      </c>
      <c r="E5950" s="5">
        <v>102.2</v>
      </c>
      <c r="F5950" s="5">
        <v>205.4</v>
      </c>
      <c r="G5950" s="5">
        <v>102.4</v>
      </c>
      <c r="H5950" s="5">
        <v>102.3</v>
      </c>
      <c r="I5950" s="5">
        <v>0</v>
      </c>
      <c r="J5950" s="5">
        <v>0</v>
      </c>
      <c r="K5950" s="5">
        <v>0</v>
      </c>
    </row>
    <row r="5951" spans="1:11" x14ac:dyDescent="0.25">
      <c r="A5951" s="5">
        <f>5944</f>
      </c>
      <c r="B5951" s="5" t="s">
        <v>5959</v>
      </c>
      <c r="C5951" s="5">
        <v>102.1</v>
      </c>
      <c r="D5951" s="5">
        <v>0.1</v>
      </c>
      <c r="E5951" s="5">
        <v>102.2</v>
      </c>
      <c r="F5951" s="5">
        <v>205.4</v>
      </c>
      <c r="G5951" s="5">
        <v>102.4</v>
      </c>
      <c r="H5951" s="5">
        <v>102.3</v>
      </c>
      <c r="I5951" s="5">
        <v>0</v>
      </c>
      <c r="J5951" s="5">
        <v>0</v>
      </c>
      <c r="K5951" s="5">
        <v>0</v>
      </c>
    </row>
    <row r="5952" spans="1:11" x14ac:dyDescent="0.25">
      <c r="A5952" s="5">
        <f>5945</f>
      </c>
      <c r="B5952" s="5" t="s">
        <v>5960</v>
      </c>
      <c r="C5952" s="5">
        <v>102.7</v>
      </c>
      <c r="D5952" s="5">
        <v>0.1</v>
      </c>
      <c r="E5952" s="5">
        <v>102.9</v>
      </c>
      <c r="F5952" s="5">
        <v>205.1</v>
      </c>
      <c r="G5952" s="5">
        <v>102.3</v>
      </c>
      <c r="H5952" s="5">
        <v>102.2</v>
      </c>
      <c r="I5952" s="5">
        <v>0</v>
      </c>
      <c r="J5952" s="5">
        <v>0</v>
      </c>
      <c r="K5952" s="5">
        <v>0</v>
      </c>
    </row>
    <row r="5953" spans="1:11" x14ac:dyDescent="0.25">
      <c r="A5953" s="5">
        <f>5946</f>
      </c>
      <c r="B5953" s="5" t="s">
        <v>5961</v>
      </c>
      <c r="C5953" s="5">
        <v>102.7</v>
      </c>
      <c r="D5953" s="5">
        <v>0.1</v>
      </c>
      <c r="E5953" s="5">
        <v>102.9</v>
      </c>
      <c r="F5953" s="5">
        <v>205.1</v>
      </c>
      <c r="G5953" s="5">
        <v>102.3</v>
      </c>
      <c r="H5953" s="5">
        <v>102.2</v>
      </c>
      <c r="I5953" s="5">
        <v>0</v>
      </c>
      <c r="J5953" s="5">
        <v>0</v>
      </c>
      <c r="K5953" s="5">
        <v>0</v>
      </c>
    </row>
    <row r="5954" spans="1:11" x14ac:dyDescent="0.25">
      <c r="A5954" s="5">
        <f>5947</f>
      </c>
      <c r="B5954" s="5" t="s">
        <v>5962</v>
      </c>
      <c r="C5954" s="5">
        <v>102.4</v>
      </c>
      <c r="D5954" s="5">
        <v>0.1</v>
      </c>
      <c r="E5954" s="5">
        <v>102.6</v>
      </c>
      <c r="F5954" s="5">
        <v>204.6</v>
      </c>
      <c r="G5954" s="5">
        <v>102.1</v>
      </c>
      <c r="H5954" s="5">
        <v>101.9</v>
      </c>
      <c r="I5954" s="5">
        <v>0</v>
      </c>
      <c r="J5954" s="5">
        <v>0</v>
      </c>
      <c r="K5954" s="5">
        <v>0</v>
      </c>
    </row>
    <row r="5955" spans="1:11" x14ac:dyDescent="0.25">
      <c r="A5955" s="5">
        <f>5948</f>
      </c>
      <c r="B5955" s="5" t="s">
        <v>5963</v>
      </c>
      <c r="C5955" s="5">
        <v>102.4</v>
      </c>
      <c r="D5955" s="5">
        <v>0.1</v>
      </c>
      <c r="E5955" s="5">
        <v>102.6</v>
      </c>
      <c r="F5955" s="5">
        <v>204.6</v>
      </c>
      <c r="G5955" s="5">
        <v>102.1</v>
      </c>
      <c r="H5955" s="5">
        <v>101.9</v>
      </c>
      <c r="I5955" s="5">
        <v>0</v>
      </c>
      <c r="J5955" s="5">
        <v>0</v>
      </c>
      <c r="K5955" s="5">
        <v>0</v>
      </c>
    </row>
    <row r="5956" spans="1:11" x14ac:dyDescent="0.25">
      <c r="A5956" s="5">
        <f>5949</f>
      </c>
      <c r="B5956" s="5" t="s">
        <v>5964</v>
      </c>
      <c r="C5956" s="5">
        <v>102.4</v>
      </c>
      <c r="D5956" s="5">
        <v>0.1</v>
      </c>
      <c r="E5956" s="5">
        <v>102.6</v>
      </c>
      <c r="F5956" s="5">
        <v>204.6</v>
      </c>
      <c r="G5956" s="5">
        <v>102.1</v>
      </c>
      <c r="H5956" s="5">
        <v>101.9</v>
      </c>
      <c r="I5956" s="5">
        <v>0</v>
      </c>
      <c r="J5956" s="5">
        <v>0</v>
      </c>
      <c r="K5956" s="5">
        <v>0</v>
      </c>
    </row>
    <row r="5957" spans="1:11" x14ac:dyDescent="0.25">
      <c r="A5957" s="5">
        <f>5950</f>
      </c>
      <c r="B5957" s="5" t="s">
        <v>5965</v>
      </c>
      <c r="C5957" s="5">
        <v>102.4</v>
      </c>
      <c r="D5957" s="5">
        <v>0.1</v>
      </c>
      <c r="E5957" s="5">
        <v>103.3</v>
      </c>
      <c r="F5957" s="5">
        <v>205.7</v>
      </c>
      <c r="G5957" s="5">
        <v>102.6</v>
      </c>
      <c r="H5957" s="5">
        <v>102.5</v>
      </c>
      <c r="I5957" s="5">
        <v>0</v>
      </c>
      <c r="J5957" s="5">
        <v>0</v>
      </c>
      <c r="K5957" s="5">
        <v>0</v>
      </c>
    </row>
    <row r="5958" spans="1:11" x14ac:dyDescent="0.25">
      <c r="A5958" s="5">
        <f>5951</f>
      </c>
      <c r="B5958" s="5" t="s">
        <v>5966</v>
      </c>
      <c r="C5958" s="5">
        <v>103.2</v>
      </c>
      <c r="D5958" s="5">
        <v>0.1</v>
      </c>
      <c r="E5958" s="5">
        <v>103.3</v>
      </c>
      <c r="F5958" s="5">
        <v>205.7</v>
      </c>
      <c r="G5958" s="5">
        <v>102.6</v>
      </c>
      <c r="H5958" s="5">
        <v>102.5</v>
      </c>
      <c r="I5958" s="5">
        <v>0</v>
      </c>
      <c r="J5958" s="5">
        <v>0</v>
      </c>
      <c r="K5958" s="5">
        <v>0</v>
      </c>
    </row>
    <row r="5959" spans="1:11" x14ac:dyDescent="0.25">
      <c r="A5959" s="5">
        <f>5952</f>
      </c>
      <c r="B5959" s="5" t="s">
        <v>5967</v>
      </c>
      <c r="C5959" s="5">
        <v>103.2</v>
      </c>
      <c r="D5959" s="5">
        <v>0.1</v>
      </c>
      <c r="E5959" s="5">
        <v>103.3</v>
      </c>
      <c r="F5959" s="5">
        <v>205.8</v>
      </c>
      <c r="G5959" s="5">
        <v>102.7</v>
      </c>
      <c r="H5959" s="5">
        <v>102.6</v>
      </c>
      <c r="I5959" s="5">
        <v>0</v>
      </c>
      <c r="J5959" s="5">
        <v>0</v>
      </c>
      <c r="K5959" s="5">
        <v>0</v>
      </c>
    </row>
    <row r="5960" spans="1:11" x14ac:dyDescent="0.25">
      <c r="A5960" s="5">
        <f>5953</f>
      </c>
      <c r="B5960" s="5" t="s">
        <v>5968</v>
      </c>
      <c r="C5960" s="5">
        <v>103</v>
      </c>
      <c r="D5960" s="5">
        <v>0.1</v>
      </c>
      <c r="E5960" s="5">
        <v>103.1</v>
      </c>
      <c r="F5960" s="5">
        <v>205.8</v>
      </c>
      <c r="G5960" s="5">
        <v>102.7</v>
      </c>
      <c r="H5960" s="5">
        <v>102.6</v>
      </c>
      <c r="I5960" s="5">
        <v>0</v>
      </c>
      <c r="J5960" s="5">
        <v>0</v>
      </c>
      <c r="K5960" s="5">
        <v>0</v>
      </c>
    </row>
    <row r="5961" spans="1:11" x14ac:dyDescent="0.25">
      <c r="A5961" s="5">
        <f>5954</f>
      </c>
      <c r="B5961" s="5" t="s">
        <v>5969</v>
      </c>
      <c r="C5961" s="5">
        <v>103</v>
      </c>
      <c r="D5961" s="5">
        <v>0.1</v>
      </c>
      <c r="E5961" s="5">
        <v>103.1</v>
      </c>
      <c r="F5961" s="5">
        <v>205.8</v>
      </c>
      <c r="G5961" s="5">
        <v>102.7</v>
      </c>
      <c r="H5961" s="5">
        <v>102.4</v>
      </c>
      <c r="I5961" s="5">
        <v>0</v>
      </c>
      <c r="J5961" s="5">
        <v>0</v>
      </c>
      <c r="K5961" s="5">
        <v>0</v>
      </c>
    </row>
    <row r="5962" spans="1:11" x14ac:dyDescent="0.25">
      <c r="A5962" s="5">
        <f>5955</f>
      </c>
      <c r="B5962" s="5" t="s">
        <v>5970</v>
      </c>
      <c r="C5962" s="5">
        <v>102.9</v>
      </c>
      <c r="D5962" s="5">
        <v>0.1</v>
      </c>
      <c r="E5962" s="5">
        <v>103.1</v>
      </c>
      <c r="F5962" s="5">
        <v>205.5</v>
      </c>
      <c r="G5962" s="5">
        <v>102.5</v>
      </c>
      <c r="H5962" s="5">
        <v>102.4</v>
      </c>
      <c r="I5962" s="5">
        <v>0</v>
      </c>
      <c r="J5962" s="5">
        <v>0</v>
      </c>
      <c r="K5962" s="5">
        <v>0</v>
      </c>
    </row>
    <row r="5963" spans="1:11" x14ac:dyDescent="0.25">
      <c r="A5963" s="5">
        <f>5956</f>
      </c>
      <c r="B5963" s="5" t="s">
        <v>5971</v>
      </c>
      <c r="C5963" s="5">
        <v>102.9</v>
      </c>
      <c r="D5963" s="5">
        <v>0.1</v>
      </c>
      <c r="E5963" s="5">
        <v>103.1</v>
      </c>
      <c r="F5963" s="5">
        <v>205.5</v>
      </c>
      <c r="G5963" s="5">
        <v>102.5</v>
      </c>
      <c r="H5963" s="5">
        <v>102.7</v>
      </c>
      <c r="I5963" s="5">
        <v>0</v>
      </c>
      <c r="J5963" s="5">
        <v>0</v>
      </c>
      <c r="K5963" s="5">
        <v>0</v>
      </c>
    </row>
    <row r="5964" spans="1:11" x14ac:dyDescent="0.25">
      <c r="A5964" s="5">
        <f>5957</f>
      </c>
      <c r="B5964" s="5" t="s">
        <v>5972</v>
      </c>
      <c r="C5964" s="5">
        <v>103.4</v>
      </c>
      <c r="D5964" s="5">
        <v>0.1</v>
      </c>
      <c r="E5964" s="5">
        <v>103.5</v>
      </c>
      <c r="F5964" s="5">
        <v>206.1</v>
      </c>
      <c r="G5964" s="5">
        <v>102.8</v>
      </c>
      <c r="H5964" s="5">
        <v>102.7</v>
      </c>
      <c r="I5964" s="5">
        <v>0</v>
      </c>
      <c r="J5964" s="5">
        <v>0</v>
      </c>
      <c r="K5964" s="5">
        <v>0</v>
      </c>
    </row>
    <row r="5965" spans="1:11" x14ac:dyDescent="0.25">
      <c r="A5965" s="5">
        <f>5958</f>
      </c>
      <c r="B5965" s="5" t="s">
        <v>5973</v>
      </c>
      <c r="C5965" s="5">
        <v>103.4</v>
      </c>
      <c r="D5965" s="5">
        <v>0.1</v>
      </c>
      <c r="E5965" s="5">
        <v>103.5</v>
      </c>
      <c r="F5965" s="5">
        <v>206.1</v>
      </c>
      <c r="G5965" s="5">
        <v>102.8</v>
      </c>
      <c r="H5965" s="5">
        <v>102.7</v>
      </c>
      <c r="I5965" s="5">
        <v>0</v>
      </c>
      <c r="J5965" s="5">
        <v>0</v>
      </c>
      <c r="K5965" s="5">
        <v>0</v>
      </c>
    </row>
    <row r="5966" spans="1:11" x14ac:dyDescent="0.25">
      <c r="A5966" s="5">
        <f>5959</f>
      </c>
      <c r="B5966" s="5" t="s">
        <v>5974</v>
      </c>
      <c r="C5966" s="5">
        <v>103.4</v>
      </c>
      <c r="D5966" s="5">
        <v>0.1</v>
      </c>
      <c r="E5966" s="5">
        <v>103.5</v>
      </c>
      <c r="F5966" s="5">
        <v>206.1</v>
      </c>
      <c r="G5966" s="5">
        <v>102.8</v>
      </c>
      <c r="H5966" s="5">
        <v>102.7</v>
      </c>
      <c r="I5966" s="5">
        <v>0</v>
      </c>
      <c r="J5966" s="5">
        <v>0</v>
      </c>
      <c r="K5966" s="5">
        <v>0</v>
      </c>
    </row>
    <row r="5967" spans="1:11" x14ac:dyDescent="0.25">
      <c r="A5967" s="5">
        <f>5960</f>
      </c>
      <c r="B5967" s="5" t="s">
        <v>5975</v>
      </c>
      <c r="C5967" s="5">
        <v>103.4</v>
      </c>
      <c r="D5967" s="5">
        <v>0.1</v>
      </c>
      <c r="E5967" s="5">
        <v>103.5</v>
      </c>
      <c r="F5967" s="5">
        <v>206.2</v>
      </c>
      <c r="G5967" s="5">
        <v>103</v>
      </c>
      <c r="H5967" s="5">
        <v>102.9</v>
      </c>
      <c r="I5967" s="5">
        <v>0</v>
      </c>
      <c r="J5967" s="5">
        <v>0</v>
      </c>
      <c r="K5967" s="5">
        <v>0</v>
      </c>
    </row>
    <row r="5968" spans="1:11" x14ac:dyDescent="0.25">
      <c r="A5968" s="5">
        <f>5961</f>
      </c>
      <c r="B5968" s="5" t="s">
        <v>5976</v>
      </c>
      <c r="C5968" s="5">
        <v>103.4</v>
      </c>
      <c r="D5968" s="5">
        <v>0.1</v>
      </c>
      <c r="E5968" s="5">
        <v>103.5</v>
      </c>
      <c r="F5968" s="5">
        <v>206.2</v>
      </c>
      <c r="G5968" s="5">
        <v>103</v>
      </c>
      <c r="H5968" s="5">
        <v>102.9</v>
      </c>
      <c r="I5968" s="5">
        <v>0</v>
      </c>
      <c r="J5968" s="5">
        <v>0</v>
      </c>
      <c r="K5968" s="5">
        <v>0</v>
      </c>
    </row>
    <row r="5969" spans="1:11" x14ac:dyDescent="0.25">
      <c r="A5969" s="5">
        <f>5962</f>
      </c>
      <c r="B5969" s="5" t="s">
        <v>5977</v>
      </c>
      <c r="C5969" s="5">
        <v>102.7</v>
      </c>
      <c r="D5969" s="5">
        <v>0.1</v>
      </c>
      <c r="E5969" s="5">
        <v>102.9</v>
      </c>
      <c r="F5969" s="5">
        <v>205.6</v>
      </c>
      <c r="G5969" s="5">
        <v>102.4</v>
      </c>
      <c r="H5969" s="5">
        <v>102.3</v>
      </c>
      <c r="I5969" s="5">
        <v>0</v>
      </c>
      <c r="J5969" s="5">
        <v>0</v>
      </c>
      <c r="K5969" s="5">
        <v>0</v>
      </c>
    </row>
    <row r="5970" spans="1:11" x14ac:dyDescent="0.25">
      <c r="A5970" s="5">
        <f>5963</f>
      </c>
      <c r="B5970" s="5" t="s">
        <v>5978</v>
      </c>
      <c r="C5970" s="5">
        <v>102.7</v>
      </c>
      <c r="D5970" s="5">
        <v>0.1</v>
      </c>
      <c r="E5970" s="5">
        <v>102.9</v>
      </c>
      <c r="F5970" s="5">
        <v>205.6</v>
      </c>
      <c r="G5970" s="5">
        <v>102.4</v>
      </c>
      <c r="H5970" s="5">
        <v>102.3</v>
      </c>
      <c r="I5970" s="5">
        <v>0</v>
      </c>
      <c r="J5970" s="5">
        <v>0</v>
      </c>
      <c r="K5970" s="5">
        <v>0</v>
      </c>
    </row>
    <row r="5971" spans="1:11" x14ac:dyDescent="0.25">
      <c r="A5971" s="5">
        <f>5964</f>
      </c>
      <c r="B5971" s="5" t="s">
        <v>5979</v>
      </c>
      <c r="C5971" s="5">
        <v>102.7</v>
      </c>
      <c r="D5971" s="5">
        <v>0.1</v>
      </c>
      <c r="E5971" s="5">
        <v>102.9</v>
      </c>
      <c r="F5971" s="5">
        <v>205.5</v>
      </c>
      <c r="G5971" s="5">
        <v>102.7</v>
      </c>
      <c r="H5971" s="5">
        <v>102.6</v>
      </c>
      <c r="I5971" s="5">
        <v>0</v>
      </c>
      <c r="J5971" s="5">
        <v>0</v>
      </c>
      <c r="K5971" s="5">
        <v>0</v>
      </c>
    </row>
    <row r="5972" spans="1:11" x14ac:dyDescent="0.25">
      <c r="A5972" s="5">
        <f>5965</f>
      </c>
      <c r="B5972" s="5" t="s">
        <v>5980</v>
      </c>
      <c r="C5972" s="5">
        <v>102.7</v>
      </c>
      <c r="D5972" s="5">
        <v>0.1</v>
      </c>
      <c r="E5972" s="5">
        <v>102.9</v>
      </c>
      <c r="F5972" s="5">
        <v>205.5</v>
      </c>
      <c r="G5972" s="5">
        <v>102.7</v>
      </c>
      <c r="H5972" s="5">
        <v>102.6</v>
      </c>
      <c r="I5972" s="5">
        <v>0</v>
      </c>
      <c r="J5972" s="5">
        <v>0</v>
      </c>
      <c r="K5972" s="5">
        <v>0</v>
      </c>
    </row>
    <row r="5973" spans="1:11" x14ac:dyDescent="0.25">
      <c r="A5973" s="5">
        <f>5966</f>
      </c>
      <c r="B5973" s="5" t="s">
        <v>5981</v>
      </c>
      <c r="C5973" s="5">
        <v>103.2</v>
      </c>
      <c r="D5973" s="5">
        <v>0.1</v>
      </c>
      <c r="E5973" s="5">
        <v>103.3</v>
      </c>
      <c r="F5973" s="5">
        <v>206</v>
      </c>
      <c r="G5973" s="5">
        <v>102.9</v>
      </c>
      <c r="H5973" s="5">
        <v>102.7</v>
      </c>
      <c r="I5973" s="5">
        <v>0</v>
      </c>
      <c r="J5973" s="5">
        <v>0</v>
      </c>
      <c r="K5973" s="5">
        <v>0</v>
      </c>
    </row>
    <row r="5974" spans="1:11" x14ac:dyDescent="0.25">
      <c r="A5974" s="5">
        <f>5967</f>
      </c>
      <c r="B5974" s="5" t="s">
        <v>5982</v>
      </c>
      <c r="C5974" s="5">
        <v>103.2</v>
      </c>
      <c r="D5974" s="5">
        <v>0.1</v>
      </c>
      <c r="E5974" s="5">
        <v>103.3</v>
      </c>
      <c r="F5974" s="5">
        <v>206</v>
      </c>
      <c r="G5974" s="5">
        <v>102.9</v>
      </c>
      <c r="H5974" s="5">
        <v>102.7</v>
      </c>
      <c r="I5974" s="5">
        <v>0</v>
      </c>
      <c r="J5974" s="5">
        <v>0</v>
      </c>
      <c r="K5974" s="5">
        <v>0</v>
      </c>
    </row>
    <row r="5975" spans="1:11" x14ac:dyDescent="0.25">
      <c r="A5975" s="5">
        <f>5968</f>
      </c>
      <c r="B5975" s="5" t="s">
        <v>5983</v>
      </c>
      <c r="C5975" s="5">
        <v>103.2</v>
      </c>
      <c r="D5975" s="5">
        <v>0.1</v>
      </c>
      <c r="E5975" s="5">
        <v>103.3</v>
      </c>
      <c r="F5975" s="5">
        <v>206</v>
      </c>
      <c r="G5975" s="5">
        <v>102.9</v>
      </c>
      <c r="H5975" s="5">
        <v>102.7</v>
      </c>
      <c r="I5975" s="5">
        <v>0</v>
      </c>
      <c r="J5975" s="5">
        <v>0</v>
      </c>
      <c r="K5975" s="5">
        <v>0</v>
      </c>
    </row>
    <row r="5976" spans="1:11" x14ac:dyDescent="0.25">
      <c r="A5976" s="5">
        <f>5969</f>
      </c>
      <c r="B5976" s="5" t="s">
        <v>5984</v>
      </c>
      <c r="C5976" s="5">
        <v>103.2</v>
      </c>
      <c r="D5976" s="5">
        <v>0.1</v>
      </c>
      <c r="E5976" s="5">
        <v>103.3</v>
      </c>
      <c r="F5976" s="5">
        <v>206</v>
      </c>
      <c r="G5976" s="5">
        <v>102.9</v>
      </c>
      <c r="H5976" s="5">
        <v>102.7</v>
      </c>
      <c r="I5976" s="5">
        <v>0</v>
      </c>
      <c r="J5976" s="5">
        <v>0</v>
      </c>
      <c r="K5976" s="5">
        <v>0</v>
      </c>
    </row>
    <row r="5977" spans="1:11" x14ac:dyDescent="0.25">
      <c r="A5977" s="5">
        <f>5970</f>
      </c>
      <c r="B5977" s="5" t="s">
        <v>5985</v>
      </c>
      <c r="C5977" s="5">
        <v>103.4</v>
      </c>
      <c r="D5977" s="5">
        <v>0.1</v>
      </c>
      <c r="E5977" s="5">
        <v>103.6</v>
      </c>
      <c r="F5977" s="5">
        <v>206</v>
      </c>
      <c r="G5977" s="5">
        <v>102.8</v>
      </c>
      <c r="H5977" s="5">
        <v>102.7</v>
      </c>
      <c r="I5977" s="5">
        <v>0</v>
      </c>
      <c r="J5977" s="5">
        <v>0</v>
      </c>
      <c r="K5977" s="5">
        <v>0</v>
      </c>
    </row>
    <row r="5978" spans="1:11" x14ac:dyDescent="0.25">
      <c r="A5978" s="5">
        <f>5971</f>
      </c>
      <c r="B5978" s="5" t="s">
        <v>5986</v>
      </c>
      <c r="C5978" s="5">
        <v>103.4</v>
      </c>
      <c r="D5978" s="5">
        <v>0.1</v>
      </c>
      <c r="E5978" s="5">
        <v>103.6</v>
      </c>
      <c r="F5978" s="5">
        <v>206</v>
      </c>
      <c r="G5978" s="5">
        <v>102.8</v>
      </c>
      <c r="H5978" s="5">
        <v>102.7</v>
      </c>
      <c r="I5978" s="5">
        <v>0</v>
      </c>
      <c r="J5978" s="5">
        <v>0</v>
      </c>
      <c r="K5978" s="5">
        <v>0</v>
      </c>
    </row>
    <row r="5979" spans="1:11" x14ac:dyDescent="0.25">
      <c r="A5979" s="5">
        <f>5972</f>
      </c>
      <c r="B5979" s="5" t="s">
        <v>5987</v>
      </c>
      <c r="C5979" s="5">
        <v>103.4</v>
      </c>
      <c r="D5979" s="5">
        <v>0.1</v>
      </c>
      <c r="E5979" s="5">
        <v>103.6</v>
      </c>
      <c r="F5979" s="5">
        <v>206.4</v>
      </c>
      <c r="G5979" s="5">
        <v>103</v>
      </c>
      <c r="H5979" s="5">
        <v>102.8</v>
      </c>
      <c r="I5979" s="5">
        <v>0</v>
      </c>
      <c r="J5979" s="5">
        <v>0</v>
      </c>
      <c r="K5979" s="5">
        <v>0</v>
      </c>
    </row>
    <row r="5980" spans="1:11" x14ac:dyDescent="0.25">
      <c r="A5980" s="5">
        <f>5973</f>
      </c>
      <c r="B5980" s="5" t="s">
        <v>5988</v>
      </c>
      <c r="C5980" s="5">
        <v>103.4</v>
      </c>
      <c r="D5980" s="5">
        <v>0.1</v>
      </c>
      <c r="E5980" s="5">
        <v>103.6</v>
      </c>
      <c r="F5980" s="5">
        <v>206.4</v>
      </c>
      <c r="G5980" s="5">
        <v>103</v>
      </c>
      <c r="H5980" s="5">
        <v>102.8</v>
      </c>
      <c r="I5980" s="5">
        <v>0</v>
      </c>
      <c r="J5980" s="5">
        <v>0</v>
      </c>
      <c r="K5980" s="5">
        <v>0</v>
      </c>
    </row>
    <row r="5981" spans="1:11" x14ac:dyDescent="0.25">
      <c r="A5981" s="5">
        <f>5974</f>
      </c>
      <c r="B5981" s="5" t="s">
        <v>5989</v>
      </c>
      <c r="C5981" s="5">
        <v>102.9</v>
      </c>
      <c r="D5981" s="5">
        <v>0.1</v>
      </c>
      <c r="E5981" s="5">
        <v>103</v>
      </c>
      <c r="F5981" s="5">
        <v>205.2</v>
      </c>
      <c r="G5981" s="5">
        <v>102.4</v>
      </c>
      <c r="H5981" s="5">
        <v>102.3</v>
      </c>
      <c r="I5981" s="5">
        <v>0</v>
      </c>
      <c r="J5981" s="5">
        <v>0</v>
      </c>
      <c r="K5981" s="5">
        <v>0</v>
      </c>
    </row>
    <row r="5982" spans="1:11" x14ac:dyDescent="0.25">
      <c r="A5982" s="5">
        <f>5975</f>
      </c>
      <c r="B5982" s="5" t="s">
        <v>5990</v>
      </c>
      <c r="C5982" s="5">
        <v>102.9</v>
      </c>
      <c r="D5982" s="5">
        <v>0.1</v>
      </c>
      <c r="E5982" s="5">
        <v>103</v>
      </c>
      <c r="F5982" s="5">
        <v>205.2</v>
      </c>
      <c r="G5982" s="5">
        <v>102.4</v>
      </c>
      <c r="H5982" s="5">
        <v>102.3</v>
      </c>
      <c r="I5982" s="5">
        <v>0</v>
      </c>
      <c r="J5982" s="5">
        <v>0</v>
      </c>
      <c r="K5982" s="5">
        <v>0</v>
      </c>
    </row>
    <row r="5983" spans="1:11" x14ac:dyDescent="0.25">
      <c r="A5983" s="5">
        <f>5976</f>
      </c>
      <c r="B5983" s="5" t="s">
        <v>5991</v>
      </c>
      <c r="C5983" s="5">
        <v>103</v>
      </c>
      <c r="D5983" s="5">
        <v>0.1</v>
      </c>
      <c r="E5983" s="5">
        <v>103.1</v>
      </c>
      <c r="F5983" s="5">
        <v>205.8</v>
      </c>
      <c r="G5983" s="5">
        <v>102.7</v>
      </c>
      <c r="H5983" s="5">
        <v>102.6</v>
      </c>
      <c r="I5983" s="5">
        <v>0</v>
      </c>
      <c r="J5983" s="5">
        <v>0</v>
      </c>
      <c r="K5983" s="5">
        <v>0</v>
      </c>
    </row>
    <row r="5984" spans="1:11" x14ac:dyDescent="0.25">
      <c r="A5984" s="5">
        <f>5977</f>
      </c>
      <c r="B5984" s="5" t="s">
        <v>5992</v>
      </c>
      <c r="C5984" s="5">
        <v>103</v>
      </c>
      <c r="D5984" s="5">
        <v>0.1</v>
      </c>
      <c r="E5984" s="5">
        <v>103.1</v>
      </c>
      <c r="F5984" s="5">
        <v>205.8</v>
      </c>
      <c r="G5984" s="5">
        <v>102.7</v>
      </c>
      <c r="H5984" s="5">
        <v>102.6</v>
      </c>
      <c r="I5984" s="5">
        <v>0</v>
      </c>
      <c r="J5984" s="5">
        <v>0</v>
      </c>
      <c r="K5984" s="5">
        <v>0</v>
      </c>
    </row>
    <row r="5985" spans="1:11" x14ac:dyDescent="0.25">
      <c r="A5985" s="5">
        <f>5978</f>
      </c>
      <c r="B5985" s="5" t="s">
        <v>5993</v>
      </c>
      <c r="C5985" s="5">
        <v>103</v>
      </c>
      <c r="D5985" s="5">
        <v>0.1</v>
      </c>
      <c r="E5985" s="5">
        <v>103.1</v>
      </c>
      <c r="F5985" s="5">
        <v>205.8</v>
      </c>
      <c r="G5985" s="5">
        <v>102.7</v>
      </c>
      <c r="H5985" s="5">
        <v>102.6</v>
      </c>
      <c r="I5985" s="5">
        <v>0</v>
      </c>
      <c r="J5985" s="5">
        <v>0</v>
      </c>
      <c r="K5985" s="5">
        <v>0</v>
      </c>
    </row>
    <row r="5986" spans="1:11" x14ac:dyDescent="0.25">
      <c r="A5986" s="5">
        <f>5979</f>
      </c>
      <c r="B5986" s="5" t="s">
        <v>5994</v>
      </c>
      <c r="C5986" s="5">
        <v>103</v>
      </c>
      <c r="D5986" s="5">
        <v>0.1</v>
      </c>
      <c r="E5986" s="5">
        <v>103.1</v>
      </c>
      <c r="F5986" s="5">
        <v>205.8</v>
      </c>
      <c r="G5986" s="5">
        <v>102.7</v>
      </c>
      <c r="H5986" s="5">
        <v>102.6</v>
      </c>
      <c r="I5986" s="5">
        <v>0</v>
      </c>
      <c r="J5986" s="5">
        <v>0</v>
      </c>
      <c r="K5986" s="5">
        <v>0</v>
      </c>
    </row>
    <row r="5987" spans="1:11" x14ac:dyDescent="0.25">
      <c r="A5987" s="5">
        <f>5980</f>
      </c>
      <c r="B5987" s="5" t="s">
        <v>5995</v>
      </c>
      <c r="C5987" s="5">
        <v>103.4</v>
      </c>
      <c r="D5987" s="5">
        <v>0.1</v>
      </c>
      <c r="E5987" s="5">
        <v>103.5</v>
      </c>
      <c r="F5987" s="5">
        <v>206.2</v>
      </c>
      <c r="G5987" s="5">
        <v>102.9</v>
      </c>
      <c r="H5987" s="5">
        <v>102.8</v>
      </c>
      <c r="I5987" s="5">
        <v>0</v>
      </c>
      <c r="J5987" s="5">
        <v>0</v>
      </c>
      <c r="K5987" s="5">
        <v>0</v>
      </c>
    </row>
    <row r="5988" spans="1:11" x14ac:dyDescent="0.25">
      <c r="A5988" s="5">
        <f>5981</f>
      </c>
      <c r="B5988" s="5" t="s">
        <v>5996</v>
      </c>
      <c r="C5988" s="5">
        <v>103.4</v>
      </c>
      <c r="D5988" s="5">
        <v>0.1</v>
      </c>
      <c r="E5988" s="5">
        <v>103.5</v>
      </c>
      <c r="F5988" s="5">
        <v>206.2</v>
      </c>
      <c r="G5988" s="5">
        <v>102.9</v>
      </c>
      <c r="H5988" s="5">
        <v>102.8</v>
      </c>
      <c r="I5988" s="5">
        <v>0</v>
      </c>
      <c r="J5988" s="5">
        <v>0</v>
      </c>
      <c r="K5988" s="5">
        <v>0</v>
      </c>
    </row>
    <row r="5989" spans="1:11" x14ac:dyDescent="0.25">
      <c r="A5989" s="5">
        <f>5982</f>
      </c>
      <c r="B5989" s="5" t="s">
        <v>5997</v>
      </c>
      <c r="C5989" s="5">
        <v>102.6</v>
      </c>
      <c r="D5989" s="5">
        <v>0.1</v>
      </c>
      <c r="E5989" s="5">
        <v>102.7</v>
      </c>
      <c r="F5989" s="5">
        <v>205.6</v>
      </c>
      <c r="G5989" s="5">
        <v>102.5</v>
      </c>
      <c r="H5989" s="5">
        <v>102.4</v>
      </c>
      <c r="I5989" s="5">
        <v>0</v>
      </c>
      <c r="J5989" s="5">
        <v>0</v>
      </c>
      <c r="K5989" s="5">
        <v>0</v>
      </c>
    </row>
    <row r="5990" spans="1:11" x14ac:dyDescent="0.25">
      <c r="A5990" s="5">
        <f>5983</f>
      </c>
      <c r="B5990" s="5" t="s">
        <v>5998</v>
      </c>
      <c r="C5990" s="5">
        <v>102.6</v>
      </c>
      <c r="D5990" s="5">
        <v>0.1</v>
      </c>
      <c r="E5990" s="5">
        <v>102.7</v>
      </c>
      <c r="F5990" s="5">
        <v>205.6</v>
      </c>
      <c r="G5990" s="5">
        <v>102.5</v>
      </c>
      <c r="H5990" s="5">
        <v>102.4</v>
      </c>
      <c r="I5990" s="5">
        <v>0</v>
      </c>
      <c r="J5990" s="5">
        <v>0</v>
      </c>
      <c r="K5990" s="5">
        <v>0</v>
      </c>
    </row>
    <row r="5991" spans="1:11" x14ac:dyDescent="0.25">
      <c r="A5991" s="5">
        <f>5984</f>
      </c>
      <c r="B5991" s="5" t="s">
        <v>5999</v>
      </c>
      <c r="C5991" s="5">
        <v>102.7</v>
      </c>
      <c r="D5991" s="5">
        <v>0.1</v>
      </c>
      <c r="E5991" s="5">
        <v>102.9</v>
      </c>
      <c r="F5991" s="5">
        <v>205.3</v>
      </c>
      <c r="G5991" s="5">
        <v>102.4</v>
      </c>
      <c r="H5991" s="5">
        <v>102.3</v>
      </c>
      <c r="I5991" s="5">
        <v>0</v>
      </c>
      <c r="J5991" s="5">
        <v>0</v>
      </c>
      <c r="K5991" s="5">
        <v>0</v>
      </c>
    </row>
    <row r="5992" spans="1:11" x14ac:dyDescent="0.25">
      <c r="A5992" s="5">
        <f>5985</f>
      </c>
      <c r="B5992" s="5" t="s">
        <v>6000</v>
      </c>
      <c r="C5992" s="5">
        <v>102.7</v>
      </c>
      <c r="D5992" s="5">
        <v>0.1</v>
      </c>
      <c r="E5992" s="5">
        <v>102.9</v>
      </c>
      <c r="F5992" s="5">
        <v>205.3</v>
      </c>
      <c r="G5992" s="5">
        <v>102.4</v>
      </c>
      <c r="H5992" s="5">
        <v>102.3</v>
      </c>
      <c r="I5992" s="5">
        <v>0</v>
      </c>
      <c r="J5992" s="5">
        <v>0</v>
      </c>
      <c r="K5992" s="5">
        <v>0</v>
      </c>
    </row>
    <row r="5993" spans="1:11" x14ac:dyDescent="0.25">
      <c r="A5993" s="5">
        <f>5986</f>
      </c>
      <c r="B5993" s="5" t="s">
        <v>6001</v>
      </c>
      <c r="C5993" s="5">
        <v>103.1</v>
      </c>
      <c r="D5993" s="5">
        <v>0.1</v>
      </c>
      <c r="E5993" s="5">
        <v>103.1</v>
      </c>
      <c r="F5993" s="5">
        <v>206</v>
      </c>
      <c r="G5993" s="5">
        <v>102.8</v>
      </c>
      <c r="H5993" s="5">
        <v>102.6</v>
      </c>
      <c r="I5993" s="5">
        <v>0</v>
      </c>
      <c r="J5993" s="5">
        <v>0</v>
      </c>
      <c r="K5993" s="5">
        <v>0</v>
      </c>
    </row>
    <row r="5994" spans="1:11" x14ac:dyDescent="0.25">
      <c r="A5994" s="5">
        <f>5987</f>
      </c>
      <c r="B5994" s="5" t="s">
        <v>6002</v>
      </c>
      <c r="C5994" s="5">
        <v>103.1</v>
      </c>
      <c r="D5994" s="5">
        <v>0.1</v>
      </c>
      <c r="E5994" s="5">
        <v>103.1</v>
      </c>
      <c r="F5994" s="5">
        <v>206</v>
      </c>
      <c r="G5994" s="5">
        <v>102.8</v>
      </c>
      <c r="H5994" s="5">
        <v>102.6</v>
      </c>
      <c r="I5994" s="5">
        <v>0</v>
      </c>
      <c r="J5994" s="5">
        <v>0</v>
      </c>
      <c r="K5994" s="5">
        <v>0</v>
      </c>
    </row>
    <row r="5995" spans="1:11" x14ac:dyDescent="0.25">
      <c r="A5995" s="5">
        <f>5988</f>
      </c>
      <c r="B5995" s="5" t="s">
        <v>6003</v>
      </c>
      <c r="C5995" s="5">
        <v>103.1</v>
      </c>
      <c r="D5995" s="5">
        <v>0.1</v>
      </c>
      <c r="E5995" s="5">
        <v>103.1</v>
      </c>
      <c r="F5995" s="5">
        <v>206</v>
      </c>
      <c r="G5995" s="5">
        <v>102.8</v>
      </c>
      <c r="H5995" s="5">
        <v>102.6</v>
      </c>
      <c r="I5995" s="5">
        <v>0</v>
      </c>
      <c r="J5995" s="5">
        <v>0</v>
      </c>
      <c r="K5995" s="5">
        <v>0</v>
      </c>
    </row>
    <row r="5996" spans="1:11" x14ac:dyDescent="0.25">
      <c r="A5996" s="5">
        <f>5989</f>
      </c>
      <c r="B5996" s="5" t="s">
        <v>6004</v>
      </c>
      <c r="C5996" s="5">
        <v>103.1</v>
      </c>
      <c r="D5996" s="5">
        <v>0.1</v>
      </c>
      <c r="E5996" s="5">
        <v>103.1</v>
      </c>
      <c r="F5996" s="5">
        <v>206</v>
      </c>
      <c r="G5996" s="5">
        <v>102.8</v>
      </c>
      <c r="H5996" s="5">
        <v>102.6</v>
      </c>
      <c r="I5996" s="5">
        <v>0</v>
      </c>
      <c r="J5996" s="5">
        <v>0</v>
      </c>
      <c r="K5996" s="5">
        <v>0</v>
      </c>
    </row>
    <row r="5997" spans="1:11" x14ac:dyDescent="0.25">
      <c r="A5997" s="5">
        <f>5990</f>
      </c>
      <c r="B5997" s="5" t="s">
        <v>6005</v>
      </c>
      <c r="C5997" s="5">
        <v>103.4</v>
      </c>
      <c r="D5997" s="5">
        <v>0.1</v>
      </c>
      <c r="E5997" s="5">
        <v>103.4</v>
      </c>
      <c r="F5997" s="5">
        <v>206.5</v>
      </c>
      <c r="G5997" s="5">
        <v>103</v>
      </c>
      <c r="H5997" s="5">
        <v>102.9</v>
      </c>
      <c r="I5997" s="5">
        <v>0</v>
      </c>
      <c r="J5997" s="5">
        <v>0</v>
      </c>
      <c r="K5997" s="5">
        <v>0</v>
      </c>
    </row>
    <row r="5998" spans="1:11" x14ac:dyDescent="0.25">
      <c r="A5998" s="5">
        <f>5991</f>
      </c>
      <c r="B5998" s="5" t="s">
        <v>6006</v>
      </c>
      <c r="C5998" s="5">
        <v>103.4</v>
      </c>
      <c r="D5998" s="5">
        <v>0.1</v>
      </c>
      <c r="E5998" s="5">
        <v>103.4</v>
      </c>
      <c r="F5998" s="5">
        <v>206.5</v>
      </c>
      <c r="G5998" s="5">
        <v>103</v>
      </c>
      <c r="H5998" s="5">
        <v>102.9</v>
      </c>
      <c r="I5998" s="5">
        <v>0</v>
      </c>
      <c r="J5998" s="5">
        <v>0</v>
      </c>
      <c r="K5998" s="5">
        <v>0</v>
      </c>
    </row>
    <row r="5999" spans="1:11" x14ac:dyDescent="0.25">
      <c r="A5999" s="5">
        <f>5992</f>
      </c>
      <c r="B5999" s="5" t="s">
        <v>6007</v>
      </c>
      <c r="C5999" s="5">
        <v>102.7</v>
      </c>
      <c r="D5999" s="5">
        <v>0.1</v>
      </c>
      <c r="E5999" s="5">
        <v>102.9</v>
      </c>
      <c r="F5999" s="5">
        <v>205.8</v>
      </c>
      <c r="G5999" s="5">
        <v>102.7</v>
      </c>
      <c r="H5999" s="5">
        <v>102.5</v>
      </c>
      <c r="I5999" s="5">
        <v>0</v>
      </c>
      <c r="J5999" s="5">
        <v>0</v>
      </c>
      <c r="K5999" s="5">
        <v>0</v>
      </c>
    </row>
    <row r="6000" spans="1:11" x14ac:dyDescent="0.25">
      <c r="A6000" s="5">
        <f>5993</f>
      </c>
      <c r="B6000" s="5" t="s">
        <v>6008</v>
      </c>
      <c r="C6000" s="5">
        <v>102.7</v>
      </c>
      <c r="D6000" s="5">
        <v>0.1</v>
      </c>
      <c r="E6000" s="5">
        <v>102.9</v>
      </c>
      <c r="F6000" s="5">
        <v>205.8</v>
      </c>
      <c r="G6000" s="5">
        <v>102.7</v>
      </c>
      <c r="H6000" s="5">
        <v>102.5</v>
      </c>
      <c r="I6000" s="5">
        <v>0</v>
      </c>
      <c r="J6000" s="5">
        <v>0</v>
      </c>
      <c r="K6000" s="5">
        <v>0</v>
      </c>
    </row>
    <row r="6001" spans="1:11" x14ac:dyDescent="0.25">
      <c r="A6001" s="5">
        <f>5994</f>
      </c>
      <c r="B6001" s="5" t="s">
        <v>6009</v>
      </c>
      <c r="C6001" s="5">
        <v>103.7</v>
      </c>
      <c r="D6001" s="5">
        <v>0.1</v>
      </c>
      <c r="E6001" s="5">
        <v>103.8</v>
      </c>
      <c r="F6001" s="5">
        <v>206.6</v>
      </c>
      <c r="G6001" s="5">
        <v>103.1</v>
      </c>
      <c r="H6001" s="5">
        <v>102.9</v>
      </c>
      <c r="I6001" s="5">
        <v>0</v>
      </c>
      <c r="J6001" s="5">
        <v>0</v>
      </c>
      <c r="K6001" s="5">
        <v>0</v>
      </c>
    </row>
    <row r="6002" spans="1:11" x14ac:dyDescent="0.25">
      <c r="A6002" s="5">
        <f>5995</f>
      </c>
      <c r="B6002" s="5" t="s">
        <v>6010</v>
      </c>
      <c r="C6002" s="5">
        <v>103.7</v>
      </c>
      <c r="D6002" s="5">
        <v>0.1</v>
      </c>
      <c r="E6002" s="5">
        <v>103.8</v>
      </c>
      <c r="F6002" s="5">
        <v>206.6</v>
      </c>
      <c r="G6002" s="5">
        <v>103.1</v>
      </c>
      <c r="H6002" s="5">
        <v>102.9</v>
      </c>
      <c r="I6002" s="5">
        <v>0</v>
      </c>
      <c r="J6002" s="5">
        <v>0</v>
      </c>
      <c r="K6002" s="5">
        <v>0</v>
      </c>
    </row>
    <row r="6003" spans="1:11" x14ac:dyDescent="0.25">
      <c r="A6003" s="5">
        <f>5996</f>
      </c>
      <c r="B6003" s="5" t="s">
        <v>6011</v>
      </c>
      <c r="C6003" s="5">
        <v>103</v>
      </c>
      <c r="D6003" s="5">
        <v>0.1</v>
      </c>
      <c r="E6003" s="5">
        <v>103.1</v>
      </c>
      <c r="F6003" s="5">
        <v>205.4</v>
      </c>
      <c r="G6003" s="5">
        <v>102.5</v>
      </c>
      <c r="H6003" s="5">
        <v>102.3</v>
      </c>
      <c r="I6003" s="5">
        <v>0</v>
      </c>
      <c r="J6003" s="5">
        <v>0</v>
      </c>
      <c r="K6003" s="5">
        <v>0</v>
      </c>
    </row>
    <row r="6004" spans="1:11" x14ac:dyDescent="0.25">
      <c r="A6004" s="5">
        <f>5997</f>
      </c>
      <c r="B6004" s="5" t="s">
        <v>6012</v>
      </c>
      <c r="C6004" s="5">
        <v>103</v>
      </c>
      <c r="D6004" s="5">
        <v>0.1</v>
      </c>
      <c r="E6004" s="5">
        <v>103.1</v>
      </c>
      <c r="F6004" s="5">
        <v>205.4</v>
      </c>
      <c r="G6004" s="5">
        <v>102.5</v>
      </c>
      <c r="H6004" s="5">
        <v>102.3</v>
      </c>
      <c r="I6004" s="5">
        <v>0</v>
      </c>
      <c r="J6004" s="5">
        <v>0</v>
      </c>
      <c r="K6004" s="5">
        <v>0</v>
      </c>
    </row>
    <row r="6005" spans="1:11" x14ac:dyDescent="0.25">
      <c r="A6005" s="5">
        <f>5998</f>
      </c>
      <c r="B6005" s="5" t="s">
        <v>6013</v>
      </c>
      <c r="C6005" s="5">
        <v>103</v>
      </c>
      <c r="D6005" s="5">
        <v>0.1</v>
      </c>
      <c r="E6005" s="5">
        <v>103.1</v>
      </c>
      <c r="F6005" s="5">
        <v>205.4</v>
      </c>
      <c r="G6005" s="5">
        <v>102.5</v>
      </c>
      <c r="H6005" s="5">
        <v>102.3</v>
      </c>
      <c r="I6005" s="5">
        <v>0</v>
      </c>
      <c r="J6005" s="5">
        <v>0</v>
      </c>
      <c r="K6005" s="5">
        <v>0</v>
      </c>
    </row>
    <row r="6006" spans="1:11" x14ac:dyDescent="0.25">
      <c r="A6006" s="5">
        <f>5999</f>
      </c>
      <c r="B6006" s="5" t="s">
        <v>6014</v>
      </c>
      <c r="C6006" s="5">
        <v>103</v>
      </c>
      <c r="D6006" s="5">
        <v>0.1</v>
      </c>
      <c r="E6006" s="5">
        <v>103.1</v>
      </c>
      <c r="F6006" s="5">
        <v>205.4</v>
      </c>
      <c r="G6006" s="5">
        <v>102.5</v>
      </c>
      <c r="H6006" s="5">
        <v>102.3</v>
      </c>
      <c r="I6006" s="5">
        <v>0</v>
      </c>
      <c r="J6006" s="5">
        <v>0</v>
      </c>
      <c r="K6006" s="5">
        <v>0</v>
      </c>
    </row>
    <row r="6007" spans="1:11" x14ac:dyDescent="0.25">
      <c r="A6007" s="5">
        <f>6000</f>
      </c>
      <c r="B6007" s="5" t="s">
        <v>6015</v>
      </c>
      <c r="C6007" s="5">
        <v>103.1</v>
      </c>
      <c r="D6007" s="5">
        <v>0.1</v>
      </c>
      <c r="E6007" s="5">
        <v>103.2</v>
      </c>
      <c r="F6007" s="5">
        <v>206.2</v>
      </c>
      <c r="G6007" s="5">
        <v>102.9</v>
      </c>
      <c r="H6007" s="5">
        <v>102.7</v>
      </c>
      <c r="I6007" s="5">
        <v>0</v>
      </c>
      <c r="J6007" s="5">
        <v>0</v>
      </c>
      <c r="K6007" s="5">
        <v>0</v>
      </c>
    </row>
    <row r="6008" spans="1:11" x14ac:dyDescent="0.25">
      <c r="A6008" s="5">
        <f>6001</f>
      </c>
      <c r="B6008" s="5" t="s">
        <v>6016</v>
      </c>
      <c r="C6008" s="5">
        <v>103.1</v>
      </c>
      <c r="D6008" s="5">
        <v>0.1</v>
      </c>
      <c r="E6008" s="5">
        <v>103.2</v>
      </c>
      <c r="F6008" s="5">
        <v>206.2</v>
      </c>
      <c r="G6008" s="5">
        <v>102.9</v>
      </c>
      <c r="H6008" s="5">
        <v>102.7</v>
      </c>
      <c r="I6008" s="5">
        <v>0</v>
      </c>
      <c r="J6008" s="5">
        <v>0</v>
      </c>
      <c r="K6008" s="5">
        <v>0</v>
      </c>
    </row>
    <row r="6009" spans="1:11" x14ac:dyDescent="0.25">
      <c r="A6009" s="5">
        <f>6002</f>
      </c>
      <c r="B6009" s="5" t="s">
        <v>6017</v>
      </c>
      <c r="C6009" s="5">
        <v>103.8</v>
      </c>
      <c r="D6009" s="5">
        <v>0.1</v>
      </c>
      <c r="E6009" s="5">
        <v>104</v>
      </c>
      <c r="F6009" s="5">
        <v>206.8</v>
      </c>
      <c r="G6009" s="5">
        <v>103.2</v>
      </c>
      <c r="H6009" s="5">
        <v>103</v>
      </c>
      <c r="I6009" s="5">
        <v>0</v>
      </c>
      <c r="J6009" s="5">
        <v>0</v>
      </c>
      <c r="K6009" s="5">
        <v>0</v>
      </c>
    </row>
    <row r="6010" spans="1:11" x14ac:dyDescent="0.25">
      <c r="A6010" s="5">
        <f>6003</f>
      </c>
      <c r="B6010" s="5" t="s">
        <v>6018</v>
      </c>
      <c r="C6010" s="5">
        <v>103.8</v>
      </c>
      <c r="D6010" s="5">
        <v>0.1</v>
      </c>
      <c r="E6010" s="5">
        <v>104</v>
      </c>
      <c r="F6010" s="5">
        <v>206.8</v>
      </c>
      <c r="G6010" s="5">
        <v>103.2</v>
      </c>
      <c r="H6010" s="5">
        <v>103</v>
      </c>
      <c r="I6010" s="5">
        <v>0</v>
      </c>
      <c r="J6010" s="5">
        <v>0</v>
      </c>
      <c r="K6010" s="5">
        <v>0</v>
      </c>
    </row>
    <row r="6011" spans="1:11" x14ac:dyDescent="0.25">
      <c r="A6011" s="5">
        <f>6004</f>
      </c>
      <c r="B6011" s="5" t="s">
        <v>6019</v>
      </c>
      <c r="C6011" s="5">
        <v>103.1</v>
      </c>
      <c r="D6011" s="5">
        <v>0.1</v>
      </c>
      <c r="E6011" s="5">
        <v>103.2</v>
      </c>
      <c r="F6011" s="5">
        <v>206.6</v>
      </c>
      <c r="G6011" s="5">
        <v>103.1</v>
      </c>
      <c r="H6011" s="5">
        <v>102.9</v>
      </c>
      <c r="I6011" s="5">
        <v>0</v>
      </c>
      <c r="J6011" s="5">
        <v>0</v>
      </c>
      <c r="K6011" s="5">
        <v>0</v>
      </c>
    </row>
    <row r="6012" spans="1:11" x14ac:dyDescent="0.25">
      <c r="A6012" s="5">
        <f>6005</f>
      </c>
      <c r="B6012" s="5" t="s">
        <v>6020</v>
      </c>
      <c r="C6012" s="5">
        <v>103.1</v>
      </c>
      <c r="D6012" s="5">
        <v>0.1</v>
      </c>
      <c r="E6012" s="5">
        <v>103.2</v>
      </c>
      <c r="F6012" s="5">
        <v>206.6</v>
      </c>
      <c r="G6012" s="5">
        <v>103.1</v>
      </c>
      <c r="H6012" s="5">
        <v>102.9</v>
      </c>
      <c r="I6012" s="5">
        <v>0</v>
      </c>
      <c r="J6012" s="5">
        <v>0</v>
      </c>
      <c r="K6012" s="5">
        <v>0</v>
      </c>
    </row>
    <row r="6013" spans="1:11" x14ac:dyDescent="0.25">
      <c r="A6013" s="5">
        <f>6006</f>
      </c>
      <c r="B6013" s="5" t="s">
        <v>6021</v>
      </c>
      <c r="C6013" s="5">
        <v>103</v>
      </c>
      <c r="D6013" s="5">
        <v>0.1</v>
      </c>
      <c r="E6013" s="5">
        <v>103.1</v>
      </c>
      <c r="F6013" s="5">
        <v>206.3</v>
      </c>
      <c r="G6013" s="5">
        <v>102.9</v>
      </c>
      <c r="H6013" s="5">
        <v>102.7</v>
      </c>
      <c r="I6013" s="5">
        <v>0</v>
      </c>
      <c r="J6013" s="5">
        <v>0</v>
      </c>
      <c r="K6013" s="5">
        <v>0</v>
      </c>
    </row>
    <row r="6014" spans="1:11" x14ac:dyDescent="0.25">
      <c r="A6014" s="5">
        <f>6007</f>
      </c>
      <c r="B6014" s="5" t="s">
        <v>6022</v>
      </c>
      <c r="C6014" s="5">
        <v>103</v>
      </c>
      <c r="D6014" s="5">
        <v>0.1</v>
      </c>
      <c r="E6014" s="5">
        <v>103.1</v>
      </c>
      <c r="F6014" s="5">
        <v>206.3</v>
      </c>
      <c r="G6014" s="5">
        <v>102.9</v>
      </c>
      <c r="H6014" s="5">
        <v>102.7</v>
      </c>
      <c r="I6014" s="5">
        <v>0</v>
      </c>
      <c r="J6014" s="5">
        <v>0</v>
      </c>
      <c r="K6014" s="5">
        <v>0</v>
      </c>
    </row>
    <row r="6015" spans="1:11" x14ac:dyDescent="0.25">
      <c r="A6015" s="5">
        <f>6008</f>
      </c>
      <c r="B6015" s="5" t="s">
        <v>6023</v>
      </c>
      <c r="C6015" s="5">
        <v>103</v>
      </c>
      <c r="D6015" s="5">
        <v>0.1</v>
      </c>
      <c r="E6015" s="5">
        <v>103.1</v>
      </c>
      <c r="F6015" s="5">
        <v>206.3</v>
      </c>
      <c r="G6015" s="5">
        <v>102.9</v>
      </c>
      <c r="H6015" s="5">
        <v>102.7</v>
      </c>
      <c r="I6015" s="5">
        <v>0</v>
      </c>
      <c r="J6015" s="5">
        <v>0</v>
      </c>
      <c r="K6015" s="5">
        <v>0</v>
      </c>
    </row>
    <row r="6016" spans="1:11" x14ac:dyDescent="0.25">
      <c r="A6016" s="5">
        <f>6009</f>
      </c>
      <c r="B6016" s="5" t="s">
        <v>6024</v>
      </c>
      <c r="C6016" s="5">
        <v>103</v>
      </c>
      <c r="D6016" s="5">
        <v>0.1</v>
      </c>
      <c r="E6016" s="5">
        <v>103.1</v>
      </c>
      <c r="F6016" s="5">
        <v>206.3</v>
      </c>
      <c r="G6016" s="5">
        <v>102.9</v>
      </c>
      <c r="H6016" s="5">
        <v>102.7</v>
      </c>
      <c r="I6016" s="5">
        <v>0</v>
      </c>
      <c r="J6016" s="5">
        <v>0</v>
      </c>
      <c r="K6016" s="5">
        <v>0</v>
      </c>
    </row>
    <row r="6017" spans="1:11" x14ac:dyDescent="0.25">
      <c r="A6017" s="5">
        <f>6010</f>
      </c>
      <c r="B6017" s="5" t="s">
        <v>6025</v>
      </c>
      <c r="C6017" s="5">
        <v>0</v>
      </c>
      <c r="D6017" s="5">
        <v>0</v>
      </c>
      <c r="E6017" s="5">
        <v>0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</row>
    <row r="6018" spans="1:11" x14ac:dyDescent="0.25">
      <c r="A6018" s="5">
        <f>6011</f>
      </c>
      <c r="B6018" s="5" t="s">
        <v>6026</v>
      </c>
      <c r="C6018" s="5">
        <v>102.6</v>
      </c>
      <c r="D6018" s="5">
        <v>0.1</v>
      </c>
      <c r="E6018" s="5">
        <v>102.7</v>
      </c>
      <c r="F6018" s="5">
        <v>205.2</v>
      </c>
      <c r="G6018" s="5">
        <v>102.3</v>
      </c>
      <c r="H6018" s="5">
        <v>102.2</v>
      </c>
      <c r="I6018" s="5">
        <v>0</v>
      </c>
      <c r="J6018" s="5">
        <v>0</v>
      </c>
      <c r="K6018" s="5">
        <v>0</v>
      </c>
    </row>
    <row r="6019" spans="1:11" x14ac:dyDescent="0.25">
      <c r="A6019" s="5">
        <f>6012</f>
      </c>
      <c r="B6019" s="5" t="s">
        <v>6027</v>
      </c>
      <c r="C6019" s="5">
        <v>102.9</v>
      </c>
      <c r="D6019" s="5">
        <v>0.1</v>
      </c>
      <c r="E6019" s="5">
        <v>103</v>
      </c>
      <c r="F6019" s="5">
        <v>205.3</v>
      </c>
      <c r="G6019" s="5">
        <v>102.5</v>
      </c>
      <c r="H6019" s="5">
        <v>102.4</v>
      </c>
      <c r="I6019" s="5">
        <v>0</v>
      </c>
      <c r="J6019" s="5">
        <v>0</v>
      </c>
      <c r="K6019" s="5">
        <v>0</v>
      </c>
    </row>
    <row r="6020" spans="1:11" x14ac:dyDescent="0.25">
      <c r="A6020" s="5">
        <f>6013</f>
      </c>
      <c r="B6020" s="5" t="s">
        <v>6028</v>
      </c>
      <c r="C6020" s="5">
        <v>102.9</v>
      </c>
      <c r="D6020" s="5">
        <v>0.1</v>
      </c>
      <c r="E6020" s="5">
        <v>103</v>
      </c>
      <c r="F6020" s="5">
        <v>205.3</v>
      </c>
      <c r="G6020" s="5">
        <v>102.5</v>
      </c>
      <c r="H6020" s="5">
        <v>102.4</v>
      </c>
      <c r="I6020" s="5">
        <v>0</v>
      </c>
      <c r="J6020" s="5">
        <v>0</v>
      </c>
      <c r="K6020" s="5">
        <v>0</v>
      </c>
    </row>
    <row r="6021" spans="1:11" x14ac:dyDescent="0.25">
      <c r="A6021" s="5">
        <f>6014</f>
      </c>
      <c r="B6021" s="5" t="s">
        <v>6029</v>
      </c>
      <c r="C6021" s="5">
        <v>105</v>
      </c>
      <c r="D6021" s="5">
        <v>0.1</v>
      </c>
      <c r="E6021" s="5">
        <v>105.1</v>
      </c>
      <c r="F6021" s="5">
        <v>209.7</v>
      </c>
      <c r="G6021" s="5">
        <v>104.6</v>
      </c>
      <c r="H6021" s="5">
        <v>104.5</v>
      </c>
      <c r="I6021" s="5">
        <v>0</v>
      </c>
      <c r="J6021" s="5">
        <v>0</v>
      </c>
      <c r="K6021" s="5">
        <v>0</v>
      </c>
    </row>
    <row r="6022" spans="1:11" x14ac:dyDescent="0.25">
      <c r="A6022" s="5">
        <f>6015</f>
      </c>
      <c r="B6022" s="5" t="s">
        <v>6030</v>
      </c>
      <c r="C6022" s="5">
        <v>105</v>
      </c>
      <c r="D6022" s="5">
        <v>0.1</v>
      </c>
      <c r="E6022" s="5">
        <v>105.1</v>
      </c>
      <c r="F6022" s="5">
        <v>209.7</v>
      </c>
      <c r="G6022" s="5">
        <v>104.6</v>
      </c>
      <c r="H6022" s="5">
        <v>104.5</v>
      </c>
      <c r="I6022" s="5">
        <v>0</v>
      </c>
      <c r="J6022" s="5">
        <v>0</v>
      </c>
      <c r="K6022" s="5">
        <v>0</v>
      </c>
    </row>
    <row r="6023" spans="1:11" x14ac:dyDescent="0.25">
      <c r="A6023" s="5">
        <f>6016</f>
      </c>
      <c r="B6023" s="5" t="s">
        <v>6031</v>
      </c>
      <c r="C6023" s="5">
        <v>105</v>
      </c>
      <c r="D6023" s="5">
        <v>0.1</v>
      </c>
      <c r="E6023" s="5">
        <v>105.1</v>
      </c>
      <c r="F6023" s="5">
        <v>209.7</v>
      </c>
      <c r="G6023" s="5">
        <v>104.6</v>
      </c>
      <c r="H6023" s="5">
        <v>104.5</v>
      </c>
      <c r="I6023" s="5">
        <v>0</v>
      </c>
      <c r="J6023" s="5">
        <v>0</v>
      </c>
      <c r="K6023" s="5">
        <v>0</v>
      </c>
    </row>
    <row r="6024" spans="1:11" x14ac:dyDescent="0.25">
      <c r="A6024" s="5">
        <f>6017</f>
      </c>
      <c r="B6024" s="5" t="s">
        <v>6032</v>
      </c>
      <c r="C6024" s="5">
        <v>105</v>
      </c>
      <c r="D6024" s="5">
        <v>0.1</v>
      </c>
      <c r="E6024" s="5">
        <v>105.1</v>
      </c>
      <c r="F6024" s="5">
        <v>209.7</v>
      </c>
      <c r="G6024" s="5">
        <v>104.6</v>
      </c>
      <c r="H6024" s="5">
        <v>104.5</v>
      </c>
      <c r="I6024" s="5">
        <v>0</v>
      </c>
      <c r="J6024" s="5">
        <v>0</v>
      </c>
      <c r="K6024" s="5">
        <v>0</v>
      </c>
    </row>
    <row r="6025" spans="1:11" x14ac:dyDescent="0.25">
      <c r="A6025" s="5">
        <f>6018</f>
      </c>
      <c r="B6025" s="5" t="s">
        <v>6033</v>
      </c>
      <c r="C6025" s="5">
        <v>105</v>
      </c>
      <c r="D6025" s="5">
        <v>0.1</v>
      </c>
      <c r="E6025" s="5">
        <v>105</v>
      </c>
      <c r="F6025" s="5">
        <v>210.2</v>
      </c>
      <c r="G6025" s="5">
        <v>104.9</v>
      </c>
      <c r="H6025" s="5">
        <v>104.7</v>
      </c>
      <c r="I6025" s="5">
        <v>0</v>
      </c>
      <c r="J6025" s="5">
        <v>0</v>
      </c>
      <c r="K6025" s="5">
        <v>0</v>
      </c>
    </row>
    <row r="6026" spans="1:11" x14ac:dyDescent="0.25">
      <c r="A6026" s="5">
        <f>6019</f>
      </c>
      <c r="B6026" s="5" t="s">
        <v>6034</v>
      </c>
      <c r="C6026" s="5">
        <v>105</v>
      </c>
      <c r="D6026" s="5">
        <v>0.1</v>
      </c>
      <c r="E6026" s="5">
        <v>105</v>
      </c>
      <c r="F6026" s="5">
        <v>210.2</v>
      </c>
      <c r="G6026" s="5">
        <v>104.9</v>
      </c>
      <c r="H6026" s="5">
        <v>104.7</v>
      </c>
      <c r="I6026" s="5">
        <v>0</v>
      </c>
      <c r="J6026" s="5">
        <v>0</v>
      </c>
      <c r="K6026" s="5">
        <v>0</v>
      </c>
    </row>
    <row r="6027" spans="1:11" x14ac:dyDescent="0.25">
      <c r="A6027" s="5">
        <f>6020</f>
      </c>
      <c r="B6027" s="5" t="s">
        <v>6035</v>
      </c>
      <c r="C6027" s="5">
        <v>105</v>
      </c>
      <c r="D6027" s="5">
        <v>0.1</v>
      </c>
      <c r="E6027" s="5">
        <v>105.2</v>
      </c>
      <c r="F6027" s="5">
        <v>210.3</v>
      </c>
      <c r="G6027" s="5">
        <v>104.9</v>
      </c>
      <c r="H6027" s="5">
        <v>104.8</v>
      </c>
      <c r="I6027" s="5">
        <v>0</v>
      </c>
      <c r="J6027" s="5">
        <v>0</v>
      </c>
      <c r="K6027" s="5">
        <v>0</v>
      </c>
    </row>
    <row r="6028" spans="1:11" x14ac:dyDescent="0.25">
      <c r="A6028" s="5">
        <f>6021</f>
      </c>
      <c r="B6028" s="5" t="s">
        <v>6036</v>
      </c>
      <c r="C6028" s="5">
        <v>105</v>
      </c>
      <c r="D6028" s="5">
        <v>0.1</v>
      </c>
      <c r="E6028" s="5">
        <v>105.2</v>
      </c>
      <c r="F6028" s="5">
        <v>210.3</v>
      </c>
      <c r="G6028" s="5">
        <v>104.9</v>
      </c>
      <c r="H6028" s="5">
        <v>104.8</v>
      </c>
      <c r="I6028" s="5">
        <v>0</v>
      </c>
      <c r="J6028" s="5">
        <v>0</v>
      </c>
      <c r="K6028" s="5">
        <v>0</v>
      </c>
    </row>
    <row r="6029" spans="1:11" x14ac:dyDescent="0.25">
      <c r="A6029" s="5">
        <f>6022</f>
      </c>
      <c r="B6029" s="5" t="s">
        <v>6037</v>
      </c>
      <c r="C6029" s="5">
        <v>105.4</v>
      </c>
      <c r="D6029" s="5">
        <v>0.1</v>
      </c>
      <c r="E6029" s="5">
        <v>105.6</v>
      </c>
      <c r="F6029" s="5">
        <v>210.3</v>
      </c>
      <c r="G6029" s="5">
        <v>104.9</v>
      </c>
      <c r="H6029" s="5">
        <v>104.8</v>
      </c>
      <c r="I6029" s="5">
        <v>0</v>
      </c>
      <c r="J6029" s="5">
        <v>0</v>
      </c>
      <c r="K6029" s="5">
        <v>0</v>
      </c>
    </row>
    <row r="6030" spans="1:11" x14ac:dyDescent="0.25">
      <c r="A6030" s="5">
        <f>6023</f>
      </c>
      <c r="B6030" s="5" t="s">
        <v>6038</v>
      </c>
      <c r="C6030" s="5">
        <v>105.4</v>
      </c>
      <c r="D6030" s="5">
        <v>0.1</v>
      </c>
      <c r="E6030" s="5">
        <v>105.6</v>
      </c>
      <c r="F6030" s="5">
        <v>210.3</v>
      </c>
      <c r="G6030" s="5">
        <v>104.9</v>
      </c>
      <c r="H6030" s="5">
        <v>104.8</v>
      </c>
      <c r="I6030" s="5">
        <v>0</v>
      </c>
      <c r="J6030" s="5">
        <v>0</v>
      </c>
      <c r="K6030" s="5">
        <v>0</v>
      </c>
    </row>
    <row r="6031" spans="1:11" x14ac:dyDescent="0.25">
      <c r="A6031" s="5">
        <f>6024</f>
      </c>
      <c r="B6031" s="5" t="s">
        <v>6039</v>
      </c>
      <c r="C6031" s="5">
        <v>105.6</v>
      </c>
      <c r="D6031" s="5">
        <v>0.1</v>
      </c>
      <c r="E6031" s="5">
        <v>105.7</v>
      </c>
      <c r="F6031" s="5">
        <v>210.2</v>
      </c>
      <c r="G6031" s="5">
        <v>104.9</v>
      </c>
      <c r="H6031" s="5">
        <v>104.7</v>
      </c>
      <c r="I6031" s="5">
        <v>0</v>
      </c>
      <c r="J6031" s="5">
        <v>0</v>
      </c>
      <c r="K6031" s="5">
        <v>0</v>
      </c>
    </row>
    <row r="6032" spans="1:11" x14ac:dyDescent="0.25">
      <c r="A6032" s="5">
        <f>6025</f>
      </c>
      <c r="B6032" s="5" t="s">
        <v>6040</v>
      </c>
      <c r="C6032" s="5">
        <v>105.6</v>
      </c>
      <c r="D6032" s="5">
        <v>0.1</v>
      </c>
      <c r="E6032" s="5">
        <v>105.7</v>
      </c>
      <c r="F6032" s="5">
        <v>210.2</v>
      </c>
      <c r="G6032" s="5">
        <v>104.9</v>
      </c>
      <c r="H6032" s="5">
        <v>104.7</v>
      </c>
      <c r="I6032" s="5">
        <v>0</v>
      </c>
      <c r="J6032" s="5">
        <v>0</v>
      </c>
      <c r="K6032" s="5">
        <v>0</v>
      </c>
    </row>
    <row r="6033" spans="1:11" x14ac:dyDescent="0.25">
      <c r="A6033" s="5">
        <f>6026</f>
      </c>
      <c r="B6033" s="5" t="s">
        <v>6041</v>
      </c>
      <c r="C6033" s="5">
        <v>105.6</v>
      </c>
      <c r="D6033" s="5">
        <v>0.1</v>
      </c>
      <c r="E6033" s="5">
        <v>105.7</v>
      </c>
      <c r="F6033" s="5">
        <v>210.2</v>
      </c>
      <c r="G6033" s="5">
        <v>104.9</v>
      </c>
      <c r="H6033" s="5">
        <v>104.7</v>
      </c>
      <c r="I6033" s="5">
        <v>0</v>
      </c>
      <c r="J6033" s="5">
        <v>0</v>
      </c>
      <c r="K6033" s="5">
        <v>0</v>
      </c>
    </row>
    <row r="6034" spans="1:11" x14ac:dyDescent="0.25">
      <c r="A6034" s="5">
        <f>6027</f>
      </c>
      <c r="B6034" s="5" t="s">
        <v>6042</v>
      </c>
      <c r="C6034" s="5">
        <v>105.6</v>
      </c>
      <c r="D6034" s="5">
        <v>0.1</v>
      </c>
      <c r="E6034" s="5">
        <v>105.7</v>
      </c>
      <c r="F6034" s="5">
        <v>210.2</v>
      </c>
      <c r="G6034" s="5">
        <v>104.9</v>
      </c>
      <c r="H6034" s="5">
        <v>104.7</v>
      </c>
      <c r="I6034" s="5">
        <v>0</v>
      </c>
      <c r="J6034" s="5">
        <v>0</v>
      </c>
      <c r="K6034" s="5">
        <v>0</v>
      </c>
    </row>
    <row r="6035" spans="1:11" x14ac:dyDescent="0.25">
      <c r="A6035" s="5">
        <f>6028</f>
      </c>
      <c r="B6035" s="5" t="s">
        <v>6043</v>
      </c>
      <c r="C6035" s="5">
        <v>105.6</v>
      </c>
      <c r="D6035" s="5">
        <v>0.1</v>
      </c>
      <c r="E6035" s="5">
        <v>105.7</v>
      </c>
      <c r="F6035" s="5">
        <v>210.9</v>
      </c>
      <c r="G6035" s="5">
        <v>105.3</v>
      </c>
      <c r="H6035" s="5">
        <v>105.1</v>
      </c>
      <c r="I6035" s="5">
        <v>0</v>
      </c>
      <c r="J6035" s="5">
        <v>0</v>
      </c>
      <c r="K6035" s="5">
        <v>0</v>
      </c>
    </row>
    <row r="6036" spans="1:11" x14ac:dyDescent="0.25">
      <c r="A6036" s="5">
        <f>6029</f>
      </c>
      <c r="B6036" s="5" t="s">
        <v>6044</v>
      </c>
      <c r="C6036" s="5">
        <v>105.6</v>
      </c>
      <c r="D6036" s="5">
        <v>0.1</v>
      </c>
      <c r="E6036" s="5">
        <v>105.7</v>
      </c>
      <c r="F6036" s="5">
        <v>210.9</v>
      </c>
      <c r="G6036" s="5">
        <v>105.3</v>
      </c>
      <c r="H6036" s="5">
        <v>105.1</v>
      </c>
      <c r="I6036" s="5">
        <v>0</v>
      </c>
      <c r="J6036" s="5">
        <v>0</v>
      </c>
      <c r="K6036" s="5">
        <v>0</v>
      </c>
    </row>
    <row r="6037" spans="1:11" x14ac:dyDescent="0.25">
      <c r="A6037" s="5">
        <f>6030</f>
      </c>
      <c r="B6037" s="5" t="s">
        <v>6045</v>
      </c>
      <c r="C6037" s="5">
        <v>105.5</v>
      </c>
      <c r="D6037" s="5">
        <v>0.1</v>
      </c>
      <c r="E6037" s="5">
        <v>105.6</v>
      </c>
      <c r="F6037" s="5">
        <v>210.6</v>
      </c>
      <c r="G6037" s="5">
        <v>105.1</v>
      </c>
      <c r="H6037" s="5">
        <v>104.9</v>
      </c>
      <c r="I6037" s="5">
        <v>0</v>
      </c>
      <c r="J6037" s="5">
        <v>0</v>
      </c>
      <c r="K6037" s="5">
        <v>0</v>
      </c>
    </row>
    <row r="6038" spans="1:11" x14ac:dyDescent="0.25">
      <c r="A6038" s="5">
        <f>6031</f>
      </c>
      <c r="B6038" s="5" t="s">
        <v>6046</v>
      </c>
      <c r="C6038" s="5">
        <v>105.5</v>
      </c>
      <c r="D6038" s="5">
        <v>0.1</v>
      </c>
      <c r="E6038" s="5">
        <v>105.6</v>
      </c>
      <c r="F6038" s="5">
        <v>210.6</v>
      </c>
      <c r="G6038" s="5">
        <v>105.1</v>
      </c>
      <c r="H6038" s="5">
        <v>104.9</v>
      </c>
      <c r="I6038" s="5">
        <v>0</v>
      </c>
      <c r="J6038" s="5">
        <v>0</v>
      </c>
      <c r="K6038" s="5">
        <v>0</v>
      </c>
    </row>
    <row r="6039" spans="1:11" x14ac:dyDescent="0.25">
      <c r="A6039" s="5">
        <f>6032</f>
      </c>
      <c r="B6039" s="5" t="s">
        <v>6047</v>
      </c>
      <c r="C6039" s="5">
        <v>105.7</v>
      </c>
      <c r="D6039" s="5">
        <v>0.1</v>
      </c>
      <c r="E6039" s="5">
        <v>105.9</v>
      </c>
      <c r="F6039" s="5">
        <v>211</v>
      </c>
      <c r="G6039" s="5">
        <v>105.2</v>
      </c>
      <c r="H6039" s="5">
        <v>105.1</v>
      </c>
      <c r="I6039" s="5">
        <v>0</v>
      </c>
      <c r="J6039" s="5">
        <v>0</v>
      </c>
      <c r="K6039" s="5">
        <v>0</v>
      </c>
    </row>
    <row r="6040" spans="1:11" x14ac:dyDescent="0.25">
      <c r="A6040" s="5">
        <f>6033</f>
      </c>
      <c r="B6040" s="5" t="s">
        <v>6048</v>
      </c>
      <c r="C6040" s="5">
        <v>105.7</v>
      </c>
      <c r="D6040" s="5">
        <v>0.1</v>
      </c>
      <c r="E6040" s="5">
        <v>105.9</v>
      </c>
      <c r="F6040" s="5">
        <v>211</v>
      </c>
      <c r="G6040" s="5">
        <v>105.2</v>
      </c>
      <c r="H6040" s="5">
        <v>105.1</v>
      </c>
      <c r="I6040" s="5">
        <v>0</v>
      </c>
      <c r="J6040" s="5">
        <v>0</v>
      </c>
      <c r="K6040" s="5">
        <v>0</v>
      </c>
    </row>
    <row r="6041" spans="1:11" x14ac:dyDescent="0.25">
      <c r="A6041" s="5">
        <f>6034</f>
      </c>
      <c r="B6041" s="5" t="s">
        <v>6049</v>
      </c>
      <c r="C6041" s="5">
        <v>105.6</v>
      </c>
      <c r="D6041" s="5">
        <v>0.1</v>
      </c>
      <c r="E6041" s="5">
        <v>105.7</v>
      </c>
      <c r="F6041" s="5">
        <v>210.7</v>
      </c>
      <c r="G6041" s="5">
        <v>105.1</v>
      </c>
      <c r="H6041" s="5">
        <v>104.9</v>
      </c>
      <c r="I6041" s="5">
        <v>0</v>
      </c>
      <c r="J6041" s="5">
        <v>0</v>
      </c>
      <c r="K6041" s="5">
        <v>0</v>
      </c>
    </row>
    <row r="6042" spans="1:11" x14ac:dyDescent="0.25">
      <c r="A6042" s="5">
        <f>6035</f>
      </c>
      <c r="B6042" s="5" t="s">
        <v>6050</v>
      </c>
      <c r="C6042" s="5">
        <v>105.6</v>
      </c>
      <c r="D6042" s="5">
        <v>0.1</v>
      </c>
      <c r="E6042" s="5">
        <v>105.7</v>
      </c>
      <c r="F6042" s="5">
        <v>210.7</v>
      </c>
      <c r="G6042" s="5">
        <v>105.1</v>
      </c>
      <c r="H6042" s="5">
        <v>104.9</v>
      </c>
      <c r="I6042" s="5">
        <v>0</v>
      </c>
      <c r="J6042" s="5">
        <v>0</v>
      </c>
      <c r="K6042" s="5">
        <v>0</v>
      </c>
    </row>
    <row r="6043" spans="1:11" x14ac:dyDescent="0.25">
      <c r="A6043" s="5">
        <f>6036</f>
      </c>
      <c r="B6043" s="5" t="s">
        <v>6051</v>
      </c>
      <c r="C6043" s="5">
        <v>105.6</v>
      </c>
      <c r="D6043" s="5">
        <v>0.1</v>
      </c>
      <c r="E6043" s="5">
        <v>105.7</v>
      </c>
      <c r="F6043" s="5">
        <v>210.7</v>
      </c>
      <c r="G6043" s="5">
        <v>105.1</v>
      </c>
      <c r="H6043" s="5">
        <v>104.9</v>
      </c>
      <c r="I6043" s="5">
        <v>0</v>
      </c>
      <c r="J6043" s="5">
        <v>0</v>
      </c>
      <c r="K6043" s="5">
        <v>0</v>
      </c>
    </row>
    <row r="6044" spans="1:11" x14ac:dyDescent="0.25">
      <c r="A6044" s="5">
        <f>6037</f>
      </c>
      <c r="B6044" s="5" t="s">
        <v>6052</v>
      </c>
      <c r="C6044" s="5">
        <v>105.6</v>
      </c>
      <c r="D6044" s="5">
        <v>0.1</v>
      </c>
      <c r="E6044" s="5">
        <v>105.7</v>
      </c>
      <c r="F6044" s="5">
        <v>210.7</v>
      </c>
      <c r="G6044" s="5">
        <v>105.1</v>
      </c>
      <c r="H6044" s="5">
        <v>104.9</v>
      </c>
      <c r="I6044" s="5">
        <v>0</v>
      </c>
      <c r="J6044" s="5">
        <v>0</v>
      </c>
      <c r="K6044" s="5">
        <v>0</v>
      </c>
    </row>
    <row r="6045" spans="1:11" x14ac:dyDescent="0.25">
      <c r="A6045" s="5">
        <f>6038</f>
      </c>
      <c r="B6045" s="5" t="s">
        <v>6053</v>
      </c>
      <c r="C6045" s="5">
        <v>105.3</v>
      </c>
      <c r="D6045" s="5">
        <v>0.1</v>
      </c>
      <c r="E6045" s="5">
        <v>105.4</v>
      </c>
      <c r="F6045" s="5">
        <v>210.3</v>
      </c>
      <c r="G6045" s="5">
        <v>105</v>
      </c>
      <c r="H6045" s="5">
        <v>104.8</v>
      </c>
      <c r="I6045" s="5">
        <v>0</v>
      </c>
      <c r="J6045" s="5">
        <v>0</v>
      </c>
      <c r="K6045" s="5">
        <v>0</v>
      </c>
    </row>
    <row r="6046" spans="1:11" x14ac:dyDescent="0.25">
      <c r="A6046" s="5">
        <f>6039</f>
      </c>
      <c r="B6046" s="5" t="s">
        <v>6054</v>
      </c>
      <c r="C6046" s="5">
        <v>105.3</v>
      </c>
      <c r="D6046" s="5">
        <v>0.1</v>
      </c>
      <c r="E6046" s="5">
        <v>105.4</v>
      </c>
      <c r="F6046" s="5">
        <v>210.3</v>
      </c>
      <c r="G6046" s="5">
        <v>105</v>
      </c>
      <c r="H6046" s="5">
        <v>104.8</v>
      </c>
      <c r="I6046" s="5">
        <v>0</v>
      </c>
      <c r="J6046" s="5">
        <v>0</v>
      </c>
      <c r="K6046" s="5">
        <v>0</v>
      </c>
    </row>
    <row r="6047" spans="1:11" x14ac:dyDescent="0.25">
      <c r="A6047" s="5">
        <f>6040</f>
      </c>
      <c r="B6047" s="5" t="s">
        <v>6055</v>
      </c>
      <c r="C6047" s="5">
        <v>105</v>
      </c>
      <c r="D6047" s="5">
        <v>0.1</v>
      </c>
      <c r="E6047" s="5">
        <v>105.2</v>
      </c>
      <c r="F6047" s="5">
        <v>210.2</v>
      </c>
      <c r="G6047" s="5">
        <v>104.9</v>
      </c>
      <c r="H6047" s="5">
        <v>104.8</v>
      </c>
      <c r="I6047" s="5">
        <v>0</v>
      </c>
      <c r="J6047" s="5">
        <v>0</v>
      </c>
      <c r="K6047" s="5">
        <v>0</v>
      </c>
    </row>
    <row r="6048" spans="1:11" x14ac:dyDescent="0.25">
      <c r="A6048" s="5">
        <f>6041</f>
      </c>
      <c r="B6048" s="5" t="s">
        <v>6056</v>
      </c>
      <c r="C6048" s="5">
        <v>105</v>
      </c>
      <c r="D6048" s="5">
        <v>0.1</v>
      </c>
      <c r="E6048" s="5">
        <v>105.2</v>
      </c>
      <c r="F6048" s="5">
        <v>210.2</v>
      </c>
      <c r="G6048" s="5">
        <v>104.9</v>
      </c>
      <c r="H6048" s="5">
        <v>104.8</v>
      </c>
      <c r="I6048" s="5">
        <v>0</v>
      </c>
      <c r="J6048" s="5">
        <v>0</v>
      </c>
      <c r="K6048" s="5">
        <v>0</v>
      </c>
    </row>
    <row r="6049" spans="1:11" x14ac:dyDescent="0.25">
      <c r="A6049" s="5">
        <f>6042</f>
      </c>
      <c r="B6049" s="5" t="s">
        <v>6057</v>
      </c>
      <c r="C6049" s="5">
        <v>104.5</v>
      </c>
      <c r="D6049" s="5">
        <v>0.1</v>
      </c>
      <c r="E6049" s="5">
        <v>104.6</v>
      </c>
      <c r="F6049" s="5">
        <v>209.2</v>
      </c>
      <c r="G6049" s="5">
        <v>104.4</v>
      </c>
      <c r="H6049" s="5">
        <v>104.2</v>
      </c>
      <c r="I6049" s="5">
        <v>0</v>
      </c>
      <c r="J6049" s="5">
        <v>0</v>
      </c>
      <c r="K6049" s="5">
        <v>0</v>
      </c>
    </row>
    <row r="6050" spans="1:11" x14ac:dyDescent="0.25">
      <c r="A6050" s="5">
        <f>6043</f>
      </c>
      <c r="B6050" s="5" t="s">
        <v>6058</v>
      </c>
      <c r="C6050" s="5">
        <v>104.5</v>
      </c>
      <c r="D6050" s="5">
        <v>0.1</v>
      </c>
      <c r="E6050" s="5">
        <v>104.6</v>
      </c>
      <c r="F6050" s="5">
        <v>209.2</v>
      </c>
      <c r="G6050" s="5">
        <v>104.4</v>
      </c>
      <c r="H6050" s="5">
        <v>104.2</v>
      </c>
      <c r="I6050" s="5">
        <v>0</v>
      </c>
      <c r="J6050" s="5">
        <v>0</v>
      </c>
      <c r="K6050" s="5">
        <v>0</v>
      </c>
    </row>
    <row r="6051" spans="1:11" x14ac:dyDescent="0.25">
      <c r="A6051" s="5">
        <f>6044</f>
      </c>
      <c r="B6051" s="5" t="s">
        <v>6059</v>
      </c>
      <c r="C6051" s="5">
        <v>104.9</v>
      </c>
      <c r="D6051" s="5">
        <v>0.1</v>
      </c>
      <c r="E6051" s="5">
        <v>105.1</v>
      </c>
      <c r="F6051" s="5">
        <v>209.8</v>
      </c>
      <c r="G6051" s="5">
        <v>104.7</v>
      </c>
      <c r="H6051" s="5">
        <v>104.5</v>
      </c>
      <c r="I6051" s="5">
        <v>0</v>
      </c>
      <c r="J6051" s="5">
        <v>0</v>
      </c>
      <c r="K6051" s="5">
        <v>0</v>
      </c>
    </row>
    <row r="6052" spans="1:11" x14ac:dyDescent="0.25">
      <c r="A6052" s="5">
        <f>6045</f>
      </c>
      <c r="B6052" s="5" t="s">
        <v>6060</v>
      </c>
      <c r="C6052" s="5">
        <v>104.9</v>
      </c>
      <c r="D6052" s="5">
        <v>0.1</v>
      </c>
      <c r="E6052" s="5">
        <v>105.1</v>
      </c>
      <c r="F6052" s="5">
        <v>209.8</v>
      </c>
      <c r="G6052" s="5">
        <v>104.7</v>
      </c>
      <c r="H6052" s="5">
        <v>104.5</v>
      </c>
      <c r="I6052" s="5">
        <v>0</v>
      </c>
      <c r="J6052" s="5">
        <v>0</v>
      </c>
      <c r="K6052" s="5">
        <v>0</v>
      </c>
    </row>
    <row r="6053" spans="1:11" x14ac:dyDescent="0.25">
      <c r="A6053" s="5">
        <f>6046</f>
      </c>
      <c r="B6053" s="5" t="s">
        <v>6061</v>
      </c>
      <c r="C6053" s="5">
        <v>104.9</v>
      </c>
      <c r="D6053" s="5">
        <v>0.1</v>
      </c>
      <c r="E6053" s="5">
        <v>105.1</v>
      </c>
      <c r="F6053" s="5">
        <v>209.8</v>
      </c>
      <c r="G6053" s="5">
        <v>104.7</v>
      </c>
      <c r="H6053" s="5">
        <v>104.5</v>
      </c>
      <c r="I6053" s="5">
        <v>0</v>
      </c>
      <c r="J6053" s="5">
        <v>0</v>
      </c>
      <c r="K6053" s="5">
        <v>0</v>
      </c>
    </row>
    <row r="6054" spans="1:11" x14ac:dyDescent="0.25">
      <c r="A6054" s="5">
        <f>6047</f>
      </c>
      <c r="B6054" s="5" t="s">
        <v>6062</v>
      </c>
      <c r="C6054" s="5">
        <v>104.9</v>
      </c>
      <c r="D6054" s="5">
        <v>0.1</v>
      </c>
      <c r="E6054" s="5">
        <v>105.1</v>
      </c>
      <c r="F6054" s="5">
        <v>209.8</v>
      </c>
      <c r="G6054" s="5">
        <v>104.7</v>
      </c>
      <c r="H6054" s="5">
        <v>104.5</v>
      </c>
      <c r="I6054" s="5">
        <v>0</v>
      </c>
      <c r="J6054" s="5">
        <v>0</v>
      </c>
      <c r="K6054" s="5">
        <v>0</v>
      </c>
    </row>
    <row r="6055" spans="1:11" x14ac:dyDescent="0.25">
      <c r="A6055" s="5">
        <f>6048</f>
      </c>
      <c r="B6055" s="5" t="s">
        <v>6063</v>
      </c>
      <c r="C6055" s="5">
        <v>105.6</v>
      </c>
      <c r="D6055" s="5">
        <v>0.1</v>
      </c>
      <c r="E6055" s="5">
        <v>105.6</v>
      </c>
      <c r="F6055" s="5">
        <v>210.2</v>
      </c>
      <c r="G6055" s="5">
        <v>104.9</v>
      </c>
      <c r="H6055" s="5">
        <v>104.7</v>
      </c>
      <c r="I6055" s="5">
        <v>0</v>
      </c>
      <c r="J6055" s="5">
        <v>0</v>
      </c>
      <c r="K6055" s="5">
        <v>0</v>
      </c>
    </row>
    <row r="6056" spans="1:11" x14ac:dyDescent="0.25">
      <c r="A6056" s="5">
        <f>6049</f>
      </c>
      <c r="B6056" s="5" t="s">
        <v>6064</v>
      </c>
      <c r="C6056" s="5">
        <v>105.6</v>
      </c>
      <c r="D6056" s="5">
        <v>0.1</v>
      </c>
      <c r="E6056" s="5">
        <v>105.6</v>
      </c>
      <c r="F6056" s="5">
        <v>210.2</v>
      </c>
      <c r="G6056" s="5">
        <v>104.9</v>
      </c>
      <c r="H6056" s="5">
        <v>104.7</v>
      </c>
      <c r="I6056" s="5">
        <v>0</v>
      </c>
      <c r="J6056" s="5">
        <v>0</v>
      </c>
      <c r="K6056" s="5">
        <v>0</v>
      </c>
    </row>
    <row r="6057" spans="1:11" x14ac:dyDescent="0.25">
      <c r="A6057" s="5">
        <f>6050</f>
      </c>
      <c r="B6057" s="5" t="s">
        <v>6065</v>
      </c>
      <c r="C6057" s="5">
        <v>105.5</v>
      </c>
      <c r="D6057" s="5">
        <v>0.1</v>
      </c>
      <c r="E6057" s="5">
        <v>105.6</v>
      </c>
      <c r="F6057" s="5">
        <v>210.3</v>
      </c>
      <c r="G6057" s="5">
        <v>104.9</v>
      </c>
      <c r="H6057" s="5">
        <v>104.8</v>
      </c>
      <c r="I6057" s="5">
        <v>0</v>
      </c>
      <c r="J6057" s="5">
        <v>0</v>
      </c>
      <c r="K6057" s="5">
        <v>0</v>
      </c>
    </row>
    <row r="6058" spans="1:11" x14ac:dyDescent="0.25">
      <c r="A6058" s="5">
        <f>6051</f>
      </c>
      <c r="B6058" s="5" t="s">
        <v>6066</v>
      </c>
      <c r="C6058" s="5">
        <v>105.5</v>
      </c>
      <c r="D6058" s="5">
        <v>0.1</v>
      </c>
      <c r="E6058" s="5">
        <v>105.6</v>
      </c>
      <c r="F6058" s="5">
        <v>210.3</v>
      </c>
      <c r="G6058" s="5">
        <v>104.9</v>
      </c>
      <c r="H6058" s="5">
        <v>104.8</v>
      </c>
      <c r="I6058" s="5">
        <v>0</v>
      </c>
      <c r="J6058" s="5">
        <v>0</v>
      </c>
      <c r="K6058" s="5">
        <v>0</v>
      </c>
    </row>
    <row r="6059" spans="1:11" x14ac:dyDescent="0.25">
      <c r="A6059" s="5">
        <f>6052</f>
      </c>
      <c r="B6059" s="5" t="s">
        <v>6067</v>
      </c>
      <c r="C6059" s="5">
        <v>105.1</v>
      </c>
      <c r="D6059" s="5">
        <v>0.1</v>
      </c>
      <c r="E6059" s="5">
        <v>105.3</v>
      </c>
      <c r="F6059" s="5">
        <v>211.1</v>
      </c>
      <c r="G6059" s="5">
        <v>105.3</v>
      </c>
      <c r="H6059" s="5">
        <v>105</v>
      </c>
      <c r="I6059" s="5">
        <v>0</v>
      </c>
      <c r="J6059" s="5">
        <v>0</v>
      </c>
      <c r="K6059" s="5">
        <v>0</v>
      </c>
    </row>
    <row r="6060" spans="1:11" x14ac:dyDescent="0.25">
      <c r="A6060" s="5">
        <f>6053</f>
      </c>
      <c r="B6060" s="5" t="s">
        <v>6068</v>
      </c>
      <c r="C6060" s="5">
        <v>105.1</v>
      </c>
      <c r="D6060" s="5">
        <v>0.1</v>
      </c>
      <c r="E6060" s="5">
        <v>105.3</v>
      </c>
      <c r="F6060" s="5">
        <v>211.1</v>
      </c>
      <c r="G6060" s="5">
        <v>105.3</v>
      </c>
      <c r="H6060" s="5">
        <v>105</v>
      </c>
      <c r="I6060" s="5">
        <v>0</v>
      </c>
      <c r="J6060" s="5">
        <v>0</v>
      </c>
      <c r="K6060" s="5">
        <v>0</v>
      </c>
    </row>
    <row r="6061" spans="1:11" x14ac:dyDescent="0.25">
      <c r="A6061" s="5">
        <f>6054</f>
      </c>
      <c r="B6061" s="5" t="s">
        <v>6069</v>
      </c>
      <c r="C6061" s="5">
        <v>105.3</v>
      </c>
      <c r="D6061" s="5">
        <v>0.1</v>
      </c>
      <c r="E6061" s="5">
        <v>105.5</v>
      </c>
      <c r="F6061" s="5">
        <v>210.6</v>
      </c>
      <c r="G6061" s="5">
        <v>105</v>
      </c>
      <c r="H6061" s="5">
        <v>104.9</v>
      </c>
      <c r="I6061" s="5">
        <v>0</v>
      </c>
      <c r="J6061" s="5">
        <v>0</v>
      </c>
      <c r="K6061" s="5">
        <v>0</v>
      </c>
    </row>
    <row r="6062" spans="1:11" x14ac:dyDescent="0.25">
      <c r="A6062" s="5">
        <f>6055</f>
      </c>
      <c r="B6062" s="5" t="s">
        <v>6070</v>
      </c>
      <c r="C6062" s="5">
        <v>105.3</v>
      </c>
      <c r="D6062" s="5">
        <v>0.1</v>
      </c>
      <c r="E6062" s="5">
        <v>105.5</v>
      </c>
      <c r="F6062" s="5">
        <v>210.6</v>
      </c>
      <c r="G6062" s="5">
        <v>105</v>
      </c>
      <c r="H6062" s="5">
        <v>104.9</v>
      </c>
      <c r="I6062" s="5">
        <v>0</v>
      </c>
      <c r="J6062" s="5">
        <v>0</v>
      </c>
      <c r="K6062" s="5">
        <v>0</v>
      </c>
    </row>
    <row r="6063" spans="1:11" x14ac:dyDescent="0.25">
      <c r="A6063" s="5">
        <f>6056</f>
      </c>
      <c r="B6063" s="5" t="s">
        <v>6071</v>
      </c>
      <c r="C6063" s="5">
        <v>105.3</v>
      </c>
      <c r="D6063" s="5">
        <v>0.1</v>
      </c>
      <c r="E6063" s="5">
        <v>105.5</v>
      </c>
      <c r="F6063" s="5">
        <v>210.6</v>
      </c>
      <c r="G6063" s="5">
        <v>105</v>
      </c>
      <c r="H6063" s="5">
        <v>104.9</v>
      </c>
      <c r="I6063" s="5">
        <v>0</v>
      </c>
      <c r="J6063" s="5">
        <v>0</v>
      </c>
      <c r="K6063" s="5">
        <v>0</v>
      </c>
    </row>
    <row r="6064" spans="1:11" x14ac:dyDescent="0.25">
      <c r="A6064" s="5">
        <f>6057</f>
      </c>
      <c r="B6064" s="5" t="s">
        <v>6072</v>
      </c>
      <c r="C6064" s="5">
        <v>105.3</v>
      </c>
      <c r="D6064" s="5">
        <v>0.1</v>
      </c>
      <c r="E6064" s="5">
        <v>105.5</v>
      </c>
      <c r="F6064" s="5">
        <v>210.6</v>
      </c>
      <c r="G6064" s="5">
        <v>105</v>
      </c>
      <c r="H6064" s="5">
        <v>104.9</v>
      </c>
      <c r="I6064" s="5">
        <v>0</v>
      </c>
      <c r="J6064" s="5">
        <v>0</v>
      </c>
      <c r="K6064" s="5">
        <v>0</v>
      </c>
    </row>
    <row r="6065" spans="1:11" x14ac:dyDescent="0.25">
      <c r="A6065" s="5">
        <f>6058</f>
      </c>
      <c r="B6065" s="5" t="s">
        <v>6073</v>
      </c>
      <c r="C6065" s="5">
        <v>105.3</v>
      </c>
      <c r="D6065" s="5">
        <v>0.1</v>
      </c>
      <c r="E6065" s="5">
        <v>105.4</v>
      </c>
      <c r="F6065" s="5">
        <v>210</v>
      </c>
      <c r="G6065" s="5">
        <v>104.8</v>
      </c>
      <c r="H6065" s="5">
        <v>104.6</v>
      </c>
      <c r="I6065" s="5">
        <v>0</v>
      </c>
      <c r="J6065" s="5">
        <v>0</v>
      </c>
      <c r="K6065" s="5">
        <v>0</v>
      </c>
    </row>
    <row r="6066" spans="1:11" x14ac:dyDescent="0.25">
      <c r="A6066" s="5">
        <f>6059</f>
      </c>
      <c r="B6066" s="5" t="s">
        <v>6074</v>
      </c>
      <c r="C6066" s="5">
        <v>105.3</v>
      </c>
      <c r="D6066" s="5">
        <v>0.1</v>
      </c>
      <c r="E6066" s="5">
        <v>105.4</v>
      </c>
      <c r="F6066" s="5">
        <v>210</v>
      </c>
      <c r="G6066" s="5">
        <v>104.8</v>
      </c>
      <c r="H6066" s="5">
        <v>104.6</v>
      </c>
      <c r="I6066" s="5">
        <v>0</v>
      </c>
      <c r="J6066" s="5">
        <v>0</v>
      </c>
      <c r="K6066" s="5">
        <v>0</v>
      </c>
    </row>
    <row r="6067" spans="1:11" x14ac:dyDescent="0.25">
      <c r="A6067" s="5">
        <f>6060</f>
      </c>
      <c r="B6067" s="5" t="s">
        <v>6075</v>
      </c>
      <c r="C6067" s="5">
        <v>104.4</v>
      </c>
      <c r="D6067" s="5">
        <v>0.1</v>
      </c>
      <c r="E6067" s="5">
        <v>104.6</v>
      </c>
      <c r="F6067" s="5">
        <v>209.6</v>
      </c>
      <c r="G6067" s="5">
        <v>104.5</v>
      </c>
      <c r="H6067" s="5">
        <v>104.3</v>
      </c>
      <c r="I6067" s="5">
        <v>0</v>
      </c>
      <c r="J6067" s="5">
        <v>0</v>
      </c>
      <c r="K6067" s="5">
        <v>0</v>
      </c>
    </row>
    <row r="6068" spans="1:11" x14ac:dyDescent="0.25">
      <c r="A6068" s="5">
        <f>6061</f>
      </c>
      <c r="B6068" s="5" t="s">
        <v>6076</v>
      </c>
      <c r="C6068" s="5">
        <v>104.4</v>
      </c>
      <c r="D6068" s="5">
        <v>0.1</v>
      </c>
      <c r="E6068" s="5">
        <v>104.6</v>
      </c>
      <c r="F6068" s="5">
        <v>209.6</v>
      </c>
      <c r="G6068" s="5">
        <v>104.5</v>
      </c>
      <c r="H6068" s="5">
        <v>104.3</v>
      </c>
      <c r="I6068" s="5">
        <v>0</v>
      </c>
      <c r="J6068" s="5">
        <v>0</v>
      </c>
      <c r="K6068" s="5">
        <v>0</v>
      </c>
    </row>
    <row r="6069" spans="1:11" x14ac:dyDescent="0.25">
      <c r="A6069" s="5">
        <f>6062</f>
      </c>
      <c r="B6069" s="5" t="s">
        <v>6077</v>
      </c>
      <c r="C6069" s="5">
        <v>105</v>
      </c>
      <c r="D6069" s="5">
        <v>0.1</v>
      </c>
      <c r="E6069" s="5">
        <v>105.2</v>
      </c>
      <c r="F6069" s="5">
        <v>210.6</v>
      </c>
      <c r="G6069" s="5">
        <v>105.1</v>
      </c>
      <c r="H6069" s="5">
        <v>104.9</v>
      </c>
      <c r="I6069" s="5">
        <v>0</v>
      </c>
      <c r="J6069" s="5">
        <v>0</v>
      </c>
      <c r="K6069" s="5">
        <v>0</v>
      </c>
    </row>
    <row r="6070" spans="1:11" x14ac:dyDescent="0.25">
      <c r="A6070" s="5">
        <f>6063</f>
      </c>
      <c r="B6070" s="5" t="s">
        <v>6078</v>
      </c>
      <c r="C6070" s="5">
        <v>105</v>
      </c>
      <c r="D6070" s="5">
        <v>0.1</v>
      </c>
      <c r="E6070" s="5">
        <v>105.2</v>
      </c>
      <c r="F6070" s="5">
        <v>210.6</v>
      </c>
      <c r="G6070" s="5">
        <v>105.1</v>
      </c>
      <c r="H6070" s="5">
        <v>104.9</v>
      </c>
      <c r="I6070" s="5">
        <v>0</v>
      </c>
      <c r="J6070" s="5">
        <v>0</v>
      </c>
      <c r="K6070" s="5">
        <v>0</v>
      </c>
    </row>
    <row r="6071" spans="1:11" x14ac:dyDescent="0.25">
      <c r="A6071" s="5">
        <f>6064</f>
      </c>
      <c r="B6071" s="5" t="s">
        <v>6079</v>
      </c>
      <c r="C6071" s="5">
        <v>105.1</v>
      </c>
      <c r="D6071" s="5">
        <v>0.1</v>
      </c>
      <c r="E6071" s="5">
        <v>105.3</v>
      </c>
      <c r="F6071" s="5">
        <v>210.6</v>
      </c>
      <c r="G6071" s="5">
        <v>105.1</v>
      </c>
      <c r="H6071" s="5">
        <v>104.9</v>
      </c>
      <c r="I6071" s="5">
        <v>0</v>
      </c>
      <c r="J6071" s="5">
        <v>0</v>
      </c>
      <c r="K6071" s="5">
        <v>0</v>
      </c>
    </row>
    <row r="6072" spans="1:11" x14ac:dyDescent="0.25">
      <c r="A6072" s="5">
        <f>6065</f>
      </c>
      <c r="B6072" s="5" t="s">
        <v>6080</v>
      </c>
      <c r="C6072" s="5">
        <v>105.1</v>
      </c>
      <c r="D6072" s="5">
        <v>0.1</v>
      </c>
      <c r="E6072" s="5">
        <v>105.3</v>
      </c>
      <c r="F6072" s="5">
        <v>210.6</v>
      </c>
      <c r="G6072" s="5">
        <v>105.1</v>
      </c>
      <c r="H6072" s="5">
        <v>104.9</v>
      </c>
      <c r="I6072" s="5">
        <v>0</v>
      </c>
      <c r="J6072" s="5">
        <v>0</v>
      </c>
      <c r="K6072" s="5">
        <v>0</v>
      </c>
    </row>
    <row r="6073" spans="1:11" x14ac:dyDescent="0.25">
      <c r="A6073" s="5">
        <f>6066</f>
      </c>
      <c r="B6073" s="5" t="s">
        <v>6081</v>
      </c>
      <c r="C6073" s="5">
        <v>105.1</v>
      </c>
      <c r="D6073" s="5">
        <v>0.1</v>
      </c>
      <c r="E6073" s="5">
        <v>105.3</v>
      </c>
      <c r="F6073" s="5">
        <v>210.6</v>
      </c>
      <c r="G6073" s="5">
        <v>105.1</v>
      </c>
      <c r="H6073" s="5">
        <v>104.9</v>
      </c>
      <c r="I6073" s="5">
        <v>0</v>
      </c>
      <c r="J6073" s="5">
        <v>0</v>
      </c>
      <c r="K6073" s="5">
        <v>0</v>
      </c>
    </row>
    <row r="6074" spans="1:11" x14ac:dyDescent="0.25">
      <c r="A6074" s="5">
        <f>6067</f>
      </c>
      <c r="B6074" s="5" t="s">
        <v>6082</v>
      </c>
      <c r="C6074" s="5">
        <v>105.1</v>
      </c>
      <c r="D6074" s="5">
        <v>0.1</v>
      </c>
      <c r="E6074" s="5">
        <v>105.3</v>
      </c>
      <c r="F6074" s="5">
        <v>210.6</v>
      </c>
      <c r="G6074" s="5">
        <v>105.1</v>
      </c>
      <c r="H6074" s="5">
        <v>104.9</v>
      </c>
      <c r="I6074" s="5">
        <v>0</v>
      </c>
      <c r="J6074" s="5">
        <v>0</v>
      </c>
      <c r="K6074" s="5">
        <v>0</v>
      </c>
    </row>
    <row r="6075" spans="1:11" x14ac:dyDescent="0.25">
      <c r="A6075" s="5">
        <f>6068</f>
      </c>
      <c r="B6075" s="5" t="s">
        <v>6083</v>
      </c>
      <c r="C6075" s="5">
        <v>104.6</v>
      </c>
      <c r="D6075" s="5">
        <v>0.1</v>
      </c>
      <c r="E6075" s="5">
        <v>104.7</v>
      </c>
      <c r="F6075" s="5">
        <v>210</v>
      </c>
      <c r="G6075" s="5">
        <v>104.8</v>
      </c>
      <c r="H6075" s="5">
        <v>104.7</v>
      </c>
      <c r="I6075" s="5">
        <v>0</v>
      </c>
      <c r="J6075" s="5">
        <v>0</v>
      </c>
      <c r="K6075" s="5">
        <v>0</v>
      </c>
    </row>
    <row r="6076" spans="1:11" x14ac:dyDescent="0.25">
      <c r="A6076" s="5">
        <f>6069</f>
      </c>
      <c r="B6076" s="5" t="s">
        <v>6084</v>
      </c>
      <c r="C6076" s="5">
        <v>104.6</v>
      </c>
      <c r="D6076" s="5">
        <v>0.1</v>
      </c>
      <c r="E6076" s="5">
        <v>104.7</v>
      </c>
      <c r="F6076" s="5">
        <v>210</v>
      </c>
      <c r="G6076" s="5">
        <v>104.8</v>
      </c>
      <c r="H6076" s="5">
        <v>104.7</v>
      </c>
      <c r="I6076" s="5">
        <v>0</v>
      </c>
      <c r="J6076" s="5">
        <v>0</v>
      </c>
      <c r="K6076" s="5">
        <v>0</v>
      </c>
    </row>
    <row r="6077" spans="1:11" x14ac:dyDescent="0.25">
      <c r="A6077" s="5">
        <f>6070</f>
      </c>
      <c r="B6077" s="5" t="s">
        <v>6085</v>
      </c>
      <c r="C6077" s="5">
        <v>104.6</v>
      </c>
      <c r="D6077" s="5">
        <v>0.1</v>
      </c>
      <c r="E6077" s="5">
        <v>104.7</v>
      </c>
      <c r="F6077" s="5">
        <v>210</v>
      </c>
      <c r="G6077" s="5">
        <v>104.8</v>
      </c>
      <c r="H6077" s="5">
        <v>104.7</v>
      </c>
      <c r="I6077" s="5">
        <v>0</v>
      </c>
      <c r="J6077" s="5">
        <v>0</v>
      </c>
      <c r="K6077" s="5">
        <v>0</v>
      </c>
    </row>
    <row r="6078" spans="1:11" x14ac:dyDescent="0.25">
      <c r="A6078" s="5">
        <f>6071</f>
      </c>
      <c r="B6078" s="5" t="s">
        <v>6086</v>
      </c>
      <c r="C6078" s="5">
        <v>104.6</v>
      </c>
      <c r="D6078" s="5">
        <v>0.1</v>
      </c>
      <c r="E6078" s="5">
        <v>104.7</v>
      </c>
      <c r="F6078" s="5">
        <v>210</v>
      </c>
      <c r="G6078" s="5">
        <v>104.8</v>
      </c>
      <c r="H6078" s="5">
        <v>104.7</v>
      </c>
      <c r="I6078" s="5">
        <v>0</v>
      </c>
      <c r="J6078" s="5">
        <v>0</v>
      </c>
      <c r="K6078" s="5">
        <v>0</v>
      </c>
    </row>
    <row r="6079" spans="1:11" x14ac:dyDescent="0.25">
      <c r="A6079" s="5">
        <f>6072</f>
      </c>
      <c r="B6079" s="5" t="s">
        <v>6087</v>
      </c>
      <c r="C6079" s="5">
        <v>105.3</v>
      </c>
      <c r="D6079" s="5">
        <v>0.1</v>
      </c>
      <c r="E6079" s="5">
        <v>105.4</v>
      </c>
      <c r="F6079" s="5">
        <v>209.8</v>
      </c>
      <c r="G6079" s="5">
        <v>104.7</v>
      </c>
      <c r="H6079" s="5">
        <v>104.5</v>
      </c>
      <c r="I6079" s="5">
        <v>0</v>
      </c>
      <c r="J6079" s="5">
        <v>0</v>
      </c>
      <c r="K6079" s="5">
        <v>0</v>
      </c>
    </row>
    <row r="6080" spans="1:11" x14ac:dyDescent="0.25">
      <c r="A6080" s="5">
        <f>6073</f>
      </c>
      <c r="B6080" s="5" t="s">
        <v>6088</v>
      </c>
      <c r="C6080" s="5">
        <v>105.3</v>
      </c>
      <c r="D6080" s="5">
        <v>0.1</v>
      </c>
      <c r="E6080" s="5">
        <v>105.4</v>
      </c>
      <c r="F6080" s="5">
        <v>209.8</v>
      </c>
      <c r="G6080" s="5">
        <v>104.7</v>
      </c>
      <c r="H6080" s="5">
        <v>104.5</v>
      </c>
      <c r="I6080" s="5">
        <v>0</v>
      </c>
      <c r="J6080" s="5">
        <v>0</v>
      </c>
      <c r="K6080" s="5">
        <v>0</v>
      </c>
    </row>
    <row r="6081" spans="1:11" x14ac:dyDescent="0.25">
      <c r="A6081" s="5">
        <f>6074</f>
      </c>
      <c r="B6081" s="5" t="s">
        <v>6089</v>
      </c>
      <c r="C6081" s="5">
        <v>105.2</v>
      </c>
      <c r="D6081" s="5">
        <v>0.1</v>
      </c>
      <c r="E6081" s="5">
        <v>105.3</v>
      </c>
      <c r="F6081" s="5">
        <v>210.2</v>
      </c>
      <c r="G6081" s="5">
        <v>104.9</v>
      </c>
      <c r="H6081" s="5">
        <v>104.7</v>
      </c>
      <c r="I6081" s="5">
        <v>0</v>
      </c>
      <c r="J6081" s="5">
        <v>0</v>
      </c>
      <c r="K6081" s="5">
        <v>0</v>
      </c>
    </row>
    <row r="6082" spans="1:11" x14ac:dyDescent="0.25">
      <c r="A6082" s="5">
        <f>6075</f>
      </c>
      <c r="B6082" s="5" t="s">
        <v>6090</v>
      </c>
      <c r="C6082" s="5">
        <v>105.2</v>
      </c>
      <c r="D6082" s="5">
        <v>0.1</v>
      </c>
      <c r="E6082" s="5">
        <v>105.3</v>
      </c>
      <c r="F6082" s="5">
        <v>210.2</v>
      </c>
      <c r="G6082" s="5">
        <v>104.9</v>
      </c>
      <c r="H6082" s="5">
        <v>104.7</v>
      </c>
      <c r="I6082" s="5">
        <v>0</v>
      </c>
      <c r="J6082" s="5">
        <v>0</v>
      </c>
      <c r="K6082" s="5">
        <v>0</v>
      </c>
    </row>
    <row r="6083" spans="1:11" x14ac:dyDescent="0.25">
      <c r="A6083" s="5">
        <f>6076</f>
      </c>
      <c r="B6083" s="5" t="s">
        <v>6091</v>
      </c>
      <c r="C6083" s="5">
        <v>105.3</v>
      </c>
      <c r="D6083" s="5">
        <v>0.1</v>
      </c>
      <c r="E6083" s="5">
        <v>105.4</v>
      </c>
      <c r="F6083" s="5">
        <v>210</v>
      </c>
      <c r="G6083" s="5">
        <v>104.8</v>
      </c>
      <c r="H6083" s="5">
        <v>104.6</v>
      </c>
      <c r="I6083" s="5">
        <v>0</v>
      </c>
      <c r="J6083" s="5">
        <v>0</v>
      </c>
      <c r="K6083" s="5">
        <v>0</v>
      </c>
    </row>
    <row r="6084" spans="1:11" x14ac:dyDescent="0.25">
      <c r="A6084" s="5">
        <f>6077</f>
      </c>
      <c r="B6084" s="5" t="s">
        <v>6092</v>
      </c>
      <c r="C6084" s="5">
        <v>105.3</v>
      </c>
      <c r="D6084" s="5">
        <v>0.1</v>
      </c>
      <c r="E6084" s="5">
        <v>105.4</v>
      </c>
      <c r="F6084" s="5">
        <v>210</v>
      </c>
      <c r="G6084" s="5">
        <v>104.8</v>
      </c>
      <c r="H6084" s="5">
        <v>104.6</v>
      </c>
      <c r="I6084" s="5">
        <v>0</v>
      </c>
      <c r="J6084" s="5">
        <v>0</v>
      </c>
      <c r="K6084" s="5">
        <v>0</v>
      </c>
    </row>
    <row r="6085" spans="1:11" x14ac:dyDescent="0.25">
      <c r="A6085" s="5">
        <f>6078</f>
      </c>
      <c r="B6085" s="5" t="s">
        <v>6093</v>
      </c>
      <c r="C6085" s="5">
        <v>105.5</v>
      </c>
      <c r="D6085" s="5">
        <v>0.1</v>
      </c>
      <c r="E6085" s="5">
        <v>105.6</v>
      </c>
      <c r="F6085" s="5">
        <v>210.4</v>
      </c>
      <c r="G6085" s="5">
        <v>105</v>
      </c>
      <c r="H6085" s="5">
        <v>104.9</v>
      </c>
      <c r="I6085" s="5">
        <v>0</v>
      </c>
      <c r="J6085" s="5">
        <v>0</v>
      </c>
      <c r="K6085" s="5">
        <v>0</v>
      </c>
    </row>
    <row r="6086" spans="1:11" x14ac:dyDescent="0.25">
      <c r="A6086" s="5">
        <f>6079</f>
      </c>
      <c r="B6086" s="5" t="s">
        <v>6094</v>
      </c>
      <c r="C6086" s="5">
        <v>105.5</v>
      </c>
      <c r="D6086" s="5">
        <v>0.1</v>
      </c>
      <c r="E6086" s="5">
        <v>105.6</v>
      </c>
      <c r="F6086" s="5">
        <v>210.4</v>
      </c>
      <c r="G6086" s="5">
        <v>105</v>
      </c>
      <c r="H6086" s="5">
        <v>104.9</v>
      </c>
      <c r="I6086" s="5">
        <v>0</v>
      </c>
      <c r="J6086" s="5">
        <v>0</v>
      </c>
      <c r="K6086" s="5">
        <v>0</v>
      </c>
    </row>
    <row r="6087" spans="1:11" x14ac:dyDescent="0.25">
      <c r="A6087" s="5">
        <f>6080</f>
      </c>
      <c r="B6087" s="5" t="s">
        <v>6095</v>
      </c>
      <c r="C6087" s="5">
        <v>105.5</v>
      </c>
      <c r="D6087" s="5">
        <v>0.1</v>
      </c>
      <c r="E6087" s="5">
        <v>105.6</v>
      </c>
      <c r="F6087" s="5">
        <v>210.4</v>
      </c>
      <c r="G6087" s="5">
        <v>105</v>
      </c>
      <c r="H6087" s="5">
        <v>104.9</v>
      </c>
      <c r="I6087" s="5">
        <v>0</v>
      </c>
      <c r="J6087" s="5">
        <v>0</v>
      </c>
      <c r="K6087" s="5">
        <v>0</v>
      </c>
    </row>
    <row r="6088" spans="1:11" x14ac:dyDescent="0.25">
      <c r="A6088" s="5">
        <f>6081</f>
      </c>
      <c r="B6088" s="5" t="s">
        <v>6096</v>
      </c>
      <c r="C6088" s="5">
        <v>105.5</v>
      </c>
      <c r="D6088" s="5">
        <v>0.1</v>
      </c>
      <c r="E6088" s="5">
        <v>105.6</v>
      </c>
      <c r="F6088" s="5">
        <v>210.4</v>
      </c>
      <c r="G6088" s="5">
        <v>105</v>
      </c>
      <c r="H6088" s="5">
        <v>104.9</v>
      </c>
      <c r="I6088" s="5">
        <v>0</v>
      </c>
      <c r="J6088" s="5">
        <v>0</v>
      </c>
      <c r="K6088" s="5">
        <v>0</v>
      </c>
    </row>
    <row r="6089" spans="1:11" x14ac:dyDescent="0.25">
      <c r="A6089" s="5">
        <f>6082</f>
      </c>
      <c r="B6089" s="5" t="s">
        <v>6097</v>
      </c>
      <c r="C6089" s="5">
        <v>103.2</v>
      </c>
      <c r="D6089" s="5">
        <v>0.1</v>
      </c>
      <c r="E6089" s="5">
        <v>103.3</v>
      </c>
      <c r="F6089" s="5">
        <v>206.4</v>
      </c>
      <c r="G6089" s="5">
        <v>103</v>
      </c>
      <c r="H6089" s="5">
        <v>102.8</v>
      </c>
      <c r="I6089" s="5">
        <v>0</v>
      </c>
      <c r="J6089" s="5">
        <v>0</v>
      </c>
      <c r="K6089" s="5">
        <v>0</v>
      </c>
    </row>
    <row r="6090" spans="1:11" x14ac:dyDescent="0.25">
      <c r="A6090" s="5">
        <f>6083</f>
      </c>
      <c r="B6090" s="5" t="s">
        <v>6098</v>
      </c>
      <c r="C6090" s="5">
        <v>103.2</v>
      </c>
      <c r="D6090" s="5">
        <v>0.1</v>
      </c>
      <c r="E6090" s="5">
        <v>103.3</v>
      </c>
      <c r="F6090" s="5">
        <v>206.4</v>
      </c>
      <c r="G6090" s="5">
        <v>103</v>
      </c>
      <c r="H6090" s="5">
        <v>102.8</v>
      </c>
      <c r="I6090" s="5">
        <v>0</v>
      </c>
      <c r="J6090" s="5">
        <v>0</v>
      </c>
      <c r="K6090" s="5">
        <v>0</v>
      </c>
    </row>
    <row r="6091" spans="1:11" x14ac:dyDescent="0.25">
      <c r="A6091" s="5">
        <f>6084</f>
      </c>
      <c r="B6091" s="5" t="s">
        <v>6099</v>
      </c>
      <c r="C6091" s="5">
        <v>103.1</v>
      </c>
      <c r="D6091" s="5">
        <v>0.1</v>
      </c>
      <c r="E6091" s="5">
        <v>103.3</v>
      </c>
      <c r="F6091" s="5">
        <v>205.8</v>
      </c>
      <c r="G6091" s="5">
        <v>102.6</v>
      </c>
      <c r="H6091" s="5">
        <v>102.5</v>
      </c>
      <c r="I6091" s="5">
        <v>0</v>
      </c>
      <c r="J6091" s="5">
        <v>0</v>
      </c>
      <c r="K6091" s="5">
        <v>0</v>
      </c>
    </row>
    <row r="6092" spans="1:11" x14ac:dyDescent="0.25">
      <c r="A6092" s="5">
        <f>6085</f>
      </c>
      <c r="B6092" s="5" t="s">
        <v>6100</v>
      </c>
      <c r="C6092" s="5">
        <v>103.3</v>
      </c>
      <c r="D6092" s="5">
        <v>0.1</v>
      </c>
      <c r="E6092" s="5">
        <v>103.4</v>
      </c>
      <c r="F6092" s="5">
        <v>205.5</v>
      </c>
      <c r="G6092" s="5">
        <v>102.5</v>
      </c>
      <c r="H6092" s="5">
        <v>102.4</v>
      </c>
      <c r="I6092" s="5">
        <v>0</v>
      </c>
      <c r="J6092" s="5">
        <v>0</v>
      </c>
      <c r="K6092" s="5">
        <v>0</v>
      </c>
    </row>
    <row r="6093" spans="1:11" x14ac:dyDescent="0.25">
      <c r="A6093" s="5">
        <f>6086</f>
      </c>
      <c r="B6093" s="5" t="s">
        <v>6101</v>
      </c>
      <c r="C6093" s="5">
        <v>103.1</v>
      </c>
      <c r="D6093" s="5">
        <v>0.1</v>
      </c>
      <c r="E6093" s="5">
        <v>103.2</v>
      </c>
      <c r="F6093" s="5">
        <v>205.2</v>
      </c>
      <c r="G6093" s="5">
        <v>102.4</v>
      </c>
      <c r="H6093" s="5">
        <v>102.3</v>
      </c>
      <c r="I6093" s="5">
        <v>0</v>
      </c>
      <c r="J6093" s="5">
        <v>0</v>
      </c>
      <c r="K6093" s="5">
        <v>0</v>
      </c>
    </row>
    <row r="6094" spans="1:11" x14ac:dyDescent="0.25">
      <c r="A6094" s="5">
        <f>6087</f>
      </c>
      <c r="B6094" s="5" t="s">
        <v>6102</v>
      </c>
      <c r="C6094" s="5">
        <v>103.1</v>
      </c>
      <c r="D6094" s="5">
        <v>0.1</v>
      </c>
      <c r="E6094" s="5">
        <v>103.2</v>
      </c>
      <c r="F6094" s="5">
        <v>205.2</v>
      </c>
      <c r="G6094" s="5">
        <v>102.4</v>
      </c>
      <c r="H6094" s="5">
        <v>102.3</v>
      </c>
      <c r="I6094" s="5">
        <v>0</v>
      </c>
      <c r="J6094" s="5">
        <v>0</v>
      </c>
      <c r="K6094" s="5">
        <v>0</v>
      </c>
    </row>
    <row r="6095" spans="1:11" x14ac:dyDescent="0.25">
      <c r="A6095" s="5">
        <f>6088</f>
      </c>
      <c r="B6095" s="5" t="s">
        <v>6103</v>
      </c>
      <c r="C6095" s="5">
        <v>103.1</v>
      </c>
      <c r="D6095" s="5">
        <v>0.1</v>
      </c>
      <c r="E6095" s="5">
        <v>103.2</v>
      </c>
      <c r="F6095" s="5">
        <v>205.2</v>
      </c>
      <c r="G6095" s="5">
        <v>102.4</v>
      </c>
      <c r="H6095" s="5">
        <v>102.3</v>
      </c>
      <c r="I6095" s="5">
        <v>0</v>
      </c>
      <c r="J6095" s="5">
        <v>0</v>
      </c>
      <c r="K6095" s="5">
        <v>0</v>
      </c>
    </row>
    <row r="6096" spans="1:11" x14ac:dyDescent="0.25">
      <c r="A6096" s="5">
        <f>6089</f>
      </c>
      <c r="B6096" s="5" t="s">
        <v>6104</v>
      </c>
      <c r="C6096" s="5">
        <v>103.1</v>
      </c>
      <c r="D6096" s="5">
        <v>0.1</v>
      </c>
      <c r="E6096" s="5">
        <v>103.2</v>
      </c>
      <c r="F6096" s="5">
        <v>205.2</v>
      </c>
      <c r="G6096" s="5">
        <v>102.4</v>
      </c>
      <c r="H6096" s="5">
        <v>102.3</v>
      </c>
      <c r="I6096" s="5">
        <v>0</v>
      </c>
      <c r="J6096" s="5">
        <v>0</v>
      </c>
      <c r="K6096" s="5">
        <v>0</v>
      </c>
    </row>
    <row r="6097" spans="1:11" x14ac:dyDescent="0.25">
      <c r="A6097" s="5">
        <f>6090</f>
      </c>
      <c r="B6097" s="5" t="s">
        <v>6105</v>
      </c>
      <c r="C6097" s="5">
        <v>101.9</v>
      </c>
      <c r="D6097" s="5">
        <v>0.1</v>
      </c>
      <c r="E6097" s="5">
        <v>102.1</v>
      </c>
      <c r="F6097" s="5">
        <v>203.8</v>
      </c>
      <c r="G6097" s="5">
        <v>101.7</v>
      </c>
      <c r="H6097" s="5">
        <v>101.5</v>
      </c>
      <c r="I6097" s="5">
        <v>0</v>
      </c>
      <c r="J6097" s="5">
        <v>0</v>
      </c>
      <c r="K6097" s="5">
        <v>0</v>
      </c>
    </row>
    <row r="6098" spans="1:11" x14ac:dyDescent="0.25">
      <c r="A6098" s="5">
        <f>6091</f>
      </c>
      <c r="B6098" s="5" t="s">
        <v>6106</v>
      </c>
      <c r="C6098" s="5">
        <v>101.9</v>
      </c>
      <c r="D6098" s="5">
        <v>0.1</v>
      </c>
      <c r="E6098" s="5">
        <v>102.1</v>
      </c>
      <c r="F6098" s="5">
        <v>203.8</v>
      </c>
      <c r="G6098" s="5">
        <v>101.7</v>
      </c>
      <c r="H6098" s="5">
        <v>101.5</v>
      </c>
      <c r="I6098" s="5">
        <v>0</v>
      </c>
      <c r="J6098" s="5">
        <v>0</v>
      </c>
      <c r="K6098" s="5">
        <v>0</v>
      </c>
    </row>
    <row r="6099" spans="1:11" x14ac:dyDescent="0.25">
      <c r="A6099" s="5">
        <f>6092</f>
      </c>
      <c r="B6099" s="5" t="s">
        <v>6107</v>
      </c>
      <c r="C6099" s="5">
        <v>103</v>
      </c>
      <c r="D6099" s="5">
        <v>0.1</v>
      </c>
      <c r="E6099" s="5">
        <v>103.1</v>
      </c>
      <c r="F6099" s="5">
        <v>205.1</v>
      </c>
      <c r="G6099" s="5">
        <v>102.3</v>
      </c>
      <c r="H6099" s="5">
        <v>102.2</v>
      </c>
      <c r="I6099" s="5">
        <v>0</v>
      </c>
      <c r="J6099" s="5">
        <v>0</v>
      </c>
      <c r="K6099" s="5">
        <v>0</v>
      </c>
    </row>
    <row r="6100" spans="1:11" x14ac:dyDescent="0.25">
      <c r="A6100" s="5">
        <f>6093</f>
      </c>
      <c r="B6100" s="5" t="s">
        <v>6108</v>
      </c>
      <c r="C6100" s="5">
        <v>103</v>
      </c>
      <c r="D6100" s="5">
        <v>0.1</v>
      </c>
      <c r="E6100" s="5">
        <v>103.1</v>
      </c>
      <c r="F6100" s="5">
        <v>205.1</v>
      </c>
      <c r="G6100" s="5">
        <v>102.3</v>
      </c>
      <c r="H6100" s="5">
        <v>102.2</v>
      </c>
      <c r="I6100" s="5">
        <v>0</v>
      </c>
      <c r="J6100" s="5">
        <v>0</v>
      </c>
      <c r="K6100" s="5">
        <v>0</v>
      </c>
    </row>
    <row r="6101" spans="1:11" x14ac:dyDescent="0.25">
      <c r="A6101" s="5">
        <f>6094</f>
      </c>
      <c r="B6101" s="5" t="s">
        <v>6109</v>
      </c>
      <c r="C6101" s="5">
        <v>101.9</v>
      </c>
      <c r="D6101" s="5">
        <v>0.1</v>
      </c>
      <c r="E6101" s="5">
        <v>102.1</v>
      </c>
      <c r="F6101" s="5">
        <v>203.7</v>
      </c>
      <c r="G6101" s="5">
        <v>101.6</v>
      </c>
      <c r="H6101" s="5">
        <v>101.5</v>
      </c>
      <c r="I6101" s="5">
        <v>0</v>
      </c>
      <c r="J6101" s="5">
        <v>0</v>
      </c>
      <c r="K6101" s="5">
        <v>0</v>
      </c>
    </row>
    <row r="6102" spans="1:11" x14ac:dyDescent="0.25">
      <c r="A6102" s="5">
        <f>6095</f>
      </c>
      <c r="B6102" s="5" t="s">
        <v>6110</v>
      </c>
      <c r="C6102" s="5">
        <v>101.9</v>
      </c>
      <c r="D6102" s="5">
        <v>0.1</v>
      </c>
      <c r="E6102" s="5">
        <v>102.1</v>
      </c>
      <c r="F6102" s="5">
        <v>203.7</v>
      </c>
      <c r="G6102" s="5">
        <v>101.6</v>
      </c>
      <c r="H6102" s="5">
        <v>101.5</v>
      </c>
      <c r="I6102" s="5">
        <v>0</v>
      </c>
      <c r="J6102" s="5">
        <v>0</v>
      </c>
      <c r="K6102" s="5">
        <v>0</v>
      </c>
    </row>
    <row r="6103" spans="1:11" x14ac:dyDescent="0.25">
      <c r="A6103" s="5">
        <f>6096</f>
      </c>
      <c r="B6103" s="5" t="s">
        <v>6111</v>
      </c>
      <c r="C6103" s="5">
        <v>103.1</v>
      </c>
      <c r="D6103" s="5">
        <v>0.1</v>
      </c>
      <c r="E6103" s="5">
        <v>103.2</v>
      </c>
      <c r="F6103" s="5">
        <v>205.7</v>
      </c>
      <c r="G6103" s="5">
        <v>102.7</v>
      </c>
      <c r="H6103" s="5">
        <v>102.6</v>
      </c>
      <c r="I6103" s="5">
        <v>0</v>
      </c>
      <c r="J6103" s="5">
        <v>0</v>
      </c>
      <c r="K6103" s="5">
        <v>0</v>
      </c>
    </row>
    <row r="6104" spans="1:11" x14ac:dyDescent="0.25">
      <c r="A6104" s="5">
        <f>6097</f>
      </c>
      <c r="B6104" s="5" t="s">
        <v>6112</v>
      </c>
      <c r="C6104" s="5">
        <v>103.1</v>
      </c>
      <c r="D6104" s="5">
        <v>0.1</v>
      </c>
      <c r="E6104" s="5">
        <v>103.2</v>
      </c>
      <c r="F6104" s="5">
        <v>205.7</v>
      </c>
      <c r="G6104" s="5">
        <v>102.7</v>
      </c>
      <c r="H6104" s="5">
        <v>102.6</v>
      </c>
      <c r="I6104" s="5">
        <v>0</v>
      </c>
      <c r="J6104" s="5">
        <v>0</v>
      </c>
      <c r="K6104" s="5">
        <v>0</v>
      </c>
    </row>
    <row r="6105" spans="1:11" x14ac:dyDescent="0.25">
      <c r="A6105" s="5">
        <f>6098</f>
      </c>
      <c r="B6105" s="5" t="s">
        <v>6113</v>
      </c>
      <c r="C6105" s="5">
        <v>103.1</v>
      </c>
      <c r="D6105" s="5">
        <v>0.1</v>
      </c>
      <c r="E6105" s="5">
        <v>103.2</v>
      </c>
      <c r="F6105" s="5">
        <v>205.7</v>
      </c>
      <c r="G6105" s="5">
        <v>102.7</v>
      </c>
      <c r="H6105" s="5">
        <v>102.6</v>
      </c>
      <c r="I6105" s="5">
        <v>0</v>
      </c>
      <c r="J6105" s="5">
        <v>0</v>
      </c>
      <c r="K6105" s="5">
        <v>0</v>
      </c>
    </row>
    <row r="6106" spans="1:11" x14ac:dyDescent="0.25">
      <c r="A6106" s="5">
        <f>6099</f>
      </c>
      <c r="B6106" s="5" t="s">
        <v>6114</v>
      </c>
      <c r="C6106" s="5">
        <v>103.1</v>
      </c>
      <c r="D6106" s="5">
        <v>0.1</v>
      </c>
      <c r="E6106" s="5">
        <v>102.7</v>
      </c>
      <c r="F6106" s="5">
        <v>205.6</v>
      </c>
      <c r="G6106" s="5">
        <v>102.8</v>
      </c>
      <c r="H6106" s="5">
        <v>102.7</v>
      </c>
      <c r="I6106" s="5">
        <v>0</v>
      </c>
      <c r="J6106" s="5">
        <v>0</v>
      </c>
      <c r="K6106" s="5">
        <v>0</v>
      </c>
    </row>
    <row r="6107" spans="1:11" x14ac:dyDescent="0.25">
      <c r="A6107" s="5">
        <f>6100</f>
      </c>
      <c r="B6107" s="5" t="s">
        <v>6115</v>
      </c>
      <c r="C6107" s="5">
        <v>102.6</v>
      </c>
      <c r="D6107" s="5">
        <v>0.1</v>
      </c>
      <c r="E6107" s="5">
        <v>102.7</v>
      </c>
      <c r="F6107" s="5">
        <v>205.6</v>
      </c>
      <c r="G6107" s="5">
        <v>102.8</v>
      </c>
      <c r="H6107" s="5">
        <v>102.7</v>
      </c>
      <c r="I6107" s="5">
        <v>0</v>
      </c>
      <c r="J6107" s="5">
        <v>0</v>
      </c>
      <c r="K6107" s="5">
        <v>0</v>
      </c>
    </row>
    <row r="6108" spans="1:11" x14ac:dyDescent="0.25">
      <c r="A6108" s="5">
        <f>6101</f>
      </c>
      <c r="B6108" s="5" t="s">
        <v>6116</v>
      </c>
      <c r="C6108" s="5">
        <v>102.1</v>
      </c>
      <c r="D6108" s="5">
        <v>0.1</v>
      </c>
      <c r="E6108" s="5">
        <v>102.2</v>
      </c>
      <c r="F6108" s="5">
        <v>204.9</v>
      </c>
      <c r="G6108" s="5">
        <v>102.3</v>
      </c>
      <c r="H6108" s="5">
        <v>102.2</v>
      </c>
      <c r="I6108" s="5">
        <v>0</v>
      </c>
      <c r="J6108" s="5">
        <v>0</v>
      </c>
      <c r="K6108" s="5">
        <v>0</v>
      </c>
    </row>
    <row r="6109" spans="1:11" x14ac:dyDescent="0.25">
      <c r="A6109" s="5">
        <f>6102</f>
      </c>
      <c r="B6109" s="5" t="s">
        <v>6117</v>
      </c>
      <c r="C6109" s="5">
        <v>102.1</v>
      </c>
      <c r="D6109" s="5">
        <v>0.1</v>
      </c>
      <c r="E6109" s="5">
        <v>102.2</v>
      </c>
      <c r="F6109" s="5">
        <v>204.9</v>
      </c>
      <c r="G6109" s="5">
        <v>102.3</v>
      </c>
      <c r="H6109" s="5">
        <v>102.2</v>
      </c>
      <c r="I6109" s="5">
        <v>0</v>
      </c>
      <c r="J6109" s="5">
        <v>0</v>
      </c>
      <c r="K6109" s="5">
        <v>0</v>
      </c>
    </row>
    <row r="6110" spans="1:11" x14ac:dyDescent="0.25">
      <c r="A6110" s="5">
        <f>6103</f>
      </c>
      <c r="B6110" s="5" t="s">
        <v>6118</v>
      </c>
      <c r="C6110" s="5">
        <v>102.1</v>
      </c>
      <c r="D6110" s="5">
        <v>0.1</v>
      </c>
      <c r="E6110" s="5">
        <v>103.5</v>
      </c>
      <c r="F6110" s="5">
        <v>206</v>
      </c>
      <c r="G6110" s="5">
        <v>102.8</v>
      </c>
      <c r="H6110" s="5">
        <v>102.6</v>
      </c>
      <c r="I6110" s="5">
        <v>0</v>
      </c>
      <c r="J6110" s="5">
        <v>0</v>
      </c>
      <c r="K6110" s="5">
        <v>0</v>
      </c>
    </row>
    <row r="6111" spans="1:11" x14ac:dyDescent="0.25">
      <c r="A6111" s="5">
        <f>6104</f>
      </c>
      <c r="B6111" s="5" t="s">
        <v>6119</v>
      </c>
      <c r="C6111" s="5">
        <v>103.4</v>
      </c>
      <c r="D6111" s="5">
        <v>0.1</v>
      </c>
      <c r="E6111" s="5">
        <v>103.5</v>
      </c>
      <c r="F6111" s="5">
        <v>206</v>
      </c>
      <c r="G6111" s="5">
        <v>102.8</v>
      </c>
      <c r="H6111" s="5">
        <v>102.6</v>
      </c>
      <c r="I6111" s="5">
        <v>0</v>
      </c>
      <c r="J6111" s="5">
        <v>0</v>
      </c>
      <c r="K6111" s="5">
        <v>0</v>
      </c>
    </row>
    <row r="6112" spans="1:11" x14ac:dyDescent="0.25">
      <c r="A6112" s="5">
        <f>6105</f>
      </c>
      <c r="B6112" s="5" t="s">
        <v>6120</v>
      </c>
      <c r="C6112" s="5">
        <v>103.4</v>
      </c>
      <c r="D6112" s="5">
        <v>0.1</v>
      </c>
      <c r="E6112" s="5">
        <v>103.5</v>
      </c>
      <c r="F6112" s="5">
        <v>206</v>
      </c>
      <c r="G6112" s="5">
        <v>101.7</v>
      </c>
      <c r="H6112" s="5">
        <v>101.5</v>
      </c>
      <c r="I6112" s="5">
        <v>0</v>
      </c>
      <c r="J6112" s="5">
        <v>0</v>
      </c>
      <c r="K6112" s="5">
        <v>0</v>
      </c>
    </row>
    <row r="6113" spans="1:11" x14ac:dyDescent="0.25">
      <c r="A6113" s="5">
        <f>6106</f>
      </c>
      <c r="B6113" s="5" t="s">
        <v>6121</v>
      </c>
      <c r="C6113" s="5">
        <v>102.6</v>
      </c>
      <c r="D6113" s="5">
        <v>0.1</v>
      </c>
      <c r="E6113" s="5">
        <v>102.7</v>
      </c>
      <c r="F6113" s="5">
        <v>203.9</v>
      </c>
      <c r="G6113" s="5">
        <v>101.7</v>
      </c>
      <c r="H6113" s="5">
        <v>101.5</v>
      </c>
      <c r="I6113" s="5">
        <v>0</v>
      </c>
      <c r="J6113" s="5">
        <v>0</v>
      </c>
      <c r="K6113" s="5">
        <v>0</v>
      </c>
    </row>
    <row r="6114" spans="1:11" x14ac:dyDescent="0.25">
      <c r="A6114" s="5">
        <f>6107</f>
      </c>
      <c r="B6114" s="5" t="s">
        <v>6122</v>
      </c>
      <c r="C6114" s="5">
        <v>102.6</v>
      </c>
      <c r="D6114" s="5">
        <v>0.1</v>
      </c>
      <c r="E6114" s="5">
        <v>102.7</v>
      </c>
      <c r="F6114" s="5">
        <v>203.9</v>
      </c>
      <c r="G6114" s="5">
        <v>101.7</v>
      </c>
      <c r="H6114" s="5">
        <v>101.5</v>
      </c>
      <c r="I6114" s="5">
        <v>0</v>
      </c>
      <c r="J6114" s="5">
        <v>0</v>
      </c>
      <c r="K6114" s="5">
        <v>0</v>
      </c>
    </row>
    <row r="6115" spans="1:11" x14ac:dyDescent="0.25">
      <c r="A6115" s="5">
        <f>6108</f>
      </c>
      <c r="B6115" s="5" t="s">
        <v>6123</v>
      </c>
      <c r="C6115" s="5">
        <v>102.6</v>
      </c>
      <c r="D6115" s="5">
        <v>0.1</v>
      </c>
      <c r="E6115" s="5">
        <v>102.7</v>
      </c>
      <c r="F6115" s="5">
        <v>203.9</v>
      </c>
      <c r="G6115" s="5">
        <v>101.7</v>
      </c>
      <c r="H6115" s="5">
        <v>101.5</v>
      </c>
      <c r="I6115" s="5">
        <v>0</v>
      </c>
      <c r="J6115" s="5">
        <v>0</v>
      </c>
      <c r="K6115" s="5">
        <v>0</v>
      </c>
    </row>
    <row r="6116" spans="1:11" x14ac:dyDescent="0.25">
      <c r="A6116" s="5">
        <f>6109</f>
      </c>
      <c r="B6116" s="5" t="s">
        <v>6124</v>
      </c>
      <c r="C6116" s="5">
        <v>102.6</v>
      </c>
      <c r="D6116" s="5">
        <v>0.1</v>
      </c>
      <c r="E6116" s="5">
        <v>102.7</v>
      </c>
      <c r="F6116" s="5">
        <v>204.7</v>
      </c>
      <c r="G6116" s="5">
        <v>102.2</v>
      </c>
      <c r="H6116" s="5">
        <v>102</v>
      </c>
      <c r="I6116" s="5">
        <v>0</v>
      </c>
      <c r="J6116" s="5">
        <v>0</v>
      </c>
      <c r="K6116" s="5">
        <v>0</v>
      </c>
    </row>
    <row r="6117" spans="1:11" x14ac:dyDescent="0.25">
      <c r="A6117" s="5">
        <f>6110</f>
      </c>
      <c r="B6117" s="5" t="s">
        <v>6125</v>
      </c>
      <c r="C6117" s="5">
        <v>102.6</v>
      </c>
      <c r="D6117" s="5">
        <v>0.1</v>
      </c>
      <c r="E6117" s="5">
        <v>102.7</v>
      </c>
      <c r="F6117" s="5">
        <v>204.7</v>
      </c>
      <c r="G6117" s="5">
        <v>102.2</v>
      </c>
      <c r="H6117" s="5">
        <v>102</v>
      </c>
      <c r="I6117" s="5">
        <v>0</v>
      </c>
      <c r="J6117" s="5">
        <v>0</v>
      </c>
      <c r="K6117" s="5">
        <v>0</v>
      </c>
    </row>
    <row r="6118" spans="1:11" x14ac:dyDescent="0.25">
      <c r="A6118" s="5">
        <f>6111</f>
      </c>
      <c r="B6118" s="5" t="s">
        <v>6126</v>
      </c>
      <c r="C6118" s="5">
        <v>102.1</v>
      </c>
      <c r="D6118" s="5">
        <v>0.1</v>
      </c>
      <c r="E6118" s="5">
        <v>102.2</v>
      </c>
      <c r="F6118" s="5">
        <v>204.2</v>
      </c>
      <c r="G6118" s="5">
        <v>101.8</v>
      </c>
      <c r="H6118" s="5">
        <v>101.7</v>
      </c>
      <c r="I6118" s="5">
        <v>0</v>
      </c>
      <c r="J6118" s="5">
        <v>0</v>
      </c>
      <c r="K6118" s="5">
        <v>0</v>
      </c>
    </row>
    <row r="6119" spans="1:11" x14ac:dyDescent="0.25">
      <c r="A6119" s="5">
        <f>6112</f>
      </c>
      <c r="B6119" s="5" t="s">
        <v>6127</v>
      </c>
      <c r="C6119" s="5">
        <v>102.1</v>
      </c>
      <c r="D6119" s="5">
        <v>0.1</v>
      </c>
      <c r="E6119" s="5">
        <v>102.2</v>
      </c>
      <c r="F6119" s="5">
        <v>204.2</v>
      </c>
      <c r="G6119" s="5">
        <v>101.8</v>
      </c>
      <c r="H6119" s="5">
        <v>101.7</v>
      </c>
      <c r="I6119" s="5">
        <v>0</v>
      </c>
      <c r="J6119" s="5">
        <v>0</v>
      </c>
      <c r="K6119" s="5">
        <v>0</v>
      </c>
    </row>
    <row r="6120" spans="1:11" x14ac:dyDescent="0.25">
      <c r="A6120" s="5">
        <f>6113</f>
      </c>
      <c r="B6120" s="5" t="s">
        <v>6128</v>
      </c>
      <c r="C6120" s="5">
        <v>102.7</v>
      </c>
      <c r="D6120" s="5">
        <v>0.1</v>
      </c>
      <c r="E6120" s="5">
        <v>102.8</v>
      </c>
      <c r="F6120" s="5">
        <v>205</v>
      </c>
      <c r="G6120" s="5">
        <v>102.3</v>
      </c>
      <c r="H6120" s="5">
        <v>102.1</v>
      </c>
      <c r="I6120" s="5">
        <v>0</v>
      </c>
      <c r="J6120" s="5">
        <v>0</v>
      </c>
      <c r="K6120" s="5">
        <v>0</v>
      </c>
    </row>
    <row r="6121" spans="1:11" x14ac:dyDescent="0.25">
      <c r="A6121" s="5">
        <f>6114</f>
      </c>
      <c r="B6121" s="5" t="s">
        <v>6129</v>
      </c>
      <c r="C6121" s="5">
        <v>102.7</v>
      </c>
      <c r="D6121" s="5">
        <v>0.1</v>
      </c>
      <c r="E6121" s="5">
        <v>102.8</v>
      </c>
      <c r="F6121" s="5">
        <v>205</v>
      </c>
      <c r="G6121" s="5">
        <v>102.3</v>
      </c>
      <c r="H6121" s="5">
        <v>102.1</v>
      </c>
      <c r="I6121" s="5">
        <v>0</v>
      </c>
      <c r="J6121" s="5">
        <v>0</v>
      </c>
      <c r="K6121" s="5">
        <v>0</v>
      </c>
    </row>
    <row r="6122" spans="1:11" x14ac:dyDescent="0.25">
      <c r="A6122" s="5">
        <f>6115</f>
      </c>
      <c r="B6122" s="5" t="s">
        <v>6130</v>
      </c>
      <c r="C6122" s="5">
        <v>102.7</v>
      </c>
      <c r="D6122" s="5">
        <v>0.1</v>
      </c>
      <c r="E6122" s="5">
        <v>102.8</v>
      </c>
      <c r="F6122" s="5">
        <v>204.9</v>
      </c>
      <c r="G6122" s="5">
        <v>102.2</v>
      </c>
      <c r="H6122" s="5">
        <v>102.1</v>
      </c>
      <c r="I6122" s="5">
        <v>0</v>
      </c>
      <c r="J6122" s="5">
        <v>0</v>
      </c>
      <c r="K6122" s="5">
        <v>0</v>
      </c>
    </row>
    <row r="6123" spans="1:11" x14ac:dyDescent="0.25">
      <c r="A6123" s="5">
        <f>6116</f>
      </c>
      <c r="B6123" s="5" t="s">
        <v>6131</v>
      </c>
      <c r="C6123" s="5">
        <v>102.7</v>
      </c>
      <c r="D6123" s="5">
        <v>0.1</v>
      </c>
      <c r="E6123" s="5">
        <v>102.8</v>
      </c>
      <c r="F6123" s="5">
        <v>204.9</v>
      </c>
      <c r="G6123" s="5">
        <v>102.2</v>
      </c>
      <c r="H6123" s="5">
        <v>102.1</v>
      </c>
      <c r="I6123" s="5">
        <v>0</v>
      </c>
      <c r="J6123" s="5">
        <v>0</v>
      </c>
      <c r="K6123" s="5">
        <v>0</v>
      </c>
    </row>
    <row r="6124" spans="1:11" x14ac:dyDescent="0.25">
      <c r="A6124" s="5">
        <f>6117</f>
      </c>
      <c r="B6124" s="5" t="s">
        <v>6132</v>
      </c>
      <c r="C6124" s="5">
        <v>102.7</v>
      </c>
      <c r="D6124" s="5">
        <v>0.1</v>
      </c>
      <c r="E6124" s="5">
        <v>102.8</v>
      </c>
      <c r="F6124" s="5">
        <v>204.9</v>
      </c>
      <c r="G6124" s="5">
        <v>102.2</v>
      </c>
      <c r="H6124" s="5">
        <v>102.1</v>
      </c>
      <c r="I6124" s="5">
        <v>0</v>
      </c>
      <c r="J6124" s="5">
        <v>0</v>
      </c>
      <c r="K6124" s="5">
        <v>0</v>
      </c>
    </row>
    <row r="6125" spans="1:11" x14ac:dyDescent="0.25">
      <c r="A6125" s="5">
        <f>6118</f>
      </c>
      <c r="B6125" s="5" t="s">
        <v>6133</v>
      </c>
      <c r="C6125" s="5">
        <v>102.7</v>
      </c>
      <c r="D6125" s="5">
        <v>0.1</v>
      </c>
      <c r="E6125" s="5">
        <v>102.8</v>
      </c>
      <c r="F6125" s="5">
        <v>204.9</v>
      </c>
      <c r="G6125" s="5">
        <v>102.2</v>
      </c>
      <c r="H6125" s="5">
        <v>102.1</v>
      </c>
      <c r="I6125" s="5">
        <v>0</v>
      </c>
      <c r="J6125" s="5">
        <v>0</v>
      </c>
      <c r="K6125" s="5">
        <v>0</v>
      </c>
    </row>
    <row r="6126" spans="1:11" x14ac:dyDescent="0.25">
      <c r="A6126" s="5">
        <f>6119</f>
      </c>
      <c r="B6126" s="5" t="s">
        <v>6134</v>
      </c>
      <c r="C6126" s="5">
        <v>103</v>
      </c>
      <c r="D6126" s="5">
        <v>0.1</v>
      </c>
      <c r="E6126" s="5">
        <v>103.1</v>
      </c>
      <c r="F6126" s="5">
        <v>205.3</v>
      </c>
      <c r="G6126" s="5">
        <v>102.4</v>
      </c>
      <c r="H6126" s="5">
        <v>102.3</v>
      </c>
      <c r="I6126" s="5">
        <v>0</v>
      </c>
      <c r="J6126" s="5">
        <v>0</v>
      </c>
      <c r="K6126" s="5">
        <v>0</v>
      </c>
    </row>
    <row r="6127" spans="1:11" x14ac:dyDescent="0.25">
      <c r="A6127" s="5">
        <f>6120</f>
      </c>
      <c r="B6127" s="5" t="s">
        <v>6135</v>
      </c>
      <c r="C6127" s="5">
        <v>103</v>
      </c>
      <c r="D6127" s="5">
        <v>0.1</v>
      </c>
      <c r="E6127" s="5">
        <v>103.1</v>
      </c>
      <c r="F6127" s="5">
        <v>205.3</v>
      </c>
      <c r="G6127" s="5">
        <v>102.4</v>
      </c>
      <c r="H6127" s="5">
        <v>102.3</v>
      </c>
      <c r="I6127" s="5">
        <v>0</v>
      </c>
      <c r="J6127" s="5">
        <v>0</v>
      </c>
      <c r="K6127" s="5">
        <v>0</v>
      </c>
    </row>
    <row r="6128" spans="1:11" x14ac:dyDescent="0.25">
      <c r="A6128" s="5">
        <f>6121</f>
      </c>
      <c r="B6128" s="5" t="s">
        <v>6136</v>
      </c>
      <c r="C6128" s="5">
        <v>102.8</v>
      </c>
      <c r="D6128" s="5">
        <v>0.1</v>
      </c>
      <c r="E6128" s="5">
        <v>103</v>
      </c>
      <c r="F6128" s="5">
        <v>205.1</v>
      </c>
      <c r="G6128" s="5">
        <v>102.4</v>
      </c>
      <c r="H6128" s="5">
        <v>102.2</v>
      </c>
      <c r="I6128" s="5">
        <v>0</v>
      </c>
      <c r="J6128" s="5">
        <v>0</v>
      </c>
      <c r="K6128" s="5">
        <v>0</v>
      </c>
    </row>
    <row r="6129" spans="1:11" x14ac:dyDescent="0.25">
      <c r="A6129" s="5">
        <f>6122</f>
      </c>
      <c r="B6129" s="5" t="s">
        <v>6137</v>
      </c>
      <c r="C6129" s="5">
        <v>102.8</v>
      </c>
      <c r="D6129" s="5">
        <v>0.1</v>
      </c>
      <c r="E6129" s="5">
        <v>103</v>
      </c>
      <c r="F6129" s="5">
        <v>205.1</v>
      </c>
      <c r="G6129" s="5">
        <v>102.4</v>
      </c>
      <c r="H6129" s="5">
        <v>102.2</v>
      </c>
      <c r="I6129" s="5">
        <v>0</v>
      </c>
      <c r="J6129" s="5">
        <v>0</v>
      </c>
      <c r="K6129" s="5">
        <v>0</v>
      </c>
    </row>
    <row r="6130" spans="1:11" x14ac:dyDescent="0.25">
      <c r="A6130" s="5">
        <f>6123</f>
      </c>
      <c r="B6130" s="5" t="s">
        <v>6138</v>
      </c>
      <c r="C6130" s="5">
        <v>102.4</v>
      </c>
      <c r="D6130" s="5">
        <v>0.1</v>
      </c>
      <c r="E6130" s="5">
        <v>102.5</v>
      </c>
      <c r="F6130" s="5">
        <v>204.7</v>
      </c>
      <c r="G6130" s="5">
        <v>102.1</v>
      </c>
      <c r="H6130" s="5">
        <v>102.2</v>
      </c>
      <c r="I6130" s="5">
        <v>0</v>
      </c>
      <c r="J6130" s="5">
        <v>0</v>
      </c>
      <c r="K6130" s="5">
        <v>0</v>
      </c>
    </row>
    <row r="6131" spans="1:11" x14ac:dyDescent="0.25">
      <c r="A6131" s="5">
        <f>6124</f>
      </c>
      <c r="B6131" s="5" t="s">
        <v>6139</v>
      </c>
      <c r="C6131" s="5">
        <v>102.4</v>
      </c>
      <c r="D6131" s="5">
        <v>0.1</v>
      </c>
      <c r="E6131" s="5">
        <v>102.5</v>
      </c>
      <c r="F6131" s="5">
        <v>204.7</v>
      </c>
      <c r="G6131" s="5">
        <v>102.1</v>
      </c>
      <c r="H6131" s="5">
        <v>102</v>
      </c>
      <c r="I6131" s="5">
        <v>0</v>
      </c>
      <c r="J6131" s="5">
        <v>0</v>
      </c>
      <c r="K6131" s="5">
        <v>0</v>
      </c>
    </row>
    <row r="6132" spans="1:11" x14ac:dyDescent="0.25">
      <c r="A6132" s="5">
        <f>6125</f>
      </c>
      <c r="B6132" s="5" t="s">
        <v>6140</v>
      </c>
      <c r="C6132" s="5">
        <v>102.1</v>
      </c>
      <c r="D6132" s="5">
        <v>0.1</v>
      </c>
      <c r="E6132" s="5">
        <v>102.3</v>
      </c>
      <c r="F6132" s="5">
        <v>203.7</v>
      </c>
      <c r="G6132" s="5">
        <v>102.1</v>
      </c>
      <c r="H6132" s="5">
        <v>102</v>
      </c>
      <c r="I6132" s="5">
        <v>0</v>
      </c>
      <c r="J6132" s="5">
        <v>0</v>
      </c>
      <c r="K6132" s="5">
        <v>0</v>
      </c>
    </row>
    <row r="6133" spans="1:11" x14ac:dyDescent="0.25">
      <c r="A6133" s="5">
        <f>6126</f>
      </c>
      <c r="B6133" s="5" t="s">
        <v>6141</v>
      </c>
      <c r="C6133" s="5">
        <v>102.1</v>
      </c>
      <c r="D6133" s="5">
        <v>0.1</v>
      </c>
      <c r="E6133" s="5">
        <v>102.3</v>
      </c>
      <c r="F6133" s="5">
        <v>203.7</v>
      </c>
      <c r="G6133" s="5">
        <v>101.6</v>
      </c>
      <c r="H6133" s="5">
        <v>101.5</v>
      </c>
      <c r="I6133" s="5">
        <v>0</v>
      </c>
      <c r="J6133" s="5">
        <v>0</v>
      </c>
      <c r="K6133" s="5">
        <v>0</v>
      </c>
    </row>
    <row r="6134" spans="1:11" x14ac:dyDescent="0.25">
      <c r="A6134" s="5">
        <f>6127</f>
      </c>
      <c r="B6134" s="5" t="s">
        <v>6142</v>
      </c>
      <c r="C6134" s="5">
        <v>102.1</v>
      </c>
      <c r="D6134" s="5">
        <v>0.1</v>
      </c>
      <c r="E6134" s="5">
        <v>102.3</v>
      </c>
      <c r="F6134" s="5">
        <v>203.7</v>
      </c>
      <c r="G6134" s="5">
        <v>101.6</v>
      </c>
      <c r="H6134" s="5">
        <v>101.5</v>
      </c>
      <c r="I6134" s="5">
        <v>0</v>
      </c>
      <c r="J6134" s="5">
        <v>0</v>
      </c>
      <c r="K6134" s="5">
        <v>0</v>
      </c>
    </row>
    <row r="6135" spans="1:11" x14ac:dyDescent="0.25">
      <c r="A6135" s="5">
        <f>6128</f>
      </c>
      <c r="B6135" s="5" t="s">
        <v>6143</v>
      </c>
      <c r="C6135" s="5">
        <v>102.1</v>
      </c>
      <c r="D6135" s="5">
        <v>0.1</v>
      </c>
      <c r="E6135" s="5">
        <v>102.3</v>
      </c>
      <c r="F6135" s="5">
        <v>203.7</v>
      </c>
      <c r="G6135" s="5">
        <v>101.6</v>
      </c>
      <c r="H6135" s="5">
        <v>101.5</v>
      </c>
      <c r="I6135" s="5">
        <v>0</v>
      </c>
      <c r="J6135" s="5">
        <v>0</v>
      </c>
      <c r="K6135" s="5">
        <v>0</v>
      </c>
    </row>
    <row r="6136" spans="1:11" x14ac:dyDescent="0.25">
      <c r="A6136" s="5">
        <f>6129</f>
      </c>
      <c r="B6136" s="5" t="s">
        <v>6144</v>
      </c>
      <c r="C6136" s="5">
        <v>102.4</v>
      </c>
      <c r="D6136" s="5">
        <v>0.1</v>
      </c>
      <c r="E6136" s="5">
        <v>102.5</v>
      </c>
      <c r="F6136" s="5">
        <v>204</v>
      </c>
      <c r="G6136" s="5">
        <v>101.8</v>
      </c>
      <c r="H6136" s="5">
        <v>101.6</v>
      </c>
      <c r="I6136" s="5">
        <v>0</v>
      </c>
      <c r="J6136" s="5">
        <v>0</v>
      </c>
      <c r="K6136" s="5">
        <v>0</v>
      </c>
    </row>
    <row r="6137" spans="1:11" x14ac:dyDescent="0.25">
      <c r="A6137" s="5">
        <f>6130</f>
      </c>
      <c r="B6137" s="5" t="s">
        <v>6145</v>
      </c>
      <c r="C6137" s="5">
        <v>102.4</v>
      </c>
      <c r="D6137" s="5">
        <v>0.1</v>
      </c>
      <c r="E6137" s="5">
        <v>102.5</v>
      </c>
      <c r="F6137" s="5">
        <v>204</v>
      </c>
      <c r="G6137" s="5">
        <v>101.8</v>
      </c>
      <c r="H6137" s="5">
        <v>101.6</v>
      </c>
      <c r="I6137" s="5">
        <v>0</v>
      </c>
      <c r="J6137" s="5">
        <v>0</v>
      </c>
      <c r="K6137" s="5">
        <v>0</v>
      </c>
    </row>
    <row r="6138" spans="1:11" x14ac:dyDescent="0.25">
      <c r="A6138" s="5">
        <f>6131</f>
      </c>
      <c r="B6138" s="5" t="s">
        <v>6146</v>
      </c>
      <c r="C6138" s="5">
        <v>102.4</v>
      </c>
      <c r="D6138" s="5">
        <v>0.1</v>
      </c>
      <c r="E6138" s="5">
        <v>103.1</v>
      </c>
      <c r="F6138" s="5">
        <v>204.4</v>
      </c>
      <c r="G6138" s="5">
        <v>102</v>
      </c>
      <c r="H6138" s="5">
        <v>102</v>
      </c>
      <c r="I6138" s="5">
        <v>0</v>
      </c>
      <c r="J6138" s="5">
        <v>0</v>
      </c>
      <c r="K6138" s="5">
        <v>0</v>
      </c>
    </row>
    <row r="6139" spans="1:11" x14ac:dyDescent="0.25">
      <c r="A6139" s="5">
        <f>6132</f>
      </c>
      <c r="B6139" s="5" t="s">
        <v>6147</v>
      </c>
      <c r="C6139" s="5">
        <v>102.9</v>
      </c>
      <c r="D6139" s="5">
        <v>0.1</v>
      </c>
      <c r="E6139" s="5">
        <v>103.1</v>
      </c>
      <c r="F6139" s="5">
        <v>204.4</v>
      </c>
      <c r="G6139" s="5">
        <v>102</v>
      </c>
      <c r="H6139" s="5">
        <v>102</v>
      </c>
      <c r="I6139" s="5">
        <v>0</v>
      </c>
      <c r="J6139" s="5">
        <v>0</v>
      </c>
      <c r="K6139" s="5">
        <v>0</v>
      </c>
    </row>
    <row r="6140" spans="1:11" x14ac:dyDescent="0.25">
      <c r="A6140" s="5">
        <f>6133</f>
      </c>
      <c r="B6140" s="5" t="s">
        <v>6148</v>
      </c>
      <c r="C6140" s="5">
        <v>102.9</v>
      </c>
      <c r="D6140" s="5">
        <v>0.1</v>
      </c>
      <c r="E6140" s="5">
        <v>102.7</v>
      </c>
      <c r="F6140" s="5">
        <v>205.6</v>
      </c>
      <c r="G6140" s="5">
        <v>102.6</v>
      </c>
      <c r="H6140" s="5">
        <v>102.4</v>
      </c>
      <c r="I6140" s="5">
        <v>0</v>
      </c>
      <c r="J6140" s="5">
        <v>0</v>
      </c>
      <c r="K6140" s="5">
        <v>0</v>
      </c>
    </row>
    <row r="6141" spans="1:11" x14ac:dyDescent="0.25">
      <c r="A6141" s="5">
        <f>6134</f>
      </c>
      <c r="B6141" s="5" t="s">
        <v>6149</v>
      </c>
      <c r="C6141" s="5">
        <v>102.6</v>
      </c>
      <c r="D6141" s="5">
        <v>0.1</v>
      </c>
      <c r="E6141" s="5">
        <v>102.7</v>
      </c>
      <c r="F6141" s="5">
        <v>205.6</v>
      </c>
      <c r="G6141" s="5">
        <v>102.6</v>
      </c>
      <c r="H6141" s="5">
        <v>102.4</v>
      </c>
      <c r="I6141" s="5">
        <v>0</v>
      </c>
      <c r="J6141" s="5">
        <v>0</v>
      </c>
      <c r="K6141" s="5">
        <v>0</v>
      </c>
    </row>
    <row r="6142" spans="1:11" x14ac:dyDescent="0.25">
      <c r="A6142" s="5">
        <f>6135</f>
      </c>
      <c r="B6142" s="5" t="s">
        <v>6150</v>
      </c>
      <c r="C6142" s="5">
        <v>102.6</v>
      </c>
      <c r="D6142" s="5">
        <v>0.1</v>
      </c>
      <c r="E6142" s="5">
        <v>102.4</v>
      </c>
      <c r="F6142" s="5">
        <v>205.5</v>
      </c>
      <c r="G6142" s="5">
        <v>102.5</v>
      </c>
      <c r="H6142" s="5">
        <v>102.3</v>
      </c>
      <c r="I6142" s="5">
        <v>0</v>
      </c>
      <c r="J6142" s="5">
        <v>0</v>
      </c>
      <c r="K6142" s="5">
        <v>0</v>
      </c>
    </row>
    <row r="6143" spans="1:11" x14ac:dyDescent="0.25">
      <c r="A6143" s="5">
        <f>6136</f>
      </c>
      <c r="B6143" s="5" t="s">
        <v>6151</v>
      </c>
      <c r="C6143" s="5">
        <v>102.3</v>
      </c>
      <c r="D6143" s="5">
        <v>0.1</v>
      </c>
      <c r="E6143" s="5">
        <v>102.4</v>
      </c>
      <c r="F6143" s="5">
        <v>205.5</v>
      </c>
      <c r="G6143" s="5">
        <v>102.5</v>
      </c>
      <c r="H6143" s="5">
        <v>102.3</v>
      </c>
      <c r="I6143" s="5">
        <v>0</v>
      </c>
      <c r="J6143" s="5">
        <v>0</v>
      </c>
      <c r="K6143" s="5">
        <v>0</v>
      </c>
    </row>
    <row r="6144" spans="1:11" x14ac:dyDescent="0.25">
      <c r="A6144" s="5">
        <f>6137</f>
      </c>
      <c r="B6144" s="5" t="s">
        <v>6152</v>
      </c>
      <c r="C6144" s="5">
        <v>102.3</v>
      </c>
      <c r="D6144" s="5">
        <v>0.1</v>
      </c>
      <c r="E6144" s="5">
        <v>102.4</v>
      </c>
      <c r="F6144" s="5">
        <v>205.5</v>
      </c>
      <c r="G6144" s="5">
        <v>102.5</v>
      </c>
      <c r="H6144" s="5">
        <v>102.3</v>
      </c>
      <c r="I6144" s="5">
        <v>0</v>
      </c>
      <c r="J6144" s="5">
        <v>0</v>
      </c>
      <c r="K6144" s="5">
        <v>0</v>
      </c>
    </row>
    <row r="6145" spans="1:11" x14ac:dyDescent="0.25">
      <c r="A6145" s="5">
        <f>6138</f>
      </c>
      <c r="B6145" s="5" t="s">
        <v>6153</v>
      </c>
      <c r="C6145" s="5">
        <v>102.3</v>
      </c>
      <c r="D6145" s="5">
        <v>0.1</v>
      </c>
      <c r="E6145" s="5">
        <v>102.4</v>
      </c>
      <c r="F6145" s="5">
        <v>205.5</v>
      </c>
      <c r="G6145" s="5">
        <v>102.5</v>
      </c>
      <c r="H6145" s="5">
        <v>102.3</v>
      </c>
      <c r="I6145" s="5">
        <v>0</v>
      </c>
      <c r="J6145" s="5">
        <v>0</v>
      </c>
      <c r="K6145" s="5">
        <v>0</v>
      </c>
    </row>
    <row r="6146" spans="1:11" x14ac:dyDescent="0.25">
      <c r="A6146" s="5">
        <f>6139</f>
      </c>
      <c r="B6146" s="5" t="s">
        <v>6154</v>
      </c>
      <c r="C6146" s="5">
        <v>101.6</v>
      </c>
      <c r="D6146" s="5">
        <v>0.1</v>
      </c>
      <c r="E6146" s="5">
        <v>101.8</v>
      </c>
      <c r="F6146" s="5">
        <v>203.3</v>
      </c>
      <c r="G6146" s="5">
        <v>101.4</v>
      </c>
      <c r="H6146" s="5">
        <v>101.5</v>
      </c>
      <c r="I6146" s="5">
        <v>0</v>
      </c>
      <c r="J6146" s="5">
        <v>0</v>
      </c>
      <c r="K6146" s="5">
        <v>0</v>
      </c>
    </row>
    <row r="6147" spans="1:11" x14ac:dyDescent="0.25">
      <c r="A6147" s="5">
        <f>6140</f>
      </c>
      <c r="B6147" s="5" t="s">
        <v>6155</v>
      </c>
      <c r="C6147" s="5">
        <v>101.6</v>
      </c>
      <c r="D6147" s="5">
        <v>0.1</v>
      </c>
      <c r="E6147" s="5">
        <v>101.8</v>
      </c>
      <c r="F6147" s="5">
        <v>203.3</v>
      </c>
      <c r="G6147" s="5">
        <v>101.4</v>
      </c>
      <c r="H6147" s="5">
        <v>101.5</v>
      </c>
      <c r="I6147" s="5">
        <v>0</v>
      </c>
      <c r="J6147" s="5">
        <v>0</v>
      </c>
      <c r="K6147" s="5">
        <v>0</v>
      </c>
    </row>
    <row r="6148" spans="1:11" x14ac:dyDescent="0.25">
      <c r="A6148" s="5">
        <f>6141</f>
      </c>
      <c r="B6148" s="5" t="s">
        <v>6156</v>
      </c>
      <c r="C6148" s="5">
        <v>102.4</v>
      </c>
      <c r="D6148" s="5">
        <v>0.1</v>
      </c>
      <c r="E6148" s="5">
        <v>102.5</v>
      </c>
      <c r="F6148" s="5">
        <v>204.6</v>
      </c>
      <c r="G6148" s="5">
        <v>102.1</v>
      </c>
      <c r="H6148" s="5">
        <v>102</v>
      </c>
      <c r="I6148" s="5">
        <v>0</v>
      </c>
      <c r="J6148" s="5">
        <v>0</v>
      </c>
      <c r="K6148" s="5">
        <v>0</v>
      </c>
    </row>
    <row r="6149" spans="1:11" x14ac:dyDescent="0.25">
      <c r="A6149" s="5">
        <f>6142</f>
      </c>
      <c r="B6149" s="5" t="s">
        <v>6157</v>
      </c>
      <c r="C6149" s="5">
        <v>102.4</v>
      </c>
      <c r="D6149" s="5">
        <v>0.1</v>
      </c>
      <c r="E6149" s="5">
        <v>102.5</v>
      </c>
      <c r="F6149" s="5">
        <v>204.6</v>
      </c>
      <c r="G6149" s="5">
        <v>102.1</v>
      </c>
      <c r="H6149" s="5">
        <v>102</v>
      </c>
      <c r="I6149" s="5">
        <v>0</v>
      </c>
      <c r="J6149" s="5">
        <v>0</v>
      </c>
      <c r="K6149" s="5">
        <v>0</v>
      </c>
    </row>
    <row r="6150" spans="1:11" x14ac:dyDescent="0.25">
      <c r="A6150" s="5">
        <f>6143</f>
      </c>
      <c r="B6150" s="5" t="s">
        <v>6158</v>
      </c>
      <c r="C6150" s="5">
        <v>102.2</v>
      </c>
      <c r="D6150" s="5">
        <v>0.1</v>
      </c>
      <c r="E6150" s="5">
        <v>102.4</v>
      </c>
      <c r="F6150" s="5">
        <v>204.2</v>
      </c>
      <c r="G6150" s="5">
        <v>101.8</v>
      </c>
      <c r="H6150" s="5">
        <v>101.7</v>
      </c>
      <c r="I6150" s="5">
        <v>0</v>
      </c>
      <c r="J6150" s="5">
        <v>0</v>
      </c>
      <c r="K6150" s="5">
        <v>0</v>
      </c>
    </row>
    <row r="6151" spans="1:11" x14ac:dyDescent="0.25">
      <c r="A6151" s="5">
        <f>6144</f>
      </c>
      <c r="B6151" s="5" t="s">
        <v>6159</v>
      </c>
      <c r="C6151" s="5">
        <v>103.1</v>
      </c>
      <c r="D6151" s="5">
        <v>0.1</v>
      </c>
      <c r="E6151" s="5">
        <v>103.3</v>
      </c>
      <c r="F6151" s="5">
        <v>205.5</v>
      </c>
      <c r="G6151" s="5">
        <v>102.6</v>
      </c>
      <c r="H6151" s="5">
        <v>102.4</v>
      </c>
      <c r="I6151" s="5">
        <v>0</v>
      </c>
      <c r="J6151" s="5">
        <v>0</v>
      </c>
      <c r="K6151" s="5">
        <v>0</v>
      </c>
    </row>
    <row r="6152" spans="1:11" x14ac:dyDescent="0.25">
      <c r="A6152" s="5">
        <f>6145</f>
      </c>
      <c r="B6152" s="5" t="s">
        <v>6160</v>
      </c>
      <c r="C6152" s="5">
        <v>103.1</v>
      </c>
      <c r="D6152" s="5">
        <v>0.1</v>
      </c>
      <c r="E6152" s="5">
        <v>103.3</v>
      </c>
      <c r="F6152" s="5">
        <v>205.5</v>
      </c>
      <c r="G6152" s="5">
        <v>102.6</v>
      </c>
      <c r="H6152" s="5">
        <v>102.4</v>
      </c>
      <c r="I6152" s="5">
        <v>0</v>
      </c>
      <c r="J6152" s="5">
        <v>0</v>
      </c>
      <c r="K6152" s="5">
        <v>0</v>
      </c>
    </row>
    <row r="6153" spans="1:11" x14ac:dyDescent="0.25">
      <c r="A6153" s="5">
        <f>6146</f>
      </c>
      <c r="B6153" s="5" t="s">
        <v>6161</v>
      </c>
      <c r="C6153" s="5">
        <v>103.1</v>
      </c>
      <c r="D6153" s="5">
        <v>0.1</v>
      </c>
      <c r="E6153" s="5">
        <v>103.3</v>
      </c>
      <c r="F6153" s="5">
        <v>205.5</v>
      </c>
      <c r="G6153" s="5">
        <v>102.6</v>
      </c>
      <c r="H6153" s="5">
        <v>102.4</v>
      </c>
      <c r="I6153" s="5">
        <v>0</v>
      </c>
      <c r="J6153" s="5">
        <v>0</v>
      </c>
      <c r="K6153" s="5">
        <v>0</v>
      </c>
    </row>
    <row r="6154" spans="1:11" x14ac:dyDescent="0.25">
      <c r="A6154" s="5">
        <f>6147</f>
      </c>
      <c r="B6154" s="5" t="s">
        <v>6162</v>
      </c>
      <c r="C6154" s="5">
        <v>102.7</v>
      </c>
      <c r="D6154" s="5">
        <v>0.1</v>
      </c>
      <c r="E6154" s="5">
        <v>102.7</v>
      </c>
      <c r="F6154" s="5">
        <v>204.8</v>
      </c>
      <c r="G6154" s="5">
        <v>102.2</v>
      </c>
      <c r="H6154" s="5">
        <v>102</v>
      </c>
      <c r="I6154" s="5">
        <v>0</v>
      </c>
      <c r="J6154" s="5">
        <v>0</v>
      </c>
      <c r="K6154" s="5">
        <v>0</v>
      </c>
    </row>
    <row r="6155" spans="1:11" x14ac:dyDescent="0.25">
      <c r="A6155" s="5">
        <f>6148</f>
      </c>
      <c r="B6155" s="5" t="s">
        <v>6163</v>
      </c>
      <c r="C6155" s="5">
        <v>102.7</v>
      </c>
      <c r="D6155" s="5">
        <v>0.1</v>
      </c>
      <c r="E6155" s="5">
        <v>102.7</v>
      </c>
      <c r="F6155" s="5">
        <v>204.8</v>
      </c>
      <c r="G6155" s="5">
        <v>102.2</v>
      </c>
      <c r="H6155" s="5">
        <v>102</v>
      </c>
      <c r="I6155" s="5">
        <v>0</v>
      </c>
      <c r="J6155" s="5">
        <v>0</v>
      </c>
      <c r="K6155" s="5">
        <v>0</v>
      </c>
    </row>
    <row r="6156" spans="1:11" x14ac:dyDescent="0.25">
      <c r="A6156" s="5">
        <f>6149</f>
      </c>
      <c r="B6156" s="5" t="s">
        <v>6164</v>
      </c>
      <c r="C6156" s="5">
        <v>102.5</v>
      </c>
      <c r="D6156" s="5">
        <v>0.1</v>
      </c>
      <c r="E6156" s="5">
        <v>102.7</v>
      </c>
      <c r="F6156" s="5">
        <v>205</v>
      </c>
      <c r="G6156" s="5">
        <v>102.2</v>
      </c>
      <c r="H6156" s="5">
        <v>102</v>
      </c>
      <c r="I6156" s="5">
        <v>0</v>
      </c>
      <c r="J6156" s="5">
        <v>0</v>
      </c>
      <c r="K6156" s="5">
        <v>0</v>
      </c>
    </row>
    <row r="6157" spans="1:11" x14ac:dyDescent="0.25">
      <c r="A6157" s="5">
        <f>6150</f>
      </c>
      <c r="B6157" s="5" t="s">
        <v>6165</v>
      </c>
      <c r="C6157" s="5">
        <v>102.5</v>
      </c>
      <c r="D6157" s="5">
        <v>0.1</v>
      </c>
      <c r="E6157" s="5">
        <v>102.7</v>
      </c>
      <c r="F6157" s="5">
        <v>205</v>
      </c>
      <c r="G6157" s="5">
        <v>102.2</v>
      </c>
      <c r="H6157" s="5">
        <v>102</v>
      </c>
      <c r="I6157" s="5">
        <v>0</v>
      </c>
      <c r="J6157" s="5">
        <v>0</v>
      </c>
      <c r="K6157" s="5">
        <v>0</v>
      </c>
    </row>
    <row r="6158" spans="1:11" x14ac:dyDescent="0.25">
      <c r="A6158" s="5">
        <f>6151</f>
      </c>
      <c r="B6158" s="5" t="s">
        <v>6166</v>
      </c>
      <c r="C6158" s="5">
        <v>103.3</v>
      </c>
      <c r="D6158" s="5">
        <v>0.1</v>
      </c>
      <c r="E6158" s="5">
        <v>103.4</v>
      </c>
      <c r="F6158" s="5">
        <v>205</v>
      </c>
      <c r="G6158" s="5">
        <v>102.3</v>
      </c>
      <c r="H6158" s="5">
        <v>102.1</v>
      </c>
      <c r="I6158" s="5">
        <v>0</v>
      </c>
      <c r="J6158" s="5">
        <v>0</v>
      </c>
      <c r="K6158" s="5">
        <v>0</v>
      </c>
    </row>
    <row r="6159" spans="1:11" x14ac:dyDescent="0.25">
      <c r="A6159" s="5">
        <f>6152</f>
      </c>
      <c r="B6159" s="5" t="s">
        <v>6167</v>
      </c>
      <c r="C6159" s="5">
        <v>103.3</v>
      </c>
      <c r="D6159" s="5">
        <v>0.1</v>
      </c>
      <c r="E6159" s="5">
        <v>103.4</v>
      </c>
      <c r="F6159" s="5">
        <v>205</v>
      </c>
      <c r="G6159" s="5">
        <v>102.3</v>
      </c>
      <c r="H6159" s="5">
        <v>102.1</v>
      </c>
      <c r="I6159" s="5">
        <v>0</v>
      </c>
      <c r="J6159" s="5">
        <v>0</v>
      </c>
      <c r="K6159" s="5">
        <v>0</v>
      </c>
    </row>
    <row r="6160" spans="1:11" x14ac:dyDescent="0.25">
      <c r="A6160" s="5">
        <f>6153</f>
      </c>
      <c r="B6160" s="5" t="s">
        <v>6168</v>
      </c>
      <c r="C6160" s="5">
        <v>103.4</v>
      </c>
      <c r="D6160" s="5">
        <v>0.1</v>
      </c>
      <c r="E6160" s="5">
        <v>103.7</v>
      </c>
      <c r="F6160" s="5">
        <v>205.5</v>
      </c>
      <c r="G6160" s="5">
        <v>102.6</v>
      </c>
      <c r="H6160" s="5">
        <v>102.4</v>
      </c>
      <c r="I6160" s="5">
        <v>0</v>
      </c>
      <c r="J6160" s="5">
        <v>0</v>
      </c>
      <c r="K6160" s="5">
        <v>0</v>
      </c>
    </row>
    <row r="6161" spans="1:11" x14ac:dyDescent="0.25">
      <c r="A6161" s="5">
        <f>6154</f>
      </c>
      <c r="B6161" s="5" t="s">
        <v>6169</v>
      </c>
      <c r="C6161" s="5">
        <v>103.4</v>
      </c>
      <c r="D6161" s="5">
        <v>0.1</v>
      </c>
      <c r="E6161" s="5">
        <v>103.7</v>
      </c>
      <c r="F6161" s="5">
        <v>205.5</v>
      </c>
      <c r="G6161" s="5">
        <v>102.6</v>
      </c>
      <c r="H6161" s="5">
        <v>102.4</v>
      </c>
      <c r="I6161" s="5">
        <v>0</v>
      </c>
      <c r="J6161" s="5">
        <v>0</v>
      </c>
      <c r="K6161" s="5">
        <v>0</v>
      </c>
    </row>
    <row r="6162" spans="1:11" x14ac:dyDescent="0.25">
      <c r="A6162" s="5">
        <f>6155</f>
      </c>
      <c r="B6162" s="5" t="s">
        <v>6170</v>
      </c>
      <c r="C6162" s="5">
        <v>103.4</v>
      </c>
      <c r="D6162" s="5">
        <v>0.1</v>
      </c>
      <c r="E6162" s="5">
        <v>103.7</v>
      </c>
      <c r="F6162" s="5">
        <v>205.5</v>
      </c>
      <c r="G6162" s="5">
        <v>102.6</v>
      </c>
      <c r="H6162" s="5">
        <v>102.4</v>
      </c>
      <c r="I6162" s="5">
        <v>0</v>
      </c>
      <c r="J6162" s="5">
        <v>0</v>
      </c>
      <c r="K6162" s="5">
        <v>0</v>
      </c>
    </row>
    <row r="6163" spans="1:11" x14ac:dyDescent="0.25">
      <c r="A6163" s="5">
        <f>6156</f>
      </c>
      <c r="B6163" s="5" t="s">
        <v>6171</v>
      </c>
      <c r="C6163" s="5">
        <v>103.4</v>
      </c>
      <c r="D6163" s="5">
        <v>0.1</v>
      </c>
      <c r="E6163" s="5">
        <v>103.7</v>
      </c>
      <c r="F6163" s="5">
        <v>205.5</v>
      </c>
      <c r="G6163" s="5">
        <v>102.6</v>
      </c>
      <c r="H6163" s="5">
        <v>102.4</v>
      </c>
      <c r="I6163" s="5">
        <v>0</v>
      </c>
      <c r="J6163" s="5">
        <v>0</v>
      </c>
      <c r="K6163" s="5">
        <v>0</v>
      </c>
    </row>
    <row r="6164" spans="1:11" x14ac:dyDescent="0.25">
      <c r="A6164" s="5">
        <f>6157</f>
      </c>
      <c r="B6164" s="5" t="s">
        <v>6172</v>
      </c>
      <c r="C6164" s="5">
        <v>102.3</v>
      </c>
      <c r="D6164" s="5">
        <v>0.1</v>
      </c>
      <c r="E6164" s="5">
        <v>102.4</v>
      </c>
      <c r="F6164" s="5">
        <v>204.2</v>
      </c>
      <c r="G6164" s="5">
        <v>101.9</v>
      </c>
      <c r="H6164" s="5">
        <v>101.7</v>
      </c>
      <c r="I6164" s="5">
        <v>0</v>
      </c>
      <c r="J6164" s="5">
        <v>0</v>
      </c>
      <c r="K6164" s="5">
        <v>0</v>
      </c>
    </row>
    <row r="6165" spans="1:11" x14ac:dyDescent="0.25">
      <c r="A6165" s="5">
        <f>6158</f>
      </c>
      <c r="B6165" s="5" t="s">
        <v>6173</v>
      </c>
      <c r="C6165" s="5">
        <v>102.3</v>
      </c>
      <c r="D6165" s="5">
        <v>0.1</v>
      </c>
      <c r="E6165" s="5">
        <v>102.4</v>
      </c>
      <c r="F6165" s="5">
        <v>204.2</v>
      </c>
      <c r="G6165" s="5">
        <v>101.9</v>
      </c>
      <c r="H6165" s="5">
        <v>101.7</v>
      </c>
      <c r="I6165" s="5">
        <v>0</v>
      </c>
      <c r="J6165" s="5">
        <v>0</v>
      </c>
      <c r="K6165" s="5">
        <v>0</v>
      </c>
    </row>
    <row r="6166" spans="1:11" x14ac:dyDescent="0.25">
      <c r="A6166" s="5">
        <f>6159</f>
      </c>
      <c r="B6166" s="5" t="s">
        <v>6174</v>
      </c>
      <c r="C6166" s="5">
        <v>102.7</v>
      </c>
      <c r="D6166" s="5">
        <v>0.1</v>
      </c>
      <c r="E6166" s="5">
        <v>102.9</v>
      </c>
      <c r="F6166" s="5">
        <v>204.6</v>
      </c>
      <c r="G6166" s="5">
        <v>102.1</v>
      </c>
      <c r="H6166" s="5">
        <v>102</v>
      </c>
      <c r="I6166" s="5">
        <v>0</v>
      </c>
      <c r="J6166" s="5">
        <v>0</v>
      </c>
      <c r="K6166" s="5">
        <v>0</v>
      </c>
    </row>
    <row r="6167" spans="1:11" x14ac:dyDescent="0.25">
      <c r="A6167" s="5">
        <f>6160</f>
      </c>
      <c r="B6167" s="5" t="s">
        <v>6175</v>
      </c>
      <c r="C6167" s="5">
        <v>102.7</v>
      </c>
      <c r="D6167" s="5">
        <v>0.1</v>
      </c>
      <c r="E6167" s="5">
        <v>102.9</v>
      </c>
      <c r="F6167" s="5">
        <v>204.6</v>
      </c>
      <c r="G6167" s="5">
        <v>102.1</v>
      </c>
      <c r="H6167" s="5">
        <v>102</v>
      </c>
      <c r="I6167" s="5">
        <v>0</v>
      </c>
      <c r="J6167" s="5">
        <v>0</v>
      </c>
      <c r="K6167" s="5">
        <v>0</v>
      </c>
    </row>
    <row r="6168" spans="1:11" x14ac:dyDescent="0.25">
      <c r="A6168" s="5">
        <f>6161</f>
      </c>
      <c r="B6168" s="5" t="s">
        <v>6176</v>
      </c>
      <c r="C6168" s="5">
        <v>102.5</v>
      </c>
      <c r="D6168" s="5">
        <v>0.1</v>
      </c>
      <c r="E6168" s="5">
        <v>102.7</v>
      </c>
      <c r="F6168" s="5">
        <v>204.8</v>
      </c>
      <c r="G6168" s="5">
        <v>102.2</v>
      </c>
      <c r="H6168" s="5">
        <v>102.1</v>
      </c>
      <c r="I6168" s="5">
        <v>0</v>
      </c>
      <c r="J6168" s="5">
        <v>0</v>
      </c>
      <c r="K6168" s="5">
        <v>0</v>
      </c>
    </row>
    <row r="6169" spans="1:11" x14ac:dyDescent="0.25">
      <c r="A6169" s="5">
        <f>6162</f>
      </c>
      <c r="B6169" s="5" t="s">
        <v>6177</v>
      </c>
      <c r="C6169" s="5">
        <v>102.5</v>
      </c>
      <c r="D6169" s="5">
        <v>0.1</v>
      </c>
      <c r="E6169" s="5">
        <v>102.7</v>
      </c>
      <c r="F6169" s="5">
        <v>204.8</v>
      </c>
      <c r="G6169" s="5">
        <v>102.2</v>
      </c>
      <c r="H6169" s="5">
        <v>102.1</v>
      </c>
      <c r="I6169" s="5">
        <v>0</v>
      </c>
      <c r="J6169" s="5">
        <v>0</v>
      </c>
      <c r="K6169" s="5">
        <v>0</v>
      </c>
    </row>
    <row r="6170" spans="1:11" x14ac:dyDescent="0.25">
      <c r="A6170" s="5">
        <f>6163</f>
      </c>
      <c r="B6170" s="5" t="s">
        <v>6178</v>
      </c>
      <c r="C6170" s="5">
        <v>102</v>
      </c>
      <c r="D6170" s="5">
        <v>0.1</v>
      </c>
      <c r="E6170" s="5">
        <v>102.1</v>
      </c>
      <c r="F6170" s="5">
        <v>204.4</v>
      </c>
      <c r="G6170" s="5">
        <v>101.9</v>
      </c>
      <c r="H6170" s="5">
        <v>101.7</v>
      </c>
      <c r="I6170" s="5">
        <v>0</v>
      </c>
      <c r="J6170" s="5">
        <v>0</v>
      </c>
      <c r="K6170" s="5">
        <v>0</v>
      </c>
    </row>
    <row r="6171" spans="1:11" x14ac:dyDescent="0.25">
      <c r="A6171" s="5">
        <f>6164</f>
      </c>
      <c r="B6171" s="5" t="s">
        <v>6179</v>
      </c>
      <c r="C6171" s="5">
        <v>102</v>
      </c>
      <c r="D6171" s="5">
        <v>0.1</v>
      </c>
      <c r="E6171" s="5">
        <v>102.1</v>
      </c>
      <c r="F6171" s="5">
        <v>204.4</v>
      </c>
      <c r="G6171" s="5">
        <v>101.9</v>
      </c>
      <c r="H6171" s="5">
        <v>101.7</v>
      </c>
      <c r="I6171" s="5">
        <v>0</v>
      </c>
      <c r="J6171" s="5">
        <v>0</v>
      </c>
      <c r="K6171" s="5">
        <v>0</v>
      </c>
    </row>
    <row r="6172" spans="1:11" x14ac:dyDescent="0.25">
      <c r="A6172" s="5">
        <f>6165</f>
      </c>
      <c r="B6172" s="5" t="s">
        <v>6180</v>
      </c>
      <c r="C6172" s="5">
        <v>102</v>
      </c>
      <c r="D6172" s="5">
        <v>0.1</v>
      </c>
      <c r="E6172" s="5">
        <v>102.1</v>
      </c>
      <c r="F6172" s="5">
        <v>204.4</v>
      </c>
      <c r="G6172" s="5">
        <v>101.9</v>
      </c>
      <c r="H6172" s="5">
        <v>101.7</v>
      </c>
      <c r="I6172" s="5">
        <v>0</v>
      </c>
      <c r="J6172" s="5">
        <v>0</v>
      </c>
      <c r="K6172" s="5">
        <v>0</v>
      </c>
    </row>
    <row r="6173" spans="1:11" x14ac:dyDescent="0.25">
      <c r="A6173" s="5">
        <f>6166</f>
      </c>
      <c r="B6173" s="5" t="s">
        <v>6181</v>
      </c>
      <c r="C6173" s="5">
        <v>102</v>
      </c>
      <c r="D6173" s="5">
        <v>0.1</v>
      </c>
      <c r="E6173" s="5">
        <v>102.1</v>
      </c>
      <c r="F6173" s="5">
        <v>204.4</v>
      </c>
      <c r="G6173" s="5">
        <v>101.9</v>
      </c>
      <c r="H6173" s="5">
        <v>101.7</v>
      </c>
      <c r="I6173" s="5">
        <v>0</v>
      </c>
      <c r="J6173" s="5">
        <v>0</v>
      </c>
      <c r="K6173" s="5">
        <v>0</v>
      </c>
    </row>
    <row r="6174" spans="1:11" x14ac:dyDescent="0.25">
      <c r="A6174" s="5">
        <f>6167</f>
      </c>
      <c r="B6174" s="5" t="s">
        <v>6182</v>
      </c>
      <c r="C6174" s="5">
        <v>102.9</v>
      </c>
      <c r="D6174" s="5">
        <v>0.1</v>
      </c>
      <c r="E6174" s="5">
        <v>103.1</v>
      </c>
      <c r="F6174" s="5">
        <v>205.3</v>
      </c>
      <c r="G6174" s="5">
        <v>102.4</v>
      </c>
      <c r="H6174" s="5">
        <v>102.3</v>
      </c>
      <c r="I6174" s="5">
        <v>0</v>
      </c>
      <c r="J6174" s="5">
        <v>0</v>
      </c>
      <c r="K6174" s="5">
        <v>0</v>
      </c>
    </row>
    <row r="6175" spans="1:11" x14ac:dyDescent="0.25">
      <c r="A6175" s="5">
        <f>6168</f>
      </c>
      <c r="B6175" s="5" t="s">
        <v>6183</v>
      </c>
      <c r="C6175" s="5">
        <v>102.9</v>
      </c>
      <c r="D6175" s="5">
        <v>0.1</v>
      </c>
      <c r="E6175" s="5">
        <v>103.1</v>
      </c>
      <c r="F6175" s="5">
        <v>205.3</v>
      </c>
      <c r="G6175" s="5">
        <v>102.4</v>
      </c>
      <c r="H6175" s="5">
        <v>102.3</v>
      </c>
      <c r="I6175" s="5">
        <v>0</v>
      </c>
      <c r="J6175" s="5">
        <v>0</v>
      </c>
      <c r="K6175" s="5">
        <v>0</v>
      </c>
    </row>
    <row r="6176" spans="1:11" x14ac:dyDescent="0.25">
      <c r="A6176" s="5">
        <f>6169</f>
      </c>
      <c r="B6176" s="5" t="s">
        <v>6184</v>
      </c>
      <c r="C6176" s="5">
        <v>103.1</v>
      </c>
      <c r="D6176" s="5">
        <v>0.1</v>
      </c>
      <c r="E6176" s="5">
        <v>103.2</v>
      </c>
      <c r="F6176" s="5">
        <v>205.6</v>
      </c>
      <c r="G6176" s="5">
        <v>102.6</v>
      </c>
      <c r="H6176" s="5">
        <v>102.4</v>
      </c>
      <c r="I6176" s="5">
        <v>0</v>
      </c>
      <c r="J6176" s="5">
        <v>0</v>
      </c>
      <c r="K6176" s="5">
        <v>0</v>
      </c>
    </row>
    <row r="6177" spans="1:11" x14ac:dyDescent="0.25">
      <c r="A6177" s="5">
        <f>6170</f>
      </c>
      <c r="B6177" s="5" t="s">
        <v>6185</v>
      </c>
      <c r="C6177" s="5">
        <v>103.1</v>
      </c>
      <c r="D6177" s="5">
        <v>0.1</v>
      </c>
      <c r="E6177" s="5">
        <v>103.2</v>
      </c>
      <c r="F6177" s="5">
        <v>205.6</v>
      </c>
      <c r="G6177" s="5">
        <v>102.6</v>
      </c>
      <c r="H6177" s="5">
        <v>102.4</v>
      </c>
      <c r="I6177" s="5">
        <v>0</v>
      </c>
      <c r="J6177" s="5">
        <v>0</v>
      </c>
      <c r="K6177" s="5">
        <v>0</v>
      </c>
    </row>
    <row r="6178" spans="1:11" x14ac:dyDescent="0.25">
      <c r="A6178" s="5">
        <f>6171</f>
      </c>
      <c r="B6178" s="5" t="s">
        <v>6186</v>
      </c>
      <c r="C6178" s="5">
        <v>105.1</v>
      </c>
      <c r="D6178" s="5">
        <v>0.1</v>
      </c>
      <c r="E6178" s="5">
        <v>105.3</v>
      </c>
      <c r="F6178" s="5">
        <v>210.4</v>
      </c>
      <c r="G6178" s="5">
        <v>105</v>
      </c>
      <c r="H6178" s="5">
        <v>104.8</v>
      </c>
      <c r="I6178" s="5">
        <v>0</v>
      </c>
      <c r="J6178" s="5">
        <v>0</v>
      </c>
      <c r="K6178" s="5">
        <v>0</v>
      </c>
    </row>
    <row r="6179" spans="1:11" x14ac:dyDescent="0.25">
      <c r="A6179" s="5">
        <f>6172</f>
      </c>
      <c r="B6179" s="5" t="s">
        <v>6187</v>
      </c>
      <c r="C6179" s="5">
        <v>105.1</v>
      </c>
      <c r="D6179" s="5">
        <v>0.1</v>
      </c>
      <c r="E6179" s="5">
        <v>105.3</v>
      </c>
      <c r="F6179" s="5">
        <v>210.4</v>
      </c>
      <c r="G6179" s="5">
        <v>105</v>
      </c>
      <c r="H6179" s="5">
        <v>104.8</v>
      </c>
      <c r="I6179" s="5">
        <v>0</v>
      </c>
      <c r="J6179" s="5">
        <v>0</v>
      </c>
      <c r="K6179" s="5">
        <v>0</v>
      </c>
    </row>
    <row r="6180" spans="1:11" x14ac:dyDescent="0.25">
      <c r="A6180" s="5">
        <f>6173</f>
      </c>
      <c r="B6180" s="5" t="s">
        <v>6188</v>
      </c>
      <c r="C6180" s="5">
        <v>104.6</v>
      </c>
      <c r="D6180" s="5">
        <v>0.1</v>
      </c>
      <c r="E6180" s="5">
        <v>104.7</v>
      </c>
      <c r="F6180" s="5">
        <v>210.1</v>
      </c>
      <c r="G6180" s="5">
        <v>104.8</v>
      </c>
      <c r="H6180" s="5">
        <v>104.7</v>
      </c>
      <c r="I6180" s="5">
        <v>0</v>
      </c>
      <c r="J6180" s="5">
        <v>0</v>
      </c>
      <c r="K6180" s="5">
        <v>0</v>
      </c>
    </row>
    <row r="6181" spans="1:11" x14ac:dyDescent="0.25">
      <c r="A6181" s="5">
        <f>6174</f>
      </c>
      <c r="B6181" s="5" t="s">
        <v>6189</v>
      </c>
      <c r="C6181" s="5">
        <v>104.6</v>
      </c>
      <c r="D6181" s="5">
        <v>0.1</v>
      </c>
      <c r="E6181" s="5">
        <v>104.7</v>
      </c>
      <c r="F6181" s="5">
        <v>210.1</v>
      </c>
      <c r="G6181" s="5">
        <v>104.8</v>
      </c>
      <c r="H6181" s="5">
        <v>104.7</v>
      </c>
      <c r="I6181" s="5">
        <v>0</v>
      </c>
      <c r="J6181" s="5">
        <v>0</v>
      </c>
      <c r="K6181" s="5">
        <v>0</v>
      </c>
    </row>
    <row r="6182" spans="1:11" x14ac:dyDescent="0.25">
      <c r="A6182" s="5">
        <f>6175</f>
      </c>
      <c r="B6182" s="5" t="s">
        <v>6190</v>
      </c>
      <c r="C6182" s="5">
        <v>104.6</v>
      </c>
      <c r="D6182" s="5">
        <v>0.1</v>
      </c>
      <c r="E6182" s="5">
        <v>104.7</v>
      </c>
      <c r="F6182" s="5">
        <v>210.1</v>
      </c>
      <c r="G6182" s="5">
        <v>104.8</v>
      </c>
      <c r="H6182" s="5">
        <v>104.7</v>
      </c>
      <c r="I6182" s="5">
        <v>0</v>
      </c>
      <c r="J6182" s="5">
        <v>0</v>
      </c>
      <c r="K6182" s="5">
        <v>0</v>
      </c>
    </row>
    <row r="6183" spans="1:11" x14ac:dyDescent="0.25">
      <c r="A6183" s="5">
        <f>6176</f>
      </c>
      <c r="B6183" s="5" t="s">
        <v>6191</v>
      </c>
      <c r="C6183" s="5">
        <v>104.6</v>
      </c>
      <c r="D6183" s="5">
        <v>0.1</v>
      </c>
      <c r="E6183" s="5">
        <v>104.7</v>
      </c>
      <c r="F6183" s="5">
        <v>210.1</v>
      </c>
      <c r="G6183" s="5">
        <v>104.8</v>
      </c>
      <c r="H6183" s="5">
        <v>104.7</v>
      </c>
      <c r="I6183" s="5">
        <v>0</v>
      </c>
      <c r="J6183" s="5">
        <v>0</v>
      </c>
      <c r="K6183" s="5">
        <v>0</v>
      </c>
    </row>
    <row r="6184" spans="1:11" x14ac:dyDescent="0.25">
      <c r="A6184" s="5">
        <f>6177</f>
      </c>
      <c r="B6184" s="5" t="s">
        <v>6192</v>
      </c>
      <c r="C6184" s="5">
        <v>104.2</v>
      </c>
      <c r="D6184" s="5">
        <v>0.1</v>
      </c>
      <c r="E6184" s="5">
        <v>104.3</v>
      </c>
      <c r="F6184" s="5">
        <v>208.7</v>
      </c>
      <c r="G6184" s="5">
        <v>104.1</v>
      </c>
      <c r="H6184" s="5">
        <v>104</v>
      </c>
      <c r="I6184" s="5">
        <v>0</v>
      </c>
      <c r="J6184" s="5">
        <v>0</v>
      </c>
      <c r="K6184" s="5">
        <v>0</v>
      </c>
    </row>
    <row r="6185" spans="1:11" x14ac:dyDescent="0.25">
      <c r="A6185" s="5">
        <f>6178</f>
      </c>
      <c r="B6185" s="5" t="s">
        <v>6193</v>
      </c>
      <c r="C6185" s="5">
        <v>104.2</v>
      </c>
      <c r="D6185" s="5">
        <v>0.1</v>
      </c>
      <c r="E6185" s="5">
        <v>104.3</v>
      </c>
      <c r="F6185" s="5">
        <v>208.7</v>
      </c>
      <c r="G6185" s="5">
        <v>104.1</v>
      </c>
      <c r="H6185" s="5">
        <v>104</v>
      </c>
      <c r="I6185" s="5">
        <v>0</v>
      </c>
      <c r="J6185" s="5">
        <v>0</v>
      </c>
      <c r="K6185" s="5">
        <v>0</v>
      </c>
    </row>
    <row r="6186" spans="1:11" x14ac:dyDescent="0.25">
      <c r="A6186" s="5">
        <f>6179</f>
      </c>
      <c r="B6186" s="5" t="s">
        <v>6194</v>
      </c>
      <c r="C6186" s="5">
        <v>105</v>
      </c>
      <c r="D6186" s="5">
        <v>0.1</v>
      </c>
      <c r="E6186" s="5">
        <v>105.1</v>
      </c>
      <c r="F6186" s="5">
        <v>209.7</v>
      </c>
      <c r="G6186" s="5">
        <v>104.6</v>
      </c>
      <c r="H6186" s="5">
        <v>104.4</v>
      </c>
      <c r="I6186" s="5">
        <v>0</v>
      </c>
      <c r="J6186" s="5">
        <v>0</v>
      </c>
      <c r="K6186" s="5">
        <v>0</v>
      </c>
    </row>
    <row r="6187" spans="1:11" x14ac:dyDescent="0.25">
      <c r="A6187" s="5">
        <f>6180</f>
      </c>
      <c r="B6187" s="5" t="s">
        <v>6195</v>
      </c>
      <c r="C6187" s="5">
        <v>105</v>
      </c>
      <c r="D6187" s="5">
        <v>0.1</v>
      </c>
      <c r="E6187" s="5">
        <v>105.1</v>
      </c>
      <c r="F6187" s="5">
        <v>209.7</v>
      </c>
      <c r="G6187" s="5">
        <v>104.6</v>
      </c>
      <c r="H6187" s="5">
        <v>104.4</v>
      </c>
      <c r="I6187" s="5">
        <v>0</v>
      </c>
      <c r="J6187" s="5">
        <v>0</v>
      </c>
      <c r="K6187" s="5">
        <v>0</v>
      </c>
    </row>
    <row r="6188" spans="1:11" x14ac:dyDescent="0.25">
      <c r="A6188" s="5">
        <f>6181</f>
      </c>
      <c r="B6188" s="5" t="s">
        <v>6196</v>
      </c>
      <c r="C6188" s="5">
        <v>105.5</v>
      </c>
      <c r="D6188" s="5">
        <v>0.1</v>
      </c>
      <c r="E6188" s="5">
        <v>105.6</v>
      </c>
      <c r="F6188" s="5">
        <v>210.8</v>
      </c>
      <c r="G6188" s="5">
        <v>105.2</v>
      </c>
      <c r="H6188" s="5">
        <v>105.1</v>
      </c>
      <c r="I6188" s="5">
        <v>0</v>
      </c>
      <c r="J6188" s="5">
        <v>0</v>
      </c>
      <c r="K6188" s="5">
        <v>0</v>
      </c>
    </row>
    <row r="6189" spans="1:11" x14ac:dyDescent="0.25">
      <c r="A6189" s="5">
        <f>6182</f>
      </c>
      <c r="B6189" s="5" t="s">
        <v>6197</v>
      </c>
      <c r="C6189" s="5">
        <v>105.5</v>
      </c>
      <c r="D6189" s="5">
        <v>0.1</v>
      </c>
      <c r="E6189" s="5">
        <v>105.6</v>
      </c>
      <c r="F6189" s="5">
        <v>210.8</v>
      </c>
      <c r="G6189" s="5">
        <v>105.2</v>
      </c>
      <c r="H6189" s="5">
        <v>105.1</v>
      </c>
      <c r="I6189" s="5">
        <v>0</v>
      </c>
      <c r="J6189" s="5">
        <v>0</v>
      </c>
      <c r="K6189" s="5">
        <v>0</v>
      </c>
    </row>
    <row r="6190" spans="1:11" x14ac:dyDescent="0.25">
      <c r="A6190" s="5">
        <f>6183</f>
      </c>
      <c r="B6190" s="5" t="s">
        <v>6198</v>
      </c>
      <c r="C6190" s="5">
        <v>105.1</v>
      </c>
      <c r="D6190" s="5">
        <v>0.1</v>
      </c>
      <c r="E6190" s="5">
        <v>105.2</v>
      </c>
      <c r="F6190" s="5">
        <v>209.2</v>
      </c>
      <c r="G6190" s="5">
        <v>104.4</v>
      </c>
      <c r="H6190" s="5">
        <v>104.2</v>
      </c>
      <c r="I6190" s="5">
        <v>0</v>
      </c>
      <c r="J6190" s="5">
        <v>0</v>
      </c>
      <c r="K6190" s="5">
        <v>0</v>
      </c>
    </row>
    <row r="6191" spans="1:11" x14ac:dyDescent="0.25">
      <c r="A6191" s="5">
        <f>6184</f>
      </c>
      <c r="B6191" s="5" t="s">
        <v>6199</v>
      </c>
      <c r="C6191" s="5">
        <v>105.1</v>
      </c>
      <c r="D6191" s="5">
        <v>0.1</v>
      </c>
      <c r="E6191" s="5">
        <v>105.2</v>
      </c>
      <c r="F6191" s="5">
        <v>209.2</v>
      </c>
      <c r="G6191" s="5">
        <v>104.4</v>
      </c>
      <c r="H6191" s="5">
        <v>104.2</v>
      </c>
      <c r="I6191" s="5">
        <v>0</v>
      </c>
      <c r="J6191" s="5">
        <v>0</v>
      </c>
      <c r="K6191" s="5">
        <v>0</v>
      </c>
    </row>
    <row r="6192" spans="1:11" x14ac:dyDescent="0.25">
      <c r="A6192" s="5">
        <f>6185</f>
      </c>
      <c r="B6192" s="5" t="s">
        <v>6200</v>
      </c>
      <c r="C6192" s="5">
        <v>105.1</v>
      </c>
      <c r="D6192" s="5">
        <v>0.1</v>
      </c>
      <c r="E6192" s="5">
        <v>105.2</v>
      </c>
      <c r="F6192" s="5">
        <v>209.2</v>
      </c>
      <c r="G6192" s="5">
        <v>104.4</v>
      </c>
      <c r="H6192" s="5">
        <v>104.2</v>
      </c>
      <c r="I6192" s="5">
        <v>0</v>
      </c>
      <c r="J6192" s="5">
        <v>0</v>
      </c>
      <c r="K6192" s="5">
        <v>0</v>
      </c>
    </row>
    <row r="6193" spans="1:11" x14ac:dyDescent="0.25">
      <c r="A6193" s="5">
        <f>6186</f>
      </c>
      <c r="B6193" s="5" t="s">
        <v>6201</v>
      </c>
      <c r="C6193" s="5">
        <v>105.1</v>
      </c>
      <c r="D6193" s="5">
        <v>0.1</v>
      </c>
      <c r="E6193" s="5">
        <v>105.2</v>
      </c>
      <c r="F6193" s="5">
        <v>209.2</v>
      </c>
      <c r="G6193" s="5">
        <v>104.4</v>
      </c>
      <c r="H6193" s="5">
        <v>104.2</v>
      </c>
      <c r="I6193" s="5">
        <v>0</v>
      </c>
      <c r="J6193" s="5">
        <v>0</v>
      </c>
      <c r="K6193" s="5">
        <v>0</v>
      </c>
    </row>
    <row r="6194" spans="1:11" x14ac:dyDescent="0.25">
      <c r="A6194" s="5">
        <f>6187</f>
      </c>
      <c r="B6194" s="5" t="s">
        <v>6202</v>
      </c>
      <c r="C6194" s="5">
        <v>104.3</v>
      </c>
      <c r="D6194" s="5">
        <v>0.1</v>
      </c>
      <c r="E6194" s="5">
        <v>104.5</v>
      </c>
      <c r="F6194" s="5">
        <v>209.5</v>
      </c>
      <c r="G6194" s="5">
        <v>104.5</v>
      </c>
      <c r="H6194" s="5">
        <v>104.4</v>
      </c>
      <c r="I6194" s="5">
        <v>0</v>
      </c>
      <c r="J6194" s="5">
        <v>0</v>
      </c>
      <c r="K6194" s="5">
        <v>0</v>
      </c>
    </row>
    <row r="6195" spans="1:11" x14ac:dyDescent="0.25">
      <c r="A6195" s="5">
        <f>6188</f>
      </c>
      <c r="B6195" s="5" t="s">
        <v>6203</v>
      </c>
      <c r="C6195" s="5">
        <v>104.3</v>
      </c>
      <c r="D6195" s="5">
        <v>0.1</v>
      </c>
      <c r="E6195" s="5">
        <v>104.5</v>
      </c>
      <c r="F6195" s="5">
        <v>209.5</v>
      </c>
      <c r="G6195" s="5">
        <v>104.5</v>
      </c>
      <c r="H6195" s="5">
        <v>104.4</v>
      </c>
      <c r="I6195" s="5">
        <v>0</v>
      </c>
      <c r="J6195" s="5">
        <v>0</v>
      </c>
      <c r="K6195" s="5">
        <v>0</v>
      </c>
    </row>
    <row r="6196" spans="1:11" x14ac:dyDescent="0.25">
      <c r="A6196" s="5">
        <f>6189</f>
      </c>
      <c r="B6196" s="5" t="s">
        <v>6204</v>
      </c>
      <c r="C6196" s="5">
        <v>105.2</v>
      </c>
      <c r="D6196" s="5">
        <v>0.1</v>
      </c>
      <c r="E6196" s="5">
        <v>105.3</v>
      </c>
      <c r="F6196" s="5">
        <v>209.1</v>
      </c>
      <c r="G6196" s="5">
        <v>104.3</v>
      </c>
      <c r="H6196" s="5">
        <v>104.2</v>
      </c>
      <c r="I6196" s="5">
        <v>0</v>
      </c>
      <c r="J6196" s="5">
        <v>0</v>
      </c>
      <c r="K6196" s="5">
        <v>0</v>
      </c>
    </row>
    <row r="6197" spans="1:11" x14ac:dyDescent="0.25">
      <c r="A6197" s="5">
        <f>6190</f>
      </c>
      <c r="B6197" s="5" t="s">
        <v>6205</v>
      </c>
      <c r="C6197" s="5">
        <v>105.2</v>
      </c>
      <c r="D6197" s="5">
        <v>0.1</v>
      </c>
      <c r="E6197" s="5">
        <v>105.3</v>
      </c>
      <c r="F6197" s="5">
        <v>209.1</v>
      </c>
      <c r="G6197" s="5">
        <v>104.3</v>
      </c>
      <c r="H6197" s="5">
        <v>104.2</v>
      </c>
      <c r="I6197" s="5">
        <v>0</v>
      </c>
      <c r="J6197" s="5">
        <v>0</v>
      </c>
      <c r="K6197" s="5">
        <v>0</v>
      </c>
    </row>
    <row r="6198" spans="1:11" x14ac:dyDescent="0.25">
      <c r="A6198" s="5">
        <f>6191</f>
      </c>
      <c r="B6198" s="5" t="s">
        <v>6206</v>
      </c>
      <c r="C6198" s="5">
        <v>104.5</v>
      </c>
      <c r="D6198" s="5">
        <v>0.1</v>
      </c>
      <c r="E6198" s="5">
        <v>104.6</v>
      </c>
      <c r="F6198" s="5">
        <v>209.5</v>
      </c>
      <c r="G6198" s="5">
        <v>104.5</v>
      </c>
      <c r="H6198" s="5">
        <v>104.3</v>
      </c>
      <c r="I6198" s="5">
        <v>0</v>
      </c>
      <c r="J6198" s="5">
        <v>0</v>
      </c>
      <c r="K6198" s="5">
        <v>0</v>
      </c>
    </row>
    <row r="6199" spans="1:11" x14ac:dyDescent="0.25">
      <c r="A6199" s="5">
        <f>6192</f>
      </c>
      <c r="B6199" s="5" t="s">
        <v>6207</v>
      </c>
      <c r="C6199" s="5">
        <v>104.5</v>
      </c>
      <c r="D6199" s="5">
        <v>0.1</v>
      </c>
      <c r="E6199" s="5">
        <v>104.6</v>
      </c>
      <c r="F6199" s="5">
        <v>209.5</v>
      </c>
      <c r="G6199" s="5">
        <v>104.5</v>
      </c>
      <c r="H6199" s="5">
        <v>104.3</v>
      </c>
      <c r="I6199" s="5">
        <v>0</v>
      </c>
      <c r="J6199" s="5">
        <v>0</v>
      </c>
      <c r="K6199" s="5">
        <v>0</v>
      </c>
    </row>
    <row r="6200" spans="1:11" x14ac:dyDescent="0.25">
      <c r="A6200" s="5">
        <f>6193</f>
      </c>
      <c r="B6200" s="5" t="s">
        <v>6208</v>
      </c>
      <c r="C6200" s="5">
        <v>104.5</v>
      </c>
      <c r="D6200" s="5">
        <v>0.1</v>
      </c>
      <c r="E6200" s="5">
        <v>104.6</v>
      </c>
      <c r="F6200" s="5">
        <v>209.5</v>
      </c>
      <c r="G6200" s="5">
        <v>104.5</v>
      </c>
      <c r="H6200" s="5">
        <v>104.3</v>
      </c>
      <c r="I6200" s="5">
        <v>0</v>
      </c>
      <c r="J6200" s="5">
        <v>0</v>
      </c>
      <c r="K6200" s="5">
        <v>0</v>
      </c>
    </row>
    <row r="6201" spans="1:11" x14ac:dyDescent="0.25">
      <c r="A6201" s="5">
        <f>6194</f>
      </c>
      <c r="B6201" s="5" t="s">
        <v>6209</v>
      </c>
      <c r="C6201" s="5">
        <v>104.5</v>
      </c>
      <c r="D6201" s="5">
        <v>0.1</v>
      </c>
      <c r="E6201" s="5">
        <v>104.6</v>
      </c>
      <c r="F6201" s="5">
        <v>209.5</v>
      </c>
      <c r="G6201" s="5">
        <v>104.5</v>
      </c>
      <c r="H6201" s="5">
        <v>104.3</v>
      </c>
      <c r="I6201" s="5">
        <v>0</v>
      </c>
      <c r="J6201" s="5">
        <v>0</v>
      </c>
      <c r="K6201" s="5">
        <v>0</v>
      </c>
    </row>
    <row r="6202" spans="1:11" x14ac:dyDescent="0.25">
      <c r="A6202" s="5">
        <f>6195</f>
      </c>
      <c r="B6202" s="5" t="s">
        <v>6210</v>
      </c>
      <c r="C6202" s="5">
        <v>105</v>
      </c>
      <c r="D6202" s="5">
        <v>0.1</v>
      </c>
      <c r="E6202" s="5">
        <v>105.2</v>
      </c>
      <c r="F6202" s="5">
        <v>210</v>
      </c>
      <c r="G6202" s="5">
        <v>104.8</v>
      </c>
      <c r="H6202" s="5">
        <v>104.6</v>
      </c>
      <c r="I6202" s="5">
        <v>0</v>
      </c>
      <c r="J6202" s="5">
        <v>0</v>
      </c>
      <c r="K6202" s="5">
        <v>0</v>
      </c>
    </row>
    <row r="6203" spans="1:11" x14ac:dyDescent="0.25">
      <c r="A6203" s="5">
        <f>6196</f>
      </c>
      <c r="B6203" s="5" t="s">
        <v>6211</v>
      </c>
      <c r="C6203" s="5">
        <v>105</v>
      </c>
      <c r="D6203" s="5">
        <v>0.1</v>
      </c>
      <c r="E6203" s="5">
        <v>105.2</v>
      </c>
      <c r="F6203" s="5">
        <v>210</v>
      </c>
      <c r="G6203" s="5">
        <v>104.8</v>
      </c>
      <c r="H6203" s="5">
        <v>104.6</v>
      </c>
      <c r="I6203" s="5">
        <v>0</v>
      </c>
      <c r="J6203" s="5">
        <v>0</v>
      </c>
      <c r="K6203" s="5">
        <v>0</v>
      </c>
    </row>
    <row r="6204" spans="1:11" x14ac:dyDescent="0.25">
      <c r="A6204" s="5">
        <f>6197</f>
      </c>
      <c r="B6204" s="5" t="s">
        <v>6212</v>
      </c>
      <c r="C6204" s="5">
        <v>105.4</v>
      </c>
      <c r="D6204" s="5">
        <v>0.1</v>
      </c>
      <c r="E6204" s="5">
        <v>105.6</v>
      </c>
      <c r="F6204" s="5">
        <v>210.3</v>
      </c>
      <c r="G6204" s="5">
        <v>104.9</v>
      </c>
      <c r="H6204" s="5">
        <v>104.8</v>
      </c>
      <c r="I6204" s="5">
        <v>0</v>
      </c>
      <c r="J6204" s="5">
        <v>0</v>
      </c>
      <c r="K6204" s="5">
        <v>0</v>
      </c>
    </row>
    <row r="6205" spans="1:11" x14ac:dyDescent="0.25">
      <c r="A6205" s="5">
        <f>6198</f>
      </c>
      <c r="B6205" s="5" t="s">
        <v>6213</v>
      </c>
      <c r="C6205" s="5">
        <v>105.4</v>
      </c>
      <c r="D6205" s="5">
        <v>0.1</v>
      </c>
      <c r="E6205" s="5">
        <v>105.6</v>
      </c>
      <c r="F6205" s="5">
        <v>210.3</v>
      </c>
      <c r="G6205" s="5">
        <v>104.9</v>
      </c>
      <c r="H6205" s="5">
        <v>104.8</v>
      </c>
      <c r="I6205" s="5">
        <v>0</v>
      </c>
      <c r="J6205" s="5">
        <v>0</v>
      </c>
      <c r="K6205" s="5">
        <v>0</v>
      </c>
    </row>
    <row r="6206" spans="1:11" x14ac:dyDescent="0.25">
      <c r="A6206" s="5">
        <f>6199</f>
      </c>
      <c r="B6206" s="5" t="s">
        <v>6214</v>
      </c>
      <c r="C6206" s="5">
        <v>104.3</v>
      </c>
      <c r="D6206" s="5">
        <v>0.1</v>
      </c>
      <c r="E6206" s="5">
        <v>104.5</v>
      </c>
      <c r="F6206" s="5">
        <v>208.4</v>
      </c>
      <c r="G6206" s="5">
        <v>104</v>
      </c>
      <c r="H6206" s="5">
        <v>103.8</v>
      </c>
      <c r="I6206" s="5">
        <v>0</v>
      </c>
      <c r="J6206" s="5">
        <v>0</v>
      </c>
      <c r="K6206" s="5">
        <v>0</v>
      </c>
    </row>
    <row r="6207" spans="1:11" x14ac:dyDescent="0.25">
      <c r="A6207" s="5">
        <f>6200</f>
      </c>
      <c r="B6207" s="5" t="s">
        <v>6215</v>
      </c>
      <c r="C6207" s="5">
        <v>104.3</v>
      </c>
      <c r="D6207" s="5">
        <v>0.1</v>
      </c>
      <c r="E6207" s="5">
        <v>104.5</v>
      </c>
      <c r="F6207" s="5">
        <v>208.4</v>
      </c>
      <c r="G6207" s="5">
        <v>104</v>
      </c>
      <c r="H6207" s="5">
        <v>103.8</v>
      </c>
      <c r="I6207" s="5">
        <v>0</v>
      </c>
      <c r="J6207" s="5">
        <v>0</v>
      </c>
      <c r="K6207" s="5">
        <v>0</v>
      </c>
    </row>
    <row r="6208" spans="1:11" x14ac:dyDescent="0.25">
      <c r="A6208" s="5">
        <f>6201</f>
      </c>
      <c r="B6208" s="5" t="s">
        <v>6216</v>
      </c>
      <c r="C6208" s="5">
        <v>104.3</v>
      </c>
      <c r="D6208" s="5">
        <v>0.1</v>
      </c>
      <c r="E6208" s="5">
        <v>104.5</v>
      </c>
      <c r="F6208" s="5">
        <v>208.4</v>
      </c>
      <c r="G6208" s="5">
        <v>104</v>
      </c>
      <c r="H6208" s="5">
        <v>103.8</v>
      </c>
      <c r="I6208" s="5">
        <v>0</v>
      </c>
      <c r="J6208" s="5">
        <v>0</v>
      </c>
      <c r="K6208" s="5">
        <v>0</v>
      </c>
    </row>
    <row r="6209" spans="1:11" x14ac:dyDescent="0.25">
      <c r="A6209" s="5">
        <f>6202</f>
      </c>
      <c r="B6209" s="5" t="s">
        <v>6217</v>
      </c>
      <c r="C6209" s="5">
        <v>104.1</v>
      </c>
      <c r="D6209" s="5">
        <v>0.1</v>
      </c>
      <c r="E6209" s="5">
        <v>104.3</v>
      </c>
      <c r="F6209" s="5">
        <v>208.2</v>
      </c>
      <c r="G6209" s="5">
        <v>103.9</v>
      </c>
      <c r="H6209" s="5">
        <v>103.7</v>
      </c>
      <c r="I6209" s="5">
        <v>0</v>
      </c>
      <c r="J6209" s="5">
        <v>0</v>
      </c>
      <c r="K6209" s="5">
        <v>0</v>
      </c>
    </row>
    <row r="6210" spans="1:11" x14ac:dyDescent="0.25">
      <c r="A6210" s="5">
        <f>6203</f>
      </c>
      <c r="B6210" s="5" t="s">
        <v>6218</v>
      </c>
      <c r="C6210" s="5">
        <v>104.1</v>
      </c>
      <c r="D6210" s="5">
        <v>0.1</v>
      </c>
      <c r="E6210" s="5">
        <v>104.3</v>
      </c>
      <c r="F6210" s="5">
        <v>208.2</v>
      </c>
      <c r="G6210" s="5">
        <v>103.9</v>
      </c>
      <c r="H6210" s="5">
        <v>103.7</v>
      </c>
      <c r="I6210" s="5">
        <v>0</v>
      </c>
      <c r="J6210" s="5">
        <v>0</v>
      </c>
      <c r="K6210" s="5">
        <v>0</v>
      </c>
    </row>
    <row r="6211" spans="1:11" x14ac:dyDescent="0.25">
      <c r="A6211" s="5">
        <f>6204</f>
      </c>
      <c r="B6211" s="5" t="s">
        <v>6219</v>
      </c>
      <c r="C6211" s="5">
        <v>104</v>
      </c>
      <c r="D6211" s="5">
        <v>0.1</v>
      </c>
      <c r="E6211" s="5">
        <v>104.1</v>
      </c>
      <c r="F6211" s="5">
        <v>207.7</v>
      </c>
      <c r="G6211" s="5">
        <v>103.7</v>
      </c>
      <c r="H6211" s="5">
        <v>103.6</v>
      </c>
      <c r="I6211" s="5">
        <v>0</v>
      </c>
      <c r="J6211" s="5">
        <v>0</v>
      </c>
      <c r="K6211" s="5">
        <v>0</v>
      </c>
    </row>
    <row r="6212" spans="1:11" x14ac:dyDescent="0.25">
      <c r="A6212" s="5">
        <f>6205</f>
      </c>
      <c r="B6212" s="5" t="s">
        <v>6220</v>
      </c>
      <c r="C6212" s="5">
        <v>104</v>
      </c>
      <c r="D6212" s="5">
        <v>0.1</v>
      </c>
      <c r="E6212" s="5">
        <v>104.1</v>
      </c>
      <c r="F6212" s="5">
        <v>207.7</v>
      </c>
      <c r="G6212" s="5">
        <v>103.7</v>
      </c>
      <c r="H6212" s="5">
        <v>103.6</v>
      </c>
      <c r="I6212" s="5">
        <v>0</v>
      </c>
      <c r="J6212" s="5">
        <v>0</v>
      </c>
      <c r="K6212" s="5">
        <v>0</v>
      </c>
    </row>
    <row r="6213" spans="1:11" x14ac:dyDescent="0.25">
      <c r="A6213" s="5">
        <f>6206</f>
      </c>
      <c r="B6213" s="5" t="s">
        <v>6221</v>
      </c>
      <c r="C6213" s="5">
        <v>103.1</v>
      </c>
      <c r="D6213" s="5">
        <v>0.1</v>
      </c>
      <c r="E6213" s="5">
        <v>103.3</v>
      </c>
      <c r="F6213" s="5">
        <v>207.1</v>
      </c>
      <c r="G6213" s="5">
        <v>103.2</v>
      </c>
      <c r="H6213" s="5">
        <v>103</v>
      </c>
      <c r="I6213" s="5">
        <v>0</v>
      </c>
      <c r="J6213" s="5">
        <v>0</v>
      </c>
      <c r="K6213" s="5">
        <v>0</v>
      </c>
    </row>
    <row r="6214" spans="1:11" x14ac:dyDescent="0.25">
      <c r="A6214" s="5">
        <f>6207</f>
      </c>
      <c r="B6214" s="5" t="s">
        <v>6222</v>
      </c>
      <c r="C6214" s="5">
        <v>103.1</v>
      </c>
      <c r="D6214" s="5">
        <v>0.1</v>
      </c>
      <c r="E6214" s="5">
        <v>103.3</v>
      </c>
      <c r="F6214" s="5">
        <v>207.1</v>
      </c>
      <c r="G6214" s="5">
        <v>103.2</v>
      </c>
      <c r="H6214" s="5">
        <v>103</v>
      </c>
      <c r="I6214" s="5">
        <v>0</v>
      </c>
      <c r="J6214" s="5">
        <v>0</v>
      </c>
      <c r="K6214" s="5">
        <v>0</v>
      </c>
    </row>
    <row r="6215" spans="1:11" x14ac:dyDescent="0.25">
      <c r="A6215" s="5">
        <f>6208</f>
      </c>
      <c r="B6215" s="5" t="s">
        <v>6223</v>
      </c>
      <c r="C6215" s="5">
        <v>103.1</v>
      </c>
      <c r="D6215" s="5">
        <v>0.1</v>
      </c>
      <c r="E6215" s="5">
        <v>103.3</v>
      </c>
      <c r="F6215" s="5">
        <v>207.1</v>
      </c>
      <c r="G6215" s="5">
        <v>103.2</v>
      </c>
      <c r="H6215" s="5">
        <v>103</v>
      </c>
      <c r="I6215" s="5">
        <v>0</v>
      </c>
      <c r="J6215" s="5">
        <v>0</v>
      </c>
      <c r="K6215" s="5">
        <v>0</v>
      </c>
    </row>
    <row r="6216" spans="1:11" x14ac:dyDescent="0.25">
      <c r="A6216" s="5">
        <f>6209</f>
      </c>
      <c r="B6216" s="5" t="s">
        <v>6224</v>
      </c>
      <c r="C6216" s="5">
        <v>103.1</v>
      </c>
      <c r="D6216" s="5">
        <v>0.1</v>
      </c>
      <c r="E6216" s="5">
        <v>103.3</v>
      </c>
      <c r="F6216" s="5">
        <v>207.1</v>
      </c>
      <c r="G6216" s="5">
        <v>103.2</v>
      </c>
      <c r="H6216" s="5">
        <v>103</v>
      </c>
      <c r="I6216" s="5">
        <v>0</v>
      </c>
      <c r="J6216" s="5">
        <v>0</v>
      </c>
      <c r="K6216" s="5">
        <v>0</v>
      </c>
    </row>
    <row r="6217" spans="1:11" x14ac:dyDescent="0.25">
      <c r="A6217" s="5">
        <f>6210</f>
      </c>
      <c r="B6217" s="5" t="s">
        <v>6225</v>
      </c>
      <c r="C6217" s="5">
        <v>103.7</v>
      </c>
      <c r="D6217" s="5">
        <v>0.1</v>
      </c>
      <c r="E6217" s="5">
        <v>103.9</v>
      </c>
      <c r="F6217" s="5">
        <v>207.2</v>
      </c>
      <c r="G6217" s="5">
        <v>103.3</v>
      </c>
      <c r="H6217" s="5">
        <v>103.2</v>
      </c>
      <c r="I6217" s="5">
        <v>0</v>
      </c>
      <c r="J6217" s="5">
        <v>0</v>
      </c>
      <c r="K6217" s="5">
        <v>0</v>
      </c>
    </row>
    <row r="6218" spans="1:11" x14ac:dyDescent="0.25">
      <c r="A6218" s="5">
        <f>6211</f>
      </c>
      <c r="B6218" s="5" t="s">
        <v>6226</v>
      </c>
      <c r="C6218" s="5">
        <v>103.7</v>
      </c>
      <c r="D6218" s="5">
        <v>0.1</v>
      </c>
      <c r="E6218" s="5">
        <v>103.9</v>
      </c>
      <c r="F6218" s="5">
        <v>207.2</v>
      </c>
      <c r="G6218" s="5">
        <v>103.3</v>
      </c>
      <c r="H6218" s="5">
        <v>103.2</v>
      </c>
      <c r="I6218" s="5">
        <v>0</v>
      </c>
      <c r="J6218" s="5">
        <v>0</v>
      </c>
      <c r="K6218" s="5">
        <v>0</v>
      </c>
    </row>
    <row r="6219" spans="1:11" x14ac:dyDescent="0.25">
      <c r="A6219" s="5">
        <f>6212</f>
      </c>
      <c r="B6219" s="5" t="s">
        <v>6227</v>
      </c>
      <c r="C6219" s="5">
        <v>103.5</v>
      </c>
      <c r="D6219" s="5">
        <v>0.1</v>
      </c>
      <c r="E6219" s="5">
        <v>103.7</v>
      </c>
      <c r="F6219" s="5">
        <v>206.3</v>
      </c>
      <c r="G6219" s="5">
        <v>103</v>
      </c>
      <c r="H6219" s="5">
        <v>102.8</v>
      </c>
      <c r="I6219" s="5">
        <v>0</v>
      </c>
      <c r="J6219" s="5">
        <v>0</v>
      </c>
      <c r="K6219" s="5">
        <v>0</v>
      </c>
    </row>
    <row r="6220" spans="1:11" x14ac:dyDescent="0.25">
      <c r="A6220" s="5">
        <f>6213</f>
      </c>
      <c r="B6220" s="5" t="s">
        <v>6228</v>
      </c>
      <c r="C6220" s="5">
        <v>103.5</v>
      </c>
      <c r="D6220" s="5">
        <v>0.1</v>
      </c>
      <c r="E6220" s="5">
        <v>103.7</v>
      </c>
      <c r="F6220" s="5">
        <v>206.3</v>
      </c>
      <c r="G6220" s="5">
        <v>103</v>
      </c>
      <c r="H6220" s="5">
        <v>102.8</v>
      </c>
      <c r="I6220" s="5">
        <v>0</v>
      </c>
      <c r="J6220" s="5">
        <v>0</v>
      </c>
      <c r="K6220" s="5">
        <v>0</v>
      </c>
    </row>
    <row r="6221" spans="1:11" x14ac:dyDescent="0.25">
      <c r="A6221" s="5">
        <f>6214</f>
      </c>
      <c r="B6221" s="5" t="s">
        <v>6229</v>
      </c>
      <c r="C6221" s="5">
        <v>103.7</v>
      </c>
      <c r="D6221" s="5">
        <v>0.1</v>
      </c>
      <c r="E6221" s="5">
        <v>103.8</v>
      </c>
      <c r="F6221" s="5">
        <v>207.3</v>
      </c>
      <c r="G6221" s="5">
        <v>103.4</v>
      </c>
      <c r="H6221" s="5">
        <v>103.3</v>
      </c>
      <c r="I6221" s="5">
        <v>0</v>
      </c>
      <c r="J6221" s="5">
        <v>0</v>
      </c>
      <c r="K6221" s="5">
        <v>0</v>
      </c>
    </row>
    <row r="6222" spans="1:11" x14ac:dyDescent="0.25">
      <c r="A6222" s="5">
        <f>6215</f>
      </c>
      <c r="B6222" s="5" t="s">
        <v>6230</v>
      </c>
      <c r="C6222" s="5">
        <v>103.7</v>
      </c>
      <c r="D6222" s="5">
        <v>0.1</v>
      </c>
      <c r="E6222" s="5">
        <v>103.8</v>
      </c>
      <c r="F6222" s="5">
        <v>207.3</v>
      </c>
      <c r="G6222" s="5">
        <v>103.4</v>
      </c>
      <c r="H6222" s="5">
        <v>103.3</v>
      </c>
      <c r="I6222" s="5">
        <v>0</v>
      </c>
      <c r="J6222" s="5">
        <v>0</v>
      </c>
      <c r="K6222" s="5">
        <v>0</v>
      </c>
    </row>
    <row r="6223" spans="1:11" x14ac:dyDescent="0.25">
      <c r="A6223" s="5">
        <f>6216</f>
      </c>
      <c r="B6223" s="5" t="s">
        <v>6231</v>
      </c>
      <c r="C6223" s="5">
        <v>103.4</v>
      </c>
      <c r="D6223" s="5">
        <v>0.1</v>
      </c>
      <c r="E6223" s="5">
        <v>103.6</v>
      </c>
      <c r="F6223" s="5">
        <v>206.5</v>
      </c>
      <c r="G6223" s="5">
        <v>103.1</v>
      </c>
      <c r="H6223" s="5">
        <v>103</v>
      </c>
      <c r="I6223" s="5">
        <v>0</v>
      </c>
      <c r="J6223" s="5">
        <v>0</v>
      </c>
      <c r="K6223" s="5">
        <v>0</v>
      </c>
    </row>
    <row r="6224" spans="1:11" x14ac:dyDescent="0.25">
      <c r="A6224" s="5">
        <f>6217</f>
      </c>
      <c r="B6224" s="5" t="s">
        <v>6232</v>
      </c>
      <c r="C6224" s="5">
        <v>103.4</v>
      </c>
      <c r="D6224" s="5">
        <v>0.1</v>
      </c>
      <c r="E6224" s="5">
        <v>103.6</v>
      </c>
      <c r="F6224" s="5">
        <v>206.5</v>
      </c>
      <c r="G6224" s="5">
        <v>103.1</v>
      </c>
      <c r="H6224" s="5">
        <v>103</v>
      </c>
      <c r="I6224" s="5">
        <v>0</v>
      </c>
      <c r="J6224" s="5">
        <v>0</v>
      </c>
      <c r="K6224" s="5">
        <v>0</v>
      </c>
    </row>
    <row r="6225" spans="1:11" x14ac:dyDescent="0.25">
      <c r="A6225" s="5">
        <f>6218</f>
      </c>
      <c r="B6225" s="5" t="s">
        <v>6233</v>
      </c>
      <c r="C6225" s="5">
        <v>103.4</v>
      </c>
      <c r="D6225" s="5">
        <v>0.1</v>
      </c>
      <c r="E6225" s="5">
        <v>103.6</v>
      </c>
      <c r="F6225" s="5">
        <v>206.5</v>
      </c>
      <c r="G6225" s="5">
        <v>103.1</v>
      </c>
      <c r="H6225" s="5">
        <v>103</v>
      </c>
      <c r="I6225" s="5">
        <v>0</v>
      </c>
      <c r="J6225" s="5">
        <v>0</v>
      </c>
      <c r="K6225" s="5">
        <v>0</v>
      </c>
    </row>
    <row r="6226" spans="1:11" x14ac:dyDescent="0.25">
      <c r="A6226" s="5">
        <f>6219</f>
      </c>
      <c r="B6226" s="5" t="s">
        <v>6234</v>
      </c>
      <c r="C6226" s="5">
        <v>103.4</v>
      </c>
      <c r="D6226" s="5">
        <v>0.1</v>
      </c>
      <c r="E6226" s="5">
        <v>103.6</v>
      </c>
      <c r="F6226" s="5">
        <v>206.5</v>
      </c>
      <c r="G6226" s="5">
        <v>103.1</v>
      </c>
      <c r="H6226" s="5">
        <v>103</v>
      </c>
      <c r="I6226" s="5">
        <v>0</v>
      </c>
      <c r="J6226" s="5">
        <v>0</v>
      </c>
      <c r="K6226" s="5">
        <v>0</v>
      </c>
    </row>
    <row r="6227" spans="1:11" x14ac:dyDescent="0.25">
      <c r="A6227" s="5">
        <f>6220</f>
      </c>
      <c r="B6227" s="5" t="s">
        <v>6235</v>
      </c>
      <c r="C6227" s="5">
        <v>103.5</v>
      </c>
      <c r="D6227" s="5">
        <v>0.1</v>
      </c>
      <c r="E6227" s="5">
        <v>103.7</v>
      </c>
      <c r="F6227" s="5">
        <v>206.3</v>
      </c>
      <c r="G6227" s="5">
        <v>102.9</v>
      </c>
      <c r="H6227" s="5">
        <v>102.8</v>
      </c>
      <c r="I6227" s="5">
        <v>0</v>
      </c>
      <c r="J6227" s="5">
        <v>0</v>
      </c>
      <c r="K6227" s="5">
        <v>0</v>
      </c>
    </row>
    <row r="6228" spans="1:11" x14ac:dyDescent="0.25">
      <c r="A6228" s="5">
        <f>6221</f>
      </c>
      <c r="B6228" s="5" t="s">
        <v>6236</v>
      </c>
      <c r="C6228" s="5">
        <v>103.5</v>
      </c>
      <c r="D6228" s="5">
        <v>0.1</v>
      </c>
      <c r="E6228" s="5">
        <v>103.7</v>
      </c>
      <c r="F6228" s="5">
        <v>206.3</v>
      </c>
      <c r="G6228" s="5">
        <v>102.9</v>
      </c>
      <c r="H6228" s="5">
        <v>102.8</v>
      </c>
      <c r="I6228" s="5">
        <v>0</v>
      </c>
      <c r="J6228" s="5">
        <v>0</v>
      </c>
      <c r="K6228" s="5">
        <v>0</v>
      </c>
    </row>
    <row r="6229" spans="1:11" x14ac:dyDescent="0.25">
      <c r="A6229" s="5">
        <f>6222</f>
      </c>
      <c r="B6229" s="5" t="s">
        <v>6237</v>
      </c>
      <c r="C6229" s="5">
        <v>103.4</v>
      </c>
      <c r="D6229" s="5">
        <v>0.1</v>
      </c>
      <c r="E6229" s="5">
        <v>103.6</v>
      </c>
      <c r="F6229" s="5">
        <v>206.3</v>
      </c>
      <c r="G6229" s="5">
        <v>103</v>
      </c>
      <c r="H6229" s="5">
        <v>102.9</v>
      </c>
      <c r="I6229" s="5">
        <v>0</v>
      </c>
      <c r="J6229" s="5">
        <v>0</v>
      </c>
      <c r="K6229" s="5">
        <v>0</v>
      </c>
    </row>
    <row r="6230" spans="1:11" x14ac:dyDescent="0.25">
      <c r="A6230" s="5">
        <f>6223</f>
      </c>
      <c r="B6230" s="5" t="s">
        <v>6238</v>
      </c>
      <c r="C6230" s="5">
        <v>103.4</v>
      </c>
      <c r="D6230" s="5">
        <v>0.1</v>
      </c>
      <c r="E6230" s="5">
        <v>103.6</v>
      </c>
      <c r="F6230" s="5">
        <v>206.3</v>
      </c>
      <c r="G6230" s="5">
        <v>103</v>
      </c>
      <c r="H6230" s="5">
        <v>102.9</v>
      </c>
      <c r="I6230" s="5">
        <v>0</v>
      </c>
      <c r="J6230" s="5">
        <v>0</v>
      </c>
      <c r="K6230" s="5">
        <v>0</v>
      </c>
    </row>
    <row r="6231" spans="1:11" x14ac:dyDescent="0.25">
      <c r="A6231" s="5">
        <f>6224</f>
      </c>
      <c r="B6231" s="5" t="s">
        <v>6239</v>
      </c>
      <c r="C6231" s="5">
        <v>103.6</v>
      </c>
      <c r="D6231" s="5">
        <v>0.1</v>
      </c>
      <c r="E6231" s="5">
        <v>103.7</v>
      </c>
      <c r="F6231" s="5">
        <v>206.2</v>
      </c>
      <c r="G6231" s="5">
        <v>102.9</v>
      </c>
      <c r="H6231" s="5">
        <v>102.8</v>
      </c>
      <c r="I6231" s="5">
        <v>0</v>
      </c>
      <c r="J6231" s="5">
        <v>0</v>
      </c>
      <c r="K6231" s="5">
        <v>0</v>
      </c>
    </row>
    <row r="6232" spans="1:11" x14ac:dyDescent="0.25">
      <c r="A6232" s="5">
        <f>6225</f>
      </c>
      <c r="B6232" s="5" t="s">
        <v>6240</v>
      </c>
      <c r="C6232" s="5">
        <v>103.6</v>
      </c>
      <c r="D6232" s="5">
        <v>0.1</v>
      </c>
      <c r="E6232" s="5">
        <v>103.7</v>
      </c>
      <c r="F6232" s="5">
        <v>206.2</v>
      </c>
      <c r="G6232" s="5">
        <v>102.9</v>
      </c>
      <c r="H6232" s="5">
        <v>102.8</v>
      </c>
      <c r="I6232" s="5">
        <v>0</v>
      </c>
      <c r="J6232" s="5">
        <v>0</v>
      </c>
      <c r="K6232" s="5">
        <v>0</v>
      </c>
    </row>
    <row r="6233" spans="1:11" x14ac:dyDescent="0.25">
      <c r="A6233" s="5">
        <f>6226</f>
      </c>
      <c r="B6233" s="5" t="s">
        <v>6241</v>
      </c>
      <c r="C6233" s="5">
        <v>103</v>
      </c>
      <c r="D6233" s="5">
        <v>0.1</v>
      </c>
      <c r="E6233" s="5">
        <v>103.1</v>
      </c>
      <c r="F6233" s="5">
        <v>205.8</v>
      </c>
      <c r="G6233" s="5">
        <v>102.7</v>
      </c>
      <c r="H6233" s="5">
        <v>102.6</v>
      </c>
      <c r="I6233" s="5">
        <v>0</v>
      </c>
      <c r="J6233" s="5">
        <v>0</v>
      </c>
      <c r="K6233" s="5">
        <v>0</v>
      </c>
    </row>
    <row r="6234" spans="1:11" x14ac:dyDescent="0.25">
      <c r="A6234" s="5">
        <f>6227</f>
      </c>
      <c r="B6234" s="5" t="s">
        <v>6242</v>
      </c>
      <c r="C6234" s="5">
        <v>103</v>
      </c>
      <c r="D6234" s="5">
        <v>0.1</v>
      </c>
      <c r="E6234" s="5">
        <v>103.1</v>
      </c>
      <c r="F6234" s="5">
        <v>205.8</v>
      </c>
      <c r="G6234" s="5">
        <v>102.7</v>
      </c>
      <c r="H6234" s="5">
        <v>102.6</v>
      </c>
      <c r="I6234" s="5">
        <v>0</v>
      </c>
      <c r="J6234" s="5">
        <v>0</v>
      </c>
      <c r="K6234" s="5">
        <v>0</v>
      </c>
    </row>
    <row r="6235" spans="1:11" x14ac:dyDescent="0.25">
      <c r="A6235" s="5">
        <f>6228</f>
      </c>
      <c r="B6235" s="5" t="s">
        <v>6243</v>
      </c>
      <c r="C6235" s="5">
        <v>103</v>
      </c>
      <c r="D6235" s="5">
        <v>0.1</v>
      </c>
      <c r="E6235" s="5">
        <v>103.1</v>
      </c>
      <c r="F6235" s="5">
        <v>205.8</v>
      </c>
      <c r="G6235" s="5">
        <v>102.7</v>
      </c>
      <c r="H6235" s="5">
        <v>102.6</v>
      </c>
      <c r="I6235" s="5">
        <v>0</v>
      </c>
      <c r="J6235" s="5">
        <v>0</v>
      </c>
      <c r="K6235" s="5">
        <v>0</v>
      </c>
    </row>
    <row r="6236" spans="1:11" x14ac:dyDescent="0.25">
      <c r="A6236" s="5">
        <f>6229</f>
      </c>
      <c r="B6236" s="5" t="s">
        <v>6244</v>
      </c>
      <c r="C6236" s="5">
        <v>103</v>
      </c>
      <c r="D6236" s="5">
        <v>0.1</v>
      </c>
      <c r="E6236" s="5">
        <v>103.1</v>
      </c>
      <c r="F6236" s="5">
        <v>205.8</v>
      </c>
      <c r="G6236" s="5">
        <v>102.7</v>
      </c>
      <c r="H6236" s="5">
        <v>102.6</v>
      </c>
      <c r="I6236" s="5">
        <v>0</v>
      </c>
      <c r="J6236" s="5">
        <v>0</v>
      </c>
      <c r="K6236" s="5">
        <v>0</v>
      </c>
    </row>
    <row r="6237" spans="1:11" x14ac:dyDescent="0.25">
      <c r="A6237" s="5">
        <f>6230</f>
      </c>
      <c r="B6237" s="5" t="s">
        <v>6245</v>
      </c>
      <c r="C6237" s="5">
        <v>103.8</v>
      </c>
      <c r="D6237" s="5">
        <v>0.1</v>
      </c>
      <c r="E6237" s="5">
        <v>103.9</v>
      </c>
      <c r="F6237" s="5">
        <v>207</v>
      </c>
      <c r="G6237" s="5">
        <v>103.3</v>
      </c>
      <c r="H6237" s="5">
        <v>103.2</v>
      </c>
      <c r="I6237" s="5">
        <v>0</v>
      </c>
      <c r="J6237" s="5">
        <v>0</v>
      </c>
      <c r="K6237" s="5">
        <v>0</v>
      </c>
    </row>
    <row r="6238" spans="1:11" x14ac:dyDescent="0.25">
      <c r="A6238" s="5">
        <f>6231</f>
      </c>
      <c r="B6238" s="5" t="s">
        <v>6246</v>
      </c>
      <c r="C6238" s="5">
        <v>103.8</v>
      </c>
      <c r="D6238" s="5">
        <v>0.1</v>
      </c>
      <c r="E6238" s="5">
        <v>103.9</v>
      </c>
      <c r="F6238" s="5">
        <v>207</v>
      </c>
      <c r="G6238" s="5">
        <v>103.3</v>
      </c>
      <c r="H6238" s="5">
        <v>103.2</v>
      </c>
      <c r="I6238" s="5">
        <v>0</v>
      </c>
      <c r="J6238" s="5">
        <v>0</v>
      </c>
      <c r="K6238" s="5">
        <v>0</v>
      </c>
    </row>
    <row r="6239" spans="1:11" x14ac:dyDescent="0.25">
      <c r="A6239" s="5">
        <f>6232</f>
      </c>
      <c r="B6239" s="5" t="s">
        <v>6247</v>
      </c>
      <c r="C6239" s="5">
        <v>103.9</v>
      </c>
      <c r="D6239" s="5">
        <v>0.1</v>
      </c>
      <c r="E6239" s="5">
        <v>104</v>
      </c>
      <c r="F6239" s="5">
        <v>206.9</v>
      </c>
      <c r="G6239" s="5">
        <v>103.2</v>
      </c>
      <c r="H6239" s="5">
        <v>103.1</v>
      </c>
      <c r="I6239" s="5">
        <v>0</v>
      </c>
      <c r="J6239" s="5">
        <v>0</v>
      </c>
      <c r="K6239" s="5">
        <v>0</v>
      </c>
    </row>
    <row r="6240" spans="1:11" x14ac:dyDescent="0.25">
      <c r="A6240" s="5">
        <f>6233</f>
      </c>
      <c r="B6240" s="5" t="s">
        <v>6248</v>
      </c>
      <c r="C6240" s="5">
        <v>103.9</v>
      </c>
      <c r="D6240" s="5">
        <v>0.1</v>
      </c>
      <c r="E6240" s="5">
        <v>104</v>
      </c>
      <c r="F6240" s="5">
        <v>206.9</v>
      </c>
      <c r="G6240" s="5">
        <v>103.2</v>
      </c>
      <c r="H6240" s="5">
        <v>103.1</v>
      </c>
      <c r="I6240" s="5">
        <v>0</v>
      </c>
      <c r="J6240" s="5">
        <v>0</v>
      </c>
      <c r="K6240" s="5">
        <v>0</v>
      </c>
    </row>
    <row r="6241" spans="1:11" x14ac:dyDescent="0.25">
      <c r="A6241" s="5">
        <f>6234</f>
      </c>
      <c r="B6241" s="5" t="s">
        <v>6249</v>
      </c>
      <c r="C6241" s="5">
        <v>103.9</v>
      </c>
      <c r="D6241" s="5">
        <v>0.1</v>
      </c>
      <c r="E6241" s="5">
        <v>104</v>
      </c>
      <c r="F6241" s="5">
        <v>207.5</v>
      </c>
      <c r="G6241" s="5">
        <v>103.5</v>
      </c>
      <c r="H6241" s="5">
        <v>103.4</v>
      </c>
      <c r="I6241" s="5">
        <v>0</v>
      </c>
      <c r="J6241" s="5">
        <v>0</v>
      </c>
      <c r="K6241" s="5">
        <v>0</v>
      </c>
    </row>
    <row r="6242" spans="1:11" x14ac:dyDescent="0.25">
      <c r="A6242" s="5">
        <f>6235</f>
      </c>
      <c r="B6242" s="5" t="s">
        <v>6250</v>
      </c>
      <c r="C6242" s="5">
        <v>103.9</v>
      </c>
      <c r="D6242" s="5">
        <v>0.1</v>
      </c>
      <c r="E6242" s="5">
        <v>104</v>
      </c>
      <c r="F6242" s="5">
        <v>207.5</v>
      </c>
      <c r="G6242" s="5">
        <v>103.5</v>
      </c>
      <c r="H6242" s="5">
        <v>103.4</v>
      </c>
      <c r="I6242" s="5">
        <v>0</v>
      </c>
      <c r="J6242" s="5">
        <v>0</v>
      </c>
      <c r="K6242" s="5">
        <v>0</v>
      </c>
    </row>
    <row r="6243" spans="1:11" x14ac:dyDescent="0.25">
      <c r="A6243" s="5">
        <f>6236</f>
      </c>
      <c r="B6243" s="5" t="s">
        <v>6251</v>
      </c>
      <c r="C6243" s="5">
        <v>103.3</v>
      </c>
      <c r="D6243" s="5">
        <v>0.1</v>
      </c>
      <c r="E6243" s="5">
        <v>103.4</v>
      </c>
      <c r="F6243" s="5">
        <v>207.1</v>
      </c>
      <c r="G6243" s="5">
        <v>103.3</v>
      </c>
      <c r="H6243" s="5">
        <v>103.2</v>
      </c>
      <c r="I6243" s="5">
        <v>0</v>
      </c>
      <c r="J6243" s="5">
        <v>0</v>
      </c>
      <c r="K6243" s="5">
        <v>0</v>
      </c>
    </row>
    <row r="6244" spans="1:11" x14ac:dyDescent="0.25">
      <c r="A6244" s="5">
        <f>6237</f>
      </c>
      <c r="B6244" s="5" t="s">
        <v>6252</v>
      </c>
      <c r="C6244" s="5">
        <v>103.3</v>
      </c>
      <c r="D6244" s="5">
        <v>0.1</v>
      </c>
      <c r="E6244" s="5">
        <v>103.4</v>
      </c>
      <c r="F6244" s="5">
        <v>207.1</v>
      </c>
      <c r="G6244" s="5">
        <v>103.3</v>
      </c>
      <c r="H6244" s="5">
        <v>103.2</v>
      </c>
      <c r="I6244" s="5">
        <v>0</v>
      </c>
      <c r="J6244" s="5">
        <v>0</v>
      </c>
      <c r="K6244" s="5">
        <v>0</v>
      </c>
    </row>
    <row r="6245" spans="1:11" x14ac:dyDescent="0.25">
      <c r="A6245" s="5">
        <f>6238</f>
      </c>
      <c r="B6245" s="5" t="s">
        <v>6253</v>
      </c>
      <c r="C6245" s="5">
        <v>103.3</v>
      </c>
      <c r="D6245" s="5">
        <v>0.1</v>
      </c>
      <c r="E6245" s="5">
        <v>103.4</v>
      </c>
      <c r="F6245" s="5">
        <v>207.1</v>
      </c>
      <c r="G6245" s="5">
        <v>103.3</v>
      </c>
      <c r="H6245" s="5">
        <v>103.2</v>
      </c>
      <c r="I6245" s="5">
        <v>0</v>
      </c>
      <c r="J6245" s="5">
        <v>0</v>
      </c>
      <c r="K6245" s="5">
        <v>0</v>
      </c>
    </row>
    <row r="6246" spans="1:11" x14ac:dyDescent="0.25">
      <c r="A6246" s="5">
        <f>6239</f>
      </c>
      <c r="B6246" s="5" t="s">
        <v>6254</v>
      </c>
      <c r="C6246" s="5">
        <v>101.9</v>
      </c>
      <c r="D6246" s="5">
        <v>0.1</v>
      </c>
      <c r="E6246" s="5">
        <v>102.1</v>
      </c>
      <c r="F6246" s="5">
        <v>203.4</v>
      </c>
      <c r="G6246" s="5">
        <v>101.5</v>
      </c>
      <c r="H6246" s="5">
        <v>101.3</v>
      </c>
      <c r="I6246" s="5">
        <v>0</v>
      </c>
      <c r="J6246" s="5">
        <v>0</v>
      </c>
      <c r="K6246" s="5">
        <v>0</v>
      </c>
    </row>
    <row r="6247" spans="1:11" x14ac:dyDescent="0.25">
      <c r="A6247" s="5">
        <f>6240</f>
      </c>
      <c r="B6247" s="5" t="s">
        <v>6255</v>
      </c>
      <c r="C6247" s="5">
        <v>101.9</v>
      </c>
      <c r="D6247" s="5">
        <v>0.1</v>
      </c>
      <c r="E6247" s="5">
        <v>102.1</v>
      </c>
      <c r="F6247" s="5">
        <v>203.4</v>
      </c>
      <c r="G6247" s="5">
        <v>101.5</v>
      </c>
      <c r="H6247" s="5">
        <v>101.3</v>
      </c>
      <c r="I6247" s="5">
        <v>0</v>
      </c>
      <c r="J6247" s="5">
        <v>0</v>
      </c>
      <c r="K6247" s="5">
        <v>0</v>
      </c>
    </row>
    <row r="6248" spans="1:11" x14ac:dyDescent="0.25">
      <c r="A6248" s="5">
        <f>6241</f>
      </c>
      <c r="B6248" s="5" t="s">
        <v>6256</v>
      </c>
      <c r="C6248" s="5">
        <v>101.5</v>
      </c>
      <c r="D6248" s="5">
        <v>0.1</v>
      </c>
      <c r="E6248" s="5">
        <v>101.5</v>
      </c>
      <c r="F6248" s="5">
        <v>201.9</v>
      </c>
      <c r="G6248" s="5">
        <v>100.8</v>
      </c>
      <c r="H6248" s="5">
        <v>100.8</v>
      </c>
      <c r="I6248" s="5">
        <v>0</v>
      </c>
      <c r="J6248" s="5">
        <v>0</v>
      </c>
      <c r="K6248" s="5">
        <v>0</v>
      </c>
    </row>
    <row r="6249" spans="1:11" x14ac:dyDescent="0.25">
      <c r="A6249" s="5">
        <f>6242</f>
      </c>
      <c r="B6249" s="5" t="s">
        <v>6257</v>
      </c>
      <c r="C6249" s="5">
        <v>101.5</v>
      </c>
      <c r="D6249" s="5">
        <v>0.1</v>
      </c>
      <c r="E6249" s="5">
        <v>101.5</v>
      </c>
      <c r="F6249" s="5">
        <v>201.9</v>
      </c>
      <c r="G6249" s="5">
        <v>100.8</v>
      </c>
      <c r="H6249" s="5">
        <v>100.8</v>
      </c>
      <c r="I6249" s="5">
        <v>0</v>
      </c>
      <c r="J6249" s="5">
        <v>0</v>
      </c>
      <c r="K6249" s="5">
        <v>0</v>
      </c>
    </row>
    <row r="6250" spans="1:11" x14ac:dyDescent="0.25">
      <c r="A6250" s="5">
        <f>6243</f>
      </c>
      <c r="B6250" s="5" t="s">
        <v>6258</v>
      </c>
      <c r="C6250" s="5">
        <v>102</v>
      </c>
      <c r="D6250" s="5">
        <v>0.1</v>
      </c>
      <c r="E6250" s="5">
        <v>102.1</v>
      </c>
      <c r="F6250" s="5">
        <v>203.7</v>
      </c>
      <c r="G6250" s="5">
        <v>101.6</v>
      </c>
      <c r="H6250" s="5">
        <v>101.5</v>
      </c>
      <c r="I6250" s="5">
        <v>0</v>
      </c>
      <c r="J6250" s="5">
        <v>0</v>
      </c>
      <c r="K6250" s="5">
        <v>0</v>
      </c>
    </row>
    <row r="6251" spans="1:11" x14ac:dyDescent="0.25">
      <c r="A6251" s="5">
        <f>6244</f>
      </c>
      <c r="B6251" s="5" t="s">
        <v>6259</v>
      </c>
      <c r="C6251" s="5">
        <v>102</v>
      </c>
      <c r="D6251" s="5">
        <v>0.1</v>
      </c>
      <c r="E6251" s="5">
        <v>102.1</v>
      </c>
      <c r="F6251" s="5">
        <v>203.7</v>
      </c>
      <c r="G6251" s="5">
        <v>101.6</v>
      </c>
      <c r="H6251" s="5">
        <v>101.5</v>
      </c>
      <c r="I6251" s="5">
        <v>0</v>
      </c>
      <c r="J6251" s="5">
        <v>0</v>
      </c>
      <c r="K6251" s="5">
        <v>0</v>
      </c>
    </row>
    <row r="6252" spans="1:11" x14ac:dyDescent="0.25">
      <c r="A6252" s="5">
        <f>6245</f>
      </c>
      <c r="B6252" s="5" t="s">
        <v>6260</v>
      </c>
      <c r="C6252" s="5">
        <v>101.8</v>
      </c>
      <c r="D6252" s="5">
        <v>0.1</v>
      </c>
      <c r="E6252" s="5">
        <v>101.9</v>
      </c>
      <c r="F6252" s="5">
        <v>203</v>
      </c>
      <c r="G6252" s="5">
        <v>101.3</v>
      </c>
      <c r="H6252" s="5">
        <v>101.1</v>
      </c>
      <c r="I6252" s="5">
        <v>0</v>
      </c>
      <c r="J6252" s="5">
        <v>0</v>
      </c>
      <c r="K6252" s="5">
        <v>0</v>
      </c>
    </row>
    <row r="6253" spans="1:11" x14ac:dyDescent="0.25">
      <c r="A6253" s="5">
        <f>6246</f>
      </c>
      <c r="B6253" s="5" t="s">
        <v>6261</v>
      </c>
      <c r="C6253" s="5">
        <v>101.8</v>
      </c>
      <c r="D6253" s="5">
        <v>0.1</v>
      </c>
      <c r="E6253" s="5">
        <v>101.9</v>
      </c>
      <c r="F6253" s="5">
        <v>203</v>
      </c>
      <c r="G6253" s="5">
        <v>101.3</v>
      </c>
      <c r="H6253" s="5">
        <v>101.1</v>
      </c>
      <c r="I6253" s="5">
        <v>0</v>
      </c>
      <c r="J6253" s="5">
        <v>0</v>
      </c>
      <c r="K6253" s="5">
        <v>0</v>
      </c>
    </row>
    <row r="6254" spans="1:11" x14ac:dyDescent="0.25">
      <c r="A6254" s="5">
        <f>6247</f>
      </c>
      <c r="B6254" s="5" t="s">
        <v>6262</v>
      </c>
      <c r="C6254" s="5">
        <v>101.8</v>
      </c>
      <c r="D6254" s="5">
        <v>0.1</v>
      </c>
      <c r="E6254" s="5">
        <v>101.9</v>
      </c>
      <c r="F6254" s="5">
        <v>203</v>
      </c>
      <c r="G6254" s="5">
        <v>101.3</v>
      </c>
      <c r="H6254" s="5">
        <v>101.1</v>
      </c>
      <c r="I6254" s="5">
        <v>0</v>
      </c>
      <c r="J6254" s="5">
        <v>0</v>
      </c>
      <c r="K6254" s="5">
        <v>0</v>
      </c>
    </row>
    <row r="6255" spans="1:11" x14ac:dyDescent="0.25">
      <c r="A6255" s="5">
        <f>6248</f>
      </c>
      <c r="B6255" s="5" t="s">
        <v>6263</v>
      </c>
      <c r="C6255" s="5">
        <v>101.8</v>
      </c>
      <c r="D6255" s="5">
        <v>0.1</v>
      </c>
      <c r="E6255" s="5">
        <v>101.9</v>
      </c>
      <c r="F6255" s="5">
        <v>203</v>
      </c>
      <c r="G6255" s="5">
        <v>101.3</v>
      </c>
      <c r="H6255" s="5">
        <v>101.1</v>
      </c>
      <c r="I6255" s="5">
        <v>0</v>
      </c>
      <c r="J6255" s="5">
        <v>0</v>
      </c>
      <c r="K6255" s="5">
        <v>0</v>
      </c>
    </row>
    <row r="6256" spans="1:11" x14ac:dyDescent="0.25">
      <c r="A6256" s="5">
        <f>6249</f>
      </c>
      <c r="B6256" s="5" t="s">
        <v>6264</v>
      </c>
      <c r="C6256" s="5">
        <v>101.6</v>
      </c>
      <c r="D6256" s="5">
        <v>0.1</v>
      </c>
      <c r="E6256" s="5">
        <v>101.8</v>
      </c>
      <c r="F6256" s="5">
        <v>202.4</v>
      </c>
      <c r="G6256" s="5">
        <v>101</v>
      </c>
      <c r="H6256" s="5">
        <v>100.9</v>
      </c>
      <c r="I6256" s="5">
        <v>0</v>
      </c>
      <c r="J6256" s="5">
        <v>0</v>
      </c>
      <c r="K6256" s="5">
        <v>0</v>
      </c>
    </row>
    <row r="6257" spans="1:11" x14ac:dyDescent="0.25">
      <c r="A6257" s="5">
        <f>6250</f>
      </c>
      <c r="B6257" s="5" t="s">
        <v>6265</v>
      </c>
      <c r="C6257" s="5">
        <v>101.6</v>
      </c>
      <c r="D6257" s="5">
        <v>0.1</v>
      </c>
      <c r="E6257" s="5">
        <v>101.8</v>
      </c>
      <c r="F6257" s="5">
        <v>202.4</v>
      </c>
      <c r="G6257" s="5">
        <v>101</v>
      </c>
      <c r="H6257" s="5">
        <v>100.9</v>
      </c>
      <c r="I6257" s="5">
        <v>0</v>
      </c>
      <c r="J6257" s="5">
        <v>0</v>
      </c>
      <c r="K6257" s="5">
        <v>0</v>
      </c>
    </row>
    <row r="6258" spans="1:11" x14ac:dyDescent="0.25">
      <c r="A6258" s="5">
        <f>6251</f>
      </c>
      <c r="B6258" s="5" t="s">
        <v>6266</v>
      </c>
      <c r="C6258" s="5">
        <v>102</v>
      </c>
      <c r="D6258" s="5">
        <v>0.1</v>
      </c>
      <c r="E6258" s="5">
        <v>102.1</v>
      </c>
      <c r="F6258" s="5">
        <v>202.6</v>
      </c>
      <c r="G6258" s="5">
        <v>101.2</v>
      </c>
      <c r="H6258" s="5">
        <v>101.1</v>
      </c>
      <c r="I6258" s="5">
        <v>0</v>
      </c>
      <c r="J6258" s="5">
        <v>0</v>
      </c>
      <c r="K6258" s="5">
        <v>0</v>
      </c>
    </row>
    <row r="6259" spans="1:11" x14ac:dyDescent="0.25">
      <c r="A6259" s="5">
        <f>6252</f>
      </c>
      <c r="B6259" s="5" t="s">
        <v>6267</v>
      </c>
      <c r="C6259" s="5">
        <v>102</v>
      </c>
      <c r="D6259" s="5">
        <v>0.1</v>
      </c>
      <c r="E6259" s="5">
        <v>102.1</v>
      </c>
      <c r="F6259" s="5">
        <v>202.6</v>
      </c>
      <c r="G6259" s="5">
        <v>101.2</v>
      </c>
      <c r="H6259" s="5">
        <v>101.1</v>
      </c>
      <c r="I6259" s="5">
        <v>0</v>
      </c>
      <c r="J6259" s="5">
        <v>0</v>
      </c>
      <c r="K6259" s="5">
        <v>0</v>
      </c>
    </row>
    <row r="6260" spans="1:11" x14ac:dyDescent="0.25">
      <c r="A6260" s="5">
        <f>6253</f>
      </c>
      <c r="B6260" s="5" t="s">
        <v>6268</v>
      </c>
      <c r="C6260" s="5">
        <v>102.1</v>
      </c>
      <c r="D6260" s="5">
        <v>0.1</v>
      </c>
      <c r="E6260" s="5">
        <v>102.2</v>
      </c>
      <c r="F6260" s="5">
        <v>204.2</v>
      </c>
      <c r="G6260" s="5">
        <v>101.8</v>
      </c>
      <c r="H6260" s="5">
        <v>101.7</v>
      </c>
      <c r="I6260" s="5">
        <v>0</v>
      </c>
      <c r="J6260" s="5">
        <v>0</v>
      </c>
      <c r="K6260" s="5">
        <v>0</v>
      </c>
    </row>
    <row r="6261" spans="1:11" x14ac:dyDescent="0.25">
      <c r="A6261" s="5">
        <f>6254</f>
      </c>
      <c r="B6261" s="5" t="s">
        <v>6269</v>
      </c>
      <c r="C6261" s="5">
        <v>102.1</v>
      </c>
      <c r="D6261" s="5">
        <v>0.1</v>
      </c>
      <c r="E6261" s="5">
        <v>102.2</v>
      </c>
      <c r="F6261" s="5">
        <v>204.2</v>
      </c>
      <c r="G6261" s="5">
        <v>101.8</v>
      </c>
      <c r="H6261" s="5">
        <v>101.7</v>
      </c>
      <c r="I6261" s="5">
        <v>0</v>
      </c>
      <c r="J6261" s="5">
        <v>0</v>
      </c>
      <c r="K6261" s="5">
        <v>0</v>
      </c>
    </row>
    <row r="6262" spans="1:11" x14ac:dyDescent="0.25">
      <c r="A6262" s="5">
        <f>6255</f>
      </c>
      <c r="B6262" s="5" t="s">
        <v>6270</v>
      </c>
      <c r="C6262" s="5">
        <v>101.8</v>
      </c>
      <c r="D6262" s="5">
        <v>0.1</v>
      </c>
      <c r="E6262" s="5">
        <v>102</v>
      </c>
      <c r="F6262" s="5">
        <v>203.4</v>
      </c>
      <c r="G6262" s="5">
        <v>101.5</v>
      </c>
      <c r="H6262" s="5">
        <v>101.3</v>
      </c>
      <c r="I6262" s="5">
        <v>0</v>
      </c>
      <c r="J6262" s="5">
        <v>0</v>
      </c>
      <c r="K6262" s="5">
        <v>0</v>
      </c>
    </row>
    <row r="6263" spans="1:11" x14ac:dyDescent="0.25">
      <c r="A6263" s="5">
        <f>6256</f>
      </c>
      <c r="B6263" s="5" t="s">
        <v>6271</v>
      </c>
      <c r="C6263" s="5">
        <v>101.8</v>
      </c>
      <c r="D6263" s="5">
        <v>0.1</v>
      </c>
      <c r="E6263" s="5">
        <v>102</v>
      </c>
      <c r="F6263" s="5">
        <v>203.4</v>
      </c>
      <c r="G6263" s="5">
        <v>101.5</v>
      </c>
      <c r="H6263" s="5">
        <v>101.3</v>
      </c>
      <c r="I6263" s="5">
        <v>0</v>
      </c>
      <c r="J6263" s="5">
        <v>0</v>
      </c>
      <c r="K6263" s="5">
        <v>0</v>
      </c>
    </row>
    <row r="6264" spans="1:11" x14ac:dyDescent="0.25">
      <c r="A6264" s="5">
        <f>6257</f>
      </c>
      <c r="B6264" s="5" t="s">
        <v>6272</v>
      </c>
      <c r="C6264" s="5">
        <v>101.8</v>
      </c>
      <c r="D6264" s="5">
        <v>0.1</v>
      </c>
      <c r="E6264" s="5">
        <v>102</v>
      </c>
      <c r="F6264" s="5">
        <v>203.4</v>
      </c>
      <c r="G6264" s="5">
        <v>101.5</v>
      </c>
      <c r="H6264" s="5">
        <v>101.3</v>
      </c>
      <c r="I6264" s="5">
        <v>0</v>
      </c>
      <c r="J6264" s="5">
        <v>0</v>
      </c>
      <c r="K6264" s="5">
        <v>0</v>
      </c>
    </row>
    <row r="6265" spans="1:11" x14ac:dyDescent="0.25">
      <c r="A6265" s="5">
        <f>6258</f>
      </c>
      <c r="B6265" s="5" t="s">
        <v>6273</v>
      </c>
      <c r="C6265" s="5">
        <v>101.8</v>
      </c>
      <c r="D6265" s="5">
        <v>0.1</v>
      </c>
      <c r="E6265" s="5">
        <v>102</v>
      </c>
      <c r="F6265" s="5">
        <v>203.4</v>
      </c>
      <c r="G6265" s="5">
        <v>101.5</v>
      </c>
      <c r="H6265" s="5">
        <v>101.3</v>
      </c>
      <c r="I6265" s="5">
        <v>0</v>
      </c>
      <c r="J6265" s="5">
        <v>0</v>
      </c>
      <c r="K6265" s="5">
        <v>0</v>
      </c>
    </row>
    <row r="6266" spans="1:11" x14ac:dyDescent="0.25">
      <c r="A6266" s="5">
        <f>6259</f>
      </c>
      <c r="B6266" s="5" t="s">
        <v>6274</v>
      </c>
      <c r="C6266" s="5">
        <v>101.5</v>
      </c>
      <c r="D6266" s="5">
        <v>0.1</v>
      </c>
      <c r="E6266" s="5">
        <v>101.6</v>
      </c>
      <c r="F6266" s="5">
        <v>203.1</v>
      </c>
      <c r="G6266" s="5">
        <v>101.3</v>
      </c>
      <c r="H6266" s="5">
        <v>101.2</v>
      </c>
      <c r="I6266" s="5">
        <v>0</v>
      </c>
      <c r="J6266" s="5">
        <v>0</v>
      </c>
      <c r="K6266" s="5">
        <v>0</v>
      </c>
    </row>
    <row r="6267" spans="1:11" x14ac:dyDescent="0.25">
      <c r="A6267" s="5">
        <f>6260</f>
      </c>
      <c r="B6267" s="5" t="s">
        <v>6275</v>
      </c>
      <c r="C6267" s="5">
        <v>101.5</v>
      </c>
      <c r="D6267" s="5">
        <v>0.1</v>
      </c>
      <c r="E6267" s="5">
        <v>101.6</v>
      </c>
      <c r="F6267" s="5">
        <v>203.1</v>
      </c>
      <c r="G6267" s="5">
        <v>101.3</v>
      </c>
      <c r="H6267" s="5">
        <v>101.2</v>
      </c>
      <c r="I6267" s="5">
        <v>0</v>
      </c>
      <c r="J6267" s="5">
        <v>0</v>
      </c>
      <c r="K6267" s="5">
        <v>0</v>
      </c>
    </row>
    <row r="6268" spans="1:11" x14ac:dyDescent="0.25">
      <c r="A6268" s="5">
        <f>6261</f>
      </c>
      <c r="B6268" s="5" t="s">
        <v>6276</v>
      </c>
      <c r="C6268" s="5">
        <v>101.8</v>
      </c>
      <c r="D6268" s="5">
        <v>0.1</v>
      </c>
      <c r="E6268" s="5">
        <v>101.6</v>
      </c>
      <c r="F6268" s="5">
        <v>203.1</v>
      </c>
      <c r="G6268" s="5">
        <v>101.3</v>
      </c>
      <c r="H6268" s="5">
        <v>101.2</v>
      </c>
      <c r="I6268" s="5">
        <v>0</v>
      </c>
      <c r="J6268" s="5">
        <v>0</v>
      </c>
      <c r="K6268" s="5">
        <v>0</v>
      </c>
    </row>
    <row r="6269" spans="1:11" x14ac:dyDescent="0.25">
      <c r="A6269" s="5">
        <f>6262</f>
      </c>
      <c r="B6269" s="5" t="s">
        <v>6277</v>
      </c>
      <c r="C6269" s="5">
        <v>101.8</v>
      </c>
      <c r="D6269" s="5">
        <v>0.1</v>
      </c>
      <c r="E6269" s="5">
        <v>101.8</v>
      </c>
      <c r="F6269" s="5">
        <v>203.5</v>
      </c>
      <c r="G6269" s="5">
        <v>101.6</v>
      </c>
      <c r="H6269" s="5">
        <v>101.4</v>
      </c>
      <c r="I6269" s="5">
        <v>0</v>
      </c>
      <c r="J6269" s="5">
        <v>0</v>
      </c>
      <c r="K6269" s="5">
        <v>0</v>
      </c>
    </row>
    <row r="6270" spans="1:11" x14ac:dyDescent="0.25">
      <c r="A6270" s="5">
        <f>6263</f>
      </c>
      <c r="B6270" s="5" t="s">
        <v>6278</v>
      </c>
      <c r="C6270" s="5">
        <v>102.2</v>
      </c>
      <c r="D6270" s="5">
        <v>0.1</v>
      </c>
      <c r="E6270" s="5">
        <v>101.8</v>
      </c>
      <c r="F6270" s="5">
        <v>203.5</v>
      </c>
      <c r="G6270" s="5">
        <v>101.6</v>
      </c>
      <c r="H6270" s="5">
        <v>101.4</v>
      </c>
      <c r="I6270" s="5">
        <v>0</v>
      </c>
      <c r="J6270" s="5">
        <v>0</v>
      </c>
      <c r="K6270" s="5">
        <v>0</v>
      </c>
    </row>
    <row r="6271" spans="1:11" x14ac:dyDescent="0.25">
      <c r="A6271" s="5">
        <f>6264</f>
      </c>
      <c r="B6271" s="5" t="s">
        <v>6279</v>
      </c>
      <c r="C6271" s="5">
        <v>102.2</v>
      </c>
      <c r="D6271" s="5">
        <v>0.1</v>
      </c>
      <c r="E6271" s="5">
        <v>102.4</v>
      </c>
      <c r="F6271" s="5">
        <v>204.3</v>
      </c>
      <c r="G6271" s="5">
        <v>101.9</v>
      </c>
      <c r="H6271" s="5">
        <v>101.8</v>
      </c>
      <c r="I6271" s="5">
        <v>0</v>
      </c>
      <c r="J6271" s="5">
        <v>0</v>
      </c>
      <c r="K6271" s="5">
        <v>0</v>
      </c>
    </row>
    <row r="6272" spans="1:11" x14ac:dyDescent="0.25">
      <c r="A6272" s="5">
        <f>6265</f>
      </c>
      <c r="B6272" s="5" t="s">
        <v>6280</v>
      </c>
      <c r="C6272" s="5">
        <v>102.2</v>
      </c>
      <c r="D6272" s="5">
        <v>0.1</v>
      </c>
      <c r="E6272" s="5">
        <v>102.4</v>
      </c>
      <c r="F6272" s="5">
        <v>204.3</v>
      </c>
      <c r="G6272" s="5">
        <v>101.8</v>
      </c>
      <c r="H6272" s="5">
        <v>101.7</v>
      </c>
      <c r="I6272" s="5">
        <v>0</v>
      </c>
      <c r="J6272" s="5">
        <v>0</v>
      </c>
      <c r="K6272" s="5">
        <v>0</v>
      </c>
    </row>
    <row r="6273" spans="1:11" x14ac:dyDescent="0.25">
      <c r="A6273" s="5">
        <f>6266</f>
      </c>
      <c r="B6273" s="5" t="s">
        <v>6281</v>
      </c>
      <c r="C6273" s="5">
        <v>102.1</v>
      </c>
      <c r="D6273" s="5">
        <v>0.1</v>
      </c>
      <c r="E6273" s="5">
        <v>102.1</v>
      </c>
      <c r="F6273" s="5">
        <v>204</v>
      </c>
      <c r="G6273" s="5">
        <v>101.8</v>
      </c>
      <c r="H6273" s="5">
        <v>101.7</v>
      </c>
      <c r="I6273" s="5">
        <v>0</v>
      </c>
      <c r="J6273" s="5">
        <v>0</v>
      </c>
      <c r="K6273" s="5">
        <v>0</v>
      </c>
    </row>
    <row r="6274" spans="1:11" x14ac:dyDescent="0.25">
      <c r="A6274" s="5">
        <f>6267</f>
      </c>
      <c r="B6274" s="5" t="s">
        <v>6282</v>
      </c>
      <c r="C6274" s="5">
        <v>102.1</v>
      </c>
      <c r="D6274" s="5">
        <v>0.1</v>
      </c>
      <c r="E6274" s="5">
        <v>102.1</v>
      </c>
      <c r="F6274" s="5">
        <v>204</v>
      </c>
      <c r="G6274" s="5">
        <v>101.8</v>
      </c>
      <c r="H6274" s="5">
        <v>101.7</v>
      </c>
      <c r="I6274" s="5">
        <v>0</v>
      </c>
      <c r="J6274" s="5">
        <v>0</v>
      </c>
      <c r="K6274" s="5">
        <v>0</v>
      </c>
    </row>
    <row r="6275" spans="1:11" x14ac:dyDescent="0.25">
      <c r="A6275" s="5">
        <f>6268</f>
      </c>
      <c r="B6275" s="5" t="s">
        <v>6283</v>
      </c>
      <c r="C6275" s="5">
        <v>102.1</v>
      </c>
      <c r="D6275" s="5">
        <v>0.1</v>
      </c>
      <c r="E6275" s="5">
        <v>102.1</v>
      </c>
      <c r="F6275" s="5">
        <v>204</v>
      </c>
      <c r="G6275" s="5">
        <v>101.8</v>
      </c>
      <c r="H6275" s="5">
        <v>101.7</v>
      </c>
      <c r="I6275" s="5">
        <v>0</v>
      </c>
      <c r="J6275" s="5">
        <v>0</v>
      </c>
      <c r="K6275" s="5">
        <v>0</v>
      </c>
    </row>
    <row r="6276" spans="1:11" x14ac:dyDescent="0.25">
      <c r="A6276" s="5">
        <f>6269</f>
      </c>
      <c r="B6276" s="5" t="s">
        <v>6284</v>
      </c>
      <c r="C6276" s="5">
        <v>101.9</v>
      </c>
      <c r="D6276" s="5">
        <v>0.1</v>
      </c>
      <c r="E6276" s="5">
        <v>102.1</v>
      </c>
      <c r="F6276" s="5">
        <v>203.7</v>
      </c>
      <c r="G6276" s="5">
        <v>101.6</v>
      </c>
      <c r="H6276" s="5">
        <v>101.4</v>
      </c>
      <c r="I6276" s="5">
        <v>0</v>
      </c>
      <c r="J6276" s="5">
        <v>0</v>
      </c>
      <c r="K6276" s="5">
        <v>0</v>
      </c>
    </row>
    <row r="6277" spans="1:11" x14ac:dyDescent="0.25">
      <c r="A6277" s="5">
        <f>6270</f>
      </c>
      <c r="B6277" s="5" t="s">
        <v>6285</v>
      </c>
      <c r="C6277" s="5">
        <v>101.9</v>
      </c>
      <c r="D6277" s="5">
        <v>0.1</v>
      </c>
      <c r="E6277" s="5">
        <v>102.1</v>
      </c>
      <c r="F6277" s="5">
        <v>203.7</v>
      </c>
      <c r="G6277" s="5">
        <v>101.6</v>
      </c>
      <c r="H6277" s="5">
        <v>101.4</v>
      </c>
      <c r="I6277" s="5">
        <v>0</v>
      </c>
      <c r="J6277" s="5">
        <v>0</v>
      </c>
      <c r="K6277" s="5">
        <v>0</v>
      </c>
    </row>
    <row r="6278" spans="1:11" x14ac:dyDescent="0.25">
      <c r="A6278" s="5">
        <f>6271</f>
      </c>
      <c r="B6278" s="5" t="s">
        <v>6286</v>
      </c>
      <c r="C6278" s="5">
        <v>101.9</v>
      </c>
      <c r="D6278" s="5">
        <v>0.1</v>
      </c>
      <c r="E6278" s="5">
        <v>102.1</v>
      </c>
      <c r="F6278" s="5">
        <v>203.7</v>
      </c>
      <c r="G6278" s="5">
        <v>101.7</v>
      </c>
      <c r="H6278" s="5">
        <v>101.5</v>
      </c>
      <c r="I6278" s="5">
        <v>0</v>
      </c>
      <c r="J6278" s="5">
        <v>0</v>
      </c>
      <c r="K6278" s="5">
        <v>0</v>
      </c>
    </row>
    <row r="6279" spans="1:11" x14ac:dyDescent="0.25">
      <c r="A6279" s="5">
        <f>6272</f>
      </c>
      <c r="B6279" s="5" t="s">
        <v>6287</v>
      </c>
      <c r="C6279" s="5">
        <v>101.9</v>
      </c>
      <c r="D6279" s="5">
        <v>0.1</v>
      </c>
      <c r="E6279" s="5">
        <v>102.1</v>
      </c>
      <c r="F6279" s="5">
        <v>203.7</v>
      </c>
      <c r="G6279" s="5">
        <v>101.7</v>
      </c>
      <c r="H6279" s="5">
        <v>101.5</v>
      </c>
      <c r="I6279" s="5">
        <v>0</v>
      </c>
      <c r="J6279" s="5">
        <v>0</v>
      </c>
      <c r="K6279" s="5">
        <v>0</v>
      </c>
    </row>
    <row r="6280" spans="1:11" x14ac:dyDescent="0.25">
      <c r="A6280" s="5">
        <f>6273</f>
      </c>
      <c r="B6280" s="5" t="s">
        <v>6288</v>
      </c>
      <c r="C6280" s="5">
        <v>101.7</v>
      </c>
      <c r="D6280" s="5">
        <v>0.1</v>
      </c>
      <c r="E6280" s="5">
        <v>101.8</v>
      </c>
      <c r="F6280" s="5">
        <v>202.8</v>
      </c>
      <c r="G6280" s="5">
        <v>101.2</v>
      </c>
      <c r="H6280" s="5">
        <v>101</v>
      </c>
      <c r="I6280" s="5">
        <v>0</v>
      </c>
      <c r="J6280" s="5">
        <v>0</v>
      </c>
      <c r="K6280" s="5">
        <v>0</v>
      </c>
    </row>
    <row r="6281" spans="1:11" x14ac:dyDescent="0.25">
      <c r="A6281" s="5">
        <f>6274</f>
      </c>
      <c r="B6281" s="5" t="s">
        <v>6289</v>
      </c>
      <c r="C6281" s="5">
        <v>101.7</v>
      </c>
      <c r="D6281" s="5">
        <v>0.1</v>
      </c>
      <c r="E6281" s="5">
        <v>101.8</v>
      </c>
      <c r="F6281" s="5">
        <v>202.8</v>
      </c>
      <c r="G6281" s="5">
        <v>101.2</v>
      </c>
      <c r="H6281" s="5">
        <v>101</v>
      </c>
      <c r="I6281" s="5">
        <v>0</v>
      </c>
      <c r="J6281" s="5">
        <v>0</v>
      </c>
      <c r="K6281" s="5">
        <v>0</v>
      </c>
    </row>
    <row r="6282" spans="1:11" x14ac:dyDescent="0.25">
      <c r="A6282" s="5">
        <f>6275</f>
      </c>
      <c r="B6282" s="5" t="s">
        <v>6290</v>
      </c>
      <c r="C6282" s="5">
        <v>101.7</v>
      </c>
      <c r="D6282" s="5">
        <v>0.1</v>
      </c>
      <c r="E6282" s="5">
        <v>101.8</v>
      </c>
      <c r="F6282" s="5">
        <v>202.8</v>
      </c>
      <c r="G6282" s="5">
        <v>101.2</v>
      </c>
      <c r="H6282" s="5">
        <v>101</v>
      </c>
      <c r="I6282" s="5">
        <v>0</v>
      </c>
      <c r="J6282" s="5">
        <v>0</v>
      </c>
      <c r="K6282" s="5">
        <v>0</v>
      </c>
    </row>
    <row r="6283" spans="1:11" x14ac:dyDescent="0.25">
      <c r="A6283" s="5">
        <f>6276</f>
      </c>
      <c r="B6283" s="5" t="s">
        <v>6291</v>
      </c>
      <c r="C6283" s="5">
        <v>101.7</v>
      </c>
      <c r="D6283" s="5">
        <v>0.1</v>
      </c>
      <c r="E6283" s="5">
        <v>101.8</v>
      </c>
      <c r="F6283" s="5">
        <v>202.8</v>
      </c>
      <c r="G6283" s="5">
        <v>101.2</v>
      </c>
      <c r="H6283" s="5">
        <v>101</v>
      </c>
      <c r="I6283" s="5">
        <v>0</v>
      </c>
      <c r="J6283" s="5">
        <v>0</v>
      </c>
      <c r="K6283" s="5">
        <v>0</v>
      </c>
    </row>
    <row r="6284" spans="1:11" x14ac:dyDescent="0.25">
      <c r="A6284" s="5">
        <f>6277</f>
      </c>
      <c r="B6284" s="5" t="s">
        <v>6292</v>
      </c>
      <c r="C6284" s="5">
        <v>101.9</v>
      </c>
      <c r="D6284" s="5">
        <v>0.1</v>
      </c>
      <c r="E6284" s="5">
        <v>102.1</v>
      </c>
      <c r="F6284" s="5">
        <v>203.2</v>
      </c>
      <c r="G6284" s="5">
        <v>101.4</v>
      </c>
      <c r="H6284" s="5">
        <v>101.2</v>
      </c>
      <c r="I6284" s="5">
        <v>0</v>
      </c>
      <c r="J6284" s="5">
        <v>0</v>
      </c>
      <c r="K6284" s="5">
        <v>0</v>
      </c>
    </row>
    <row r="6285" spans="1:11" x14ac:dyDescent="0.25">
      <c r="A6285" s="5">
        <f>6278</f>
      </c>
      <c r="B6285" s="5" t="s">
        <v>6293</v>
      </c>
      <c r="C6285" s="5">
        <v>101.9</v>
      </c>
      <c r="D6285" s="5">
        <v>0.1</v>
      </c>
      <c r="E6285" s="5">
        <v>102.1</v>
      </c>
      <c r="F6285" s="5">
        <v>203.2</v>
      </c>
      <c r="G6285" s="5">
        <v>101.4</v>
      </c>
      <c r="H6285" s="5">
        <v>101.2</v>
      </c>
      <c r="I6285" s="5">
        <v>0</v>
      </c>
      <c r="J6285" s="5">
        <v>0</v>
      </c>
      <c r="K6285" s="5">
        <v>0</v>
      </c>
    </row>
    <row r="6286" spans="1:11" x14ac:dyDescent="0.25">
      <c r="A6286" s="5">
        <f>6279</f>
      </c>
      <c r="B6286" s="5" t="s">
        <v>6294</v>
      </c>
      <c r="C6286" s="5">
        <v>102.1</v>
      </c>
      <c r="D6286" s="5">
        <v>0.1</v>
      </c>
      <c r="E6286" s="5">
        <v>102.2</v>
      </c>
      <c r="F6286" s="5">
        <v>204</v>
      </c>
      <c r="G6286" s="5">
        <v>101.8</v>
      </c>
      <c r="H6286" s="5">
        <v>101.6</v>
      </c>
      <c r="I6286" s="5">
        <v>0</v>
      </c>
      <c r="J6286" s="5">
        <v>0</v>
      </c>
      <c r="K6286" s="5">
        <v>0</v>
      </c>
    </row>
    <row r="6287" spans="1:11" x14ac:dyDescent="0.25">
      <c r="A6287" s="5">
        <f>6280</f>
      </c>
      <c r="B6287" s="5" t="s">
        <v>6295</v>
      </c>
      <c r="C6287" s="5">
        <v>102.1</v>
      </c>
      <c r="D6287" s="5">
        <v>0.1</v>
      </c>
      <c r="E6287" s="5">
        <v>102.2</v>
      </c>
      <c r="F6287" s="5">
        <v>204</v>
      </c>
      <c r="G6287" s="5">
        <v>101.8</v>
      </c>
      <c r="H6287" s="5">
        <v>101.6</v>
      </c>
      <c r="I6287" s="5">
        <v>0</v>
      </c>
      <c r="J6287" s="5">
        <v>0</v>
      </c>
      <c r="K6287" s="5">
        <v>0</v>
      </c>
    </row>
    <row r="6288" spans="1:11" x14ac:dyDescent="0.25">
      <c r="A6288" s="5">
        <f>6281</f>
      </c>
      <c r="B6288" s="5" t="s">
        <v>6296</v>
      </c>
      <c r="C6288" s="5">
        <v>101.5</v>
      </c>
      <c r="D6288" s="5">
        <v>0.1</v>
      </c>
      <c r="E6288" s="5">
        <v>101.6</v>
      </c>
      <c r="F6288" s="5">
        <v>203.3</v>
      </c>
      <c r="G6288" s="5">
        <v>101.4</v>
      </c>
      <c r="H6288" s="5">
        <v>101.3</v>
      </c>
      <c r="I6288" s="5">
        <v>0</v>
      </c>
      <c r="J6288" s="5">
        <v>0</v>
      </c>
      <c r="K6288" s="5">
        <v>0</v>
      </c>
    </row>
    <row r="6289" spans="1:11" x14ac:dyDescent="0.25">
      <c r="A6289" s="5">
        <f>6282</f>
      </c>
      <c r="B6289" s="5" t="s">
        <v>6297</v>
      </c>
      <c r="C6289" s="5">
        <v>101.5</v>
      </c>
      <c r="D6289" s="5">
        <v>0.1</v>
      </c>
      <c r="E6289" s="5">
        <v>101.6</v>
      </c>
      <c r="F6289" s="5">
        <v>203.3</v>
      </c>
      <c r="G6289" s="5">
        <v>101.4</v>
      </c>
      <c r="H6289" s="5">
        <v>101.3</v>
      </c>
      <c r="I6289" s="5">
        <v>0</v>
      </c>
      <c r="J6289" s="5">
        <v>0</v>
      </c>
      <c r="K6289" s="5">
        <v>0</v>
      </c>
    </row>
    <row r="6290" spans="1:11" x14ac:dyDescent="0.25">
      <c r="A6290" s="5">
        <f>6283</f>
      </c>
      <c r="B6290" s="5" t="s">
        <v>6298</v>
      </c>
      <c r="C6290" s="5">
        <v>101.2</v>
      </c>
      <c r="D6290" s="5">
        <v>0.1</v>
      </c>
      <c r="E6290" s="5">
        <v>101.4</v>
      </c>
      <c r="F6290" s="5">
        <v>202.3</v>
      </c>
      <c r="G6290" s="5">
        <v>101</v>
      </c>
      <c r="H6290" s="5">
        <v>100.8</v>
      </c>
      <c r="I6290" s="5">
        <v>0</v>
      </c>
      <c r="J6290" s="5">
        <v>0</v>
      </c>
      <c r="K6290" s="5">
        <v>0</v>
      </c>
    </row>
    <row r="6291" spans="1:11" x14ac:dyDescent="0.25">
      <c r="A6291" s="5">
        <f>6284</f>
      </c>
      <c r="B6291" s="5" t="s">
        <v>6299</v>
      </c>
      <c r="C6291" s="5">
        <v>101.2</v>
      </c>
      <c r="D6291" s="5">
        <v>0.1</v>
      </c>
      <c r="E6291" s="5">
        <v>101.4</v>
      </c>
      <c r="F6291" s="5">
        <v>202.3</v>
      </c>
      <c r="G6291" s="5">
        <v>101</v>
      </c>
      <c r="H6291" s="5">
        <v>100.8</v>
      </c>
      <c r="I6291" s="5">
        <v>0</v>
      </c>
      <c r="J6291" s="5">
        <v>0</v>
      </c>
      <c r="K6291" s="5">
        <v>0</v>
      </c>
    </row>
    <row r="6292" spans="1:11" x14ac:dyDescent="0.25">
      <c r="A6292" s="5">
        <f>6285</f>
      </c>
      <c r="B6292" s="5" t="s">
        <v>6300</v>
      </c>
      <c r="C6292" s="5">
        <v>101.2</v>
      </c>
      <c r="D6292" s="5">
        <v>0.1</v>
      </c>
      <c r="E6292" s="5">
        <v>101.4</v>
      </c>
      <c r="F6292" s="5">
        <v>202.3</v>
      </c>
      <c r="G6292" s="5">
        <v>101</v>
      </c>
      <c r="H6292" s="5">
        <v>100.8</v>
      </c>
      <c r="I6292" s="5">
        <v>0</v>
      </c>
      <c r="J6292" s="5">
        <v>0</v>
      </c>
      <c r="K6292" s="5">
        <v>0</v>
      </c>
    </row>
    <row r="6293" spans="1:11" x14ac:dyDescent="0.25">
      <c r="A6293" s="5">
        <f>6286</f>
      </c>
      <c r="B6293" s="5" t="s">
        <v>6301</v>
      </c>
      <c r="C6293" s="5">
        <v>101.2</v>
      </c>
      <c r="D6293" s="5">
        <v>0.1</v>
      </c>
      <c r="E6293" s="5">
        <v>101.4</v>
      </c>
      <c r="F6293" s="5">
        <v>202.3</v>
      </c>
      <c r="G6293" s="5">
        <v>101</v>
      </c>
      <c r="H6293" s="5">
        <v>100.8</v>
      </c>
      <c r="I6293" s="5">
        <v>0</v>
      </c>
      <c r="J6293" s="5">
        <v>0</v>
      </c>
      <c r="K6293" s="5">
        <v>0</v>
      </c>
    </row>
    <row r="6294" spans="1:11" x14ac:dyDescent="0.25">
      <c r="A6294" s="5">
        <f>6287</f>
      </c>
      <c r="B6294" s="5" t="s">
        <v>6302</v>
      </c>
      <c r="C6294" s="5">
        <v>101.8</v>
      </c>
      <c r="D6294" s="5">
        <v>0.1</v>
      </c>
      <c r="E6294" s="5">
        <v>101.8</v>
      </c>
      <c r="F6294" s="5">
        <v>203.2</v>
      </c>
      <c r="G6294" s="5">
        <v>101.4</v>
      </c>
      <c r="H6294" s="5">
        <v>101.2</v>
      </c>
      <c r="I6294" s="5">
        <v>0</v>
      </c>
      <c r="J6294" s="5">
        <v>0</v>
      </c>
      <c r="K6294" s="5">
        <v>0</v>
      </c>
    </row>
    <row r="6295" spans="1:11" x14ac:dyDescent="0.25">
      <c r="A6295" s="5">
        <f>6288</f>
      </c>
      <c r="B6295" s="5" t="s">
        <v>6303</v>
      </c>
      <c r="C6295" s="5">
        <v>101.8</v>
      </c>
      <c r="D6295" s="5">
        <v>0.1</v>
      </c>
      <c r="E6295" s="5">
        <v>101.8</v>
      </c>
      <c r="F6295" s="5">
        <v>203.2</v>
      </c>
      <c r="G6295" s="5">
        <v>101.4</v>
      </c>
      <c r="H6295" s="5">
        <v>101.2</v>
      </c>
      <c r="I6295" s="5">
        <v>0</v>
      </c>
      <c r="J6295" s="5">
        <v>0</v>
      </c>
      <c r="K6295" s="5">
        <v>0</v>
      </c>
    </row>
    <row r="6296" spans="1:11" x14ac:dyDescent="0.25">
      <c r="A6296" s="5">
        <f>6289</f>
      </c>
      <c r="B6296" s="5" t="s">
        <v>6304</v>
      </c>
      <c r="C6296" s="5">
        <v>101.5</v>
      </c>
      <c r="D6296" s="5">
        <v>0.1</v>
      </c>
      <c r="E6296" s="5">
        <v>101.7</v>
      </c>
      <c r="F6296" s="5">
        <v>203.6</v>
      </c>
      <c r="G6296" s="5">
        <v>101.6</v>
      </c>
      <c r="H6296" s="5">
        <v>101.4</v>
      </c>
      <c r="I6296" s="5">
        <v>0</v>
      </c>
      <c r="J6296" s="5">
        <v>0</v>
      </c>
      <c r="K6296" s="5">
        <v>0</v>
      </c>
    </row>
    <row r="6297" spans="1:11" x14ac:dyDescent="0.25">
      <c r="A6297" s="5">
        <f>6290</f>
      </c>
      <c r="B6297" s="5" t="s">
        <v>6305</v>
      </c>
      <c r="C6297" s="5">
        <v>101.5</v>
      </c>
      <c r="D6297" s="5">
        <v>0.1</v>
      </c>
      <c r="E6297" s="5">
        <v>101.7</v>
      </c>
      <c r="F6297" s="5">
        <v>203.6</v>
      </c>
      <c r="G6297" s="5">
        <v>101.6</v>
      </c>
      <c r="H6297" s="5">
        <v>101.4</v>
      </c>
      <c r="I6297" s="5">
        <v>0</v>
      </c>
      <c r="J6297" s="5">
        <v>0</v>
      </c>
      <c r="K6297" s="5">
        <v>0</v>
      </c>
    </row>
    <row r="6298" spans="1:11" x14ac:dyDescent="0.25">
      <c r="A6298" s="5">
        <f>6291</f>
      </c>
      <c r="B6298" s="5" t="s">
        <v>6306</v>
      </c>
      <c r="C6298" s="5">
        <v>101.8</v>
      </c>
      <c r="D6298" s="5">
        <v>0</v>
      </c>
      <c r="E6298" s="5">
        <v>0</v>
      </c>
      <c r="F6298" s="5">
        <v>0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</row>
    <row r="6299" spans="1:11" x14ac:dyDescent="0.25">
      <c r="A6299" s="5">
        <f>6292</f>
      </c>
      <c r="B6299" s="5" t="s">
        <v>6307</v>
      </c>
      <c r="C6299" s="5">
        <v>101.8</v>
      </c>
      <c r="D6299" s="5">
        <v>0.1</v>
      </c>
      <c r="E6299" s="5">
        <v>101.9</v>
      </c>
      <c r="F6299" s="5">
        <v>202.3</v>
      </c>
      <c r="G6299" s="5">
        <v>100.9</v>
      </c>
      <c r="H6299" s="5">
        <v>100.8</v>
      </c>
      <c r="I6299" s="5">
        <v>0</v>
      </c>
      <c r="J6299" s="5">
        <v>0</v>
      </c>
      <c r="K6299" s="5">
        <v>0</v>
      </c>
    </row>
    <row r="6300" spans="1:11" x14ac:dyDescent="0.25">
      <c r="A6300" s="5">
        <f>6293</f>
      </c>
      <c r="B6300" s="5" t="s">
        <v>6308</v>
      </c>
      <c r="C6300" s="5">
        <v>101.8</v>
      </c>
      <c r="D6300" s="5">
        <v>0.1</v>
      </c>
      <c r="E6300" s="5">
        <v>101.9</v>
      </c>
      <c r="F6300" s="5">
        <v>202.3</v>
      </c>
      <c r="G6300" s="5">
        <v>100.9</v>
      </c>
      <c r="H6300" s="5">
        <v>100.8</v>
      </c>
      <c r="I6300" s="5">
        <v>0</v>
      </c>
      <c r="J6300" s="5">
        <v>0</v>
      </c>
      <c r="K6300" s="5">
        <v>0</v>
      </c>
    </row>
    <row r="6301" spans="1:11" x14ac:dyDescent="0.25">
      <c r="A6301" s="5">
        <f>6294</f>
      </c>
      <c r="B6301" s="5" t="s">
        <v>6309</v>
      </c>
      <c r="C6301" s="5">
        <v>101.8</v>
      </c>
      <c r="D6301" s="5">
        <v>0.1</v>
      </c>
      <c r="E6301" s="5">
        <v>101.9</v>
      </c>
      <c r="F6301" s="5">
        <v>202.3</v>
      </c>
      <c r="G6301" s="5">
        <v>100.9</v>
      </c>
      <c r="H6301" s="5">
        <v>100.8</v>
      </c>
      <c r="I6301" s="5">
        <v>0</v>
      </c>
      <c r="J6301" s="5">
        <v>0</v>
      </c>
      <c r="K6301" s="5">
        <v>0</v>
      </c>
    </row>
    <row r="6302" spans="1:11" x14ac:dyDescent="0.25">
      <c r="A6302" s="5">
        <f>6295</f>
      </c>
      <c r="B6302" s="5" t="s">
        <v>6310</v>
      </c>
      <c r="C6302" s="5">
        <v>102.1</v>
      </c>
      <c r="D6302" s="5">
        <v>0.1</v>
      </c>
      <c r="E6302" s="5">
        <v>102.2</v>
      </c>
      <c r="F6302" s="5">
        <v>203.4</v>
      </c>
      <c r="G6302" s="5">
        <v>101.5</v>
      </c>
      <c r="H6302" s="5">
        <v>101.4</v>
      </c>
      <c r="I6302" s="5">
        <v>0</v>
      </c>
      <c r="J6302" s="5">
        <v>0</v>
      </c>
      <c r="K6302" s="5">
        <v>0</v>
      </c>
    </row>
    <row r="6303" spans="1:11" x14ac:dyDescent="0.25">
      <c r="A6303" s="5">
        <f>6296</f>
      </c>
      <c r="B6303" s="5" t="s">
        <v>6311</v>
      </c>
      <c r="C6303" s="5">
        <v>102.1</v>
      </c>
      <c r="D6303" s="5">
        <v>0.1</v>
      </c>
      <c r="E6303" s="5">
        <v>102.2</v>
      </c>
      <c r="F6303" s="5">
        <v>203.4</v>
      </c>
      <c r="G6303" s="5">
        <v>101.5</v>
      </c>
      <c r="H6303" s="5">
        <v>101.4</v>
      </c>
      <c r="I6303" s="5">
        <v>0</v>
      </c>
      <c r="J6303" s="5">
        <v>0</v>
      </c>
      <c r="K6303" s="5">
        <v>0</v>
      </c>
    </row>
    <row r="6304" spans="1:11" x14ac:dyDescent="0.25">
      <c r="A6304" s="5">
        <f>6297</f>
      </c>
      <c r="B6304" s="5" t="s">
        <v>6312</v>
      </c>
      <c r="C6304" s="5">
        <v>100.9</v>
      </c>
      <c r="D6304" s="5">
        <v>0.1</v>
      </c>
      <c r="E6304" s="5">
        <v>101.1</v>
      </c>
      <c r="F6304" s="5">
        <v>201.6</v>
      </c>
      <c r="G6304" s="5">
        <v>100.6</v>
      </c>
      <c r="H6304" s="5">
        <v>100.5</v>
      </c>
      <c r="I6304" s="5">
        <v>0</v>
      </c>
      <c r="J6304" s="5">
        <v>0</v>
      </c>
      <c r="K6304" s="5">
        <v>0</v>
      </c>
    </row>
    <row r="6305" spans="1:11" x14ac:dyDescent="0.25">
      <c r="A6305" s="5">
        <f>6298</f>
      </c>
      <c r="B6305" s="5" t="s">
        <v>6313</v>
      </c>
      <c r="C6305" s="5">
        <v>100.9</v>
      </c>
      <c r="D6305" s="5">
        <v>0.1</v>
      </c>
      <c r="E6305" s="5">
        <v>101.1</v>
      </c>
      <c r="F6305" s="5">
        <v>201.6</v>
      </c>
      <c r="G6305" s="5">
        <v>100.6</v>
      </c>
      <c r="H6305" s="5">
        <v>100.5</v>
      </c>
      <c r="I6305" s="5">
        <v>0</v>
      </c>
      <c r="J6305" s="5">
        <v>0</v>
      </c>
      <c r="K6305" s="5">
        <v>0</v>
      </c>
    </row>
    <row r="6306" spans="1:11" x14ac:dyDescent="0.25">
      <c r="A6306" s="5">
        <f>6299</f>
      </c>
      <c r="B6306" s="5" t="s">
        <v>6314</v>
      </c>
      <c r="C6306" s="5">
        <v>101.7</v>
      </c>
      <c r="D6306" s="5">
        <v>0.1</v>
      </c>
      <c r="E6306" s="5">
        <v>101.8</v>
      </c>
      <c r="F6306" s="5">
        <v>202</v>
      </c>
      <c r="G6306" s="5">
        <v>100.8</v>
      </c>
      <c r="H6306" s="5">
        <v>100.7</v>
      </c>
      <c r="I6306" s="5">
        <v>0</v>
      </c>
      <c r="J6306" s="5">
        <v>0</v>
      </c>
      <c r="K6306" s="5">
        <v>0</v>
      </c>
    </row>
    <row r="6307" spans="1:11" x14ac:dyDescent="0.25">
      <c r="A6307" s="5">
        <f>6300</f>
      </c>
      <c r="B6307" s="5" t="s">
        <v>6315</v>
      </c>
      <c r="C6307" s="5">
        <v>101.7</v>
      </c>
      <c r="D6307" s="5">
        <v>0.1</v>
      </c>
      <c r="E6307" s="5">
        <v>101.8</v>
      </c>
      <c r="F6307" s="5">
        <v>202</v>
      </c>
      <c r="G6307" s="5">
        <v>100.8</v>
      </c>
      <c r="H6307" s="5">
        <v>100.7</v>
      </c>
      <c r="I6307" s="5">
        <v>0</v>
      </c>
      <c r="J6307" s="5">
        <v>0</v>
      </c>
      <c r="K6307" s="5">
        <v>0</v>
      </c>
    </row>
    <row r="6308" spans="1:11" x14ac:dyDescent="0.25">
      <c r="A6308" s="5">
        <f>6301</f>
      </c>
      <c r="B6308" s="5" t="s">
        <v>6316</v>
      </c>
      <c r="C6308" s="5">
        <v>102.1</v>
      </c>
      <c r="D6308" s="5">
        <v>0.1</v>
      </c>
      <c r="E6308" s="5">
        <v>102.2</v>
      </c>
      <c r="F6308" s="5">
        <v>203.6</v>
      </c>
      <c r="G6308" s="5">
        <v>101.5</v>
      </c>
      <c r="H6308" s="5">
        <v>101.4</v>
      </c>
      <c r="I6308" s="5">
        <v>0</v>
      </c>
      <c r="J6308" s="5">
        <v>0</v>
      </c>
      <c r="K6308" s="5">
        <v>0</v>
      </c>
    </row>
    <row r="6309" spans="1:11" x14ac:dyDescent="0.25">
      <c r="A6309" s="5">
        <f>6302</f>
      </c>
      <c r="B6309" s="5" t="s">
        <v>6317</v>
      </c>
      <c r="C6309" s="5">
        <v>102.1</v>
      </c>
      <c r="D6309" s="5">
        <v>0.1</v>
      </c>
      <c r="E6309" s="5">
        <v>102.2</v>
      </c>
      <c r="F6309" s="5">
        <v>203.6</v>
      </c>
      <c r="G6309" s="5">
        <v>101.5</v>
      </c>
      <c r="H6309" s="5">
        <v>101.4</v>
      </c>
      <c r="I6309" s="5">
        <v>0</v>
      </c>
      <c r="J6309" s="5">
        <v>0</v>
      </c>
      <c r="K6309" s="5">
        <v>0</v>
      </c>
    </row>
    <row r="6310" spans="1:11" x14ac:dyDescent="0.25">
      <c r="A6310" s="5">
        <f>6303</f>
      </c>
      <c r="B6310" s="5" t="s">
        <v>6318</v>
      </c>
      <c r="C6310" s="5">
        <v>102.1</v>
      </c>
      <c r="D6310" s="5">
        <v>0.1</v>
      </c>
      <c r="E6310" s="5">
        <v>102.2</v>
      </c>
      <c r="F6310" s="5">
        <v>203.6</v>
      </c>
      <c r="G6310" s="5">
        <v>101.5</v>
      </c>
      <c r="H6310" s="5">
        <v>101.4</v>
      </c>
      <c r="I6310" s="5">
        <v>0</v>
      </c>
      <c r="J6310" s="5">
        <v>0</v>
      </c>
      <c r="K6310" s="5">
        <v>0</v>
      </c>
    </row>
    <row r="6311" spans="1:11" x14ac:dyDescent="0.25">
      <c r="A6311" s="5">
        <f>6304</f>
      </c>
      <c r="B6311" s="5" t="s">
        <v>6319</v>
      </c>
      <c r="C6311" s="5">
        <v>102.1</v>
      </c>
      <c r="D6311" s="5">
        <v>0.1</v>
      </c>
      <c r="E6311" s="5">
        <v>102.2</v>
      </c>
      <c r="F6311" s="5">
        <v>203.6</v>
      </c>
      <c r="G6311" s="5">
        <v>101.5</v>
      </c>
      <c r="H6311" s="5">
        <v>101.4</v>
      </c>
      <c r="I6311" s="5">
        <v>0</v>
      </c>
      <c r="J6311" s="5">
        <v>0</v>
      </c>
      <c r="K6311" s="5">
        <v>0</v>
      </c>
    </row>
    <row r="6312" spans="1:11" x14ac:dyDescent="0.25">
      <c r="A6312" s="5">
        <f>6305</f>
      </c>
      <c r="B6312" s="5" t="s">
        <v>6320</v>
      </c>
      <c r="C6312" s="5">
        <v>102.1</v>
      </c>
      <c r="D6312" s="5">
        <v>0.1</v>
      </c>
      <c r="E6312" s="5">
        <v>102.2</v>
      </c>
      <c r="F6312" s="5">
        <v>203.7</v>
      </c>
      <c r="G6312" s="5">
        <v>101.6</v>
      </c>
      <c r="H6312" s="5">
        <v>101.4</v>
      </c>
      <c r="I6312" s="5">
        <v>0</v>
      </c>
      <c r="J6312" s="5">
        <v>0</v>
      </c>
      <c r="K6312" s="5">
        <v>0</v>
      </c>
    </row>
    <row r="6313" spans="1:11" x14ac:dyDescent="0.25">
      <c r="A6313" s="5">
        <f>6306</f>
      </c>
      <c r="B6313" s="5" t="s">
        <v>6321</v>
      </c>
      <c r="C6313" s="5">
        <v>102.1</v>
      </c>
      <c r="D6313" s="5">
        <v>0.1</v>
      </c>
      <c r="E6313" s="5">
        <v>102.2</v>
      </c>
      <c r="F6313" s="5">
        <v>203.7</v>
      </c>
      <c r="G6313" s="5">
        <v>101.6</v>
      </c>
      <c r="H6313" s="5">
        <v>101.4</v>
      </c>
      <c r="I6313" s="5">
        <v>0</v>
      </c>
      <c r="J6313" s="5">
        <v>0</v>
      </c>
      <c r="K6313" s="5">
        <v>0</v>
      </c>
    </row>
    <row r="6314" spans="1:11" x14ac:dyDescent="0.25">
      <c r="A6314" s="5">
        <f>6307</f>
      </c>
      <c r="B6314" s="5" t="s">
        <v>6322</v>
      </c>
      <c r="C6314" s="5">
        <v>101.6</v>
      </c>
      <c r="D6314" s="5">
        <v>0.1</v>
      </c>
      <c r="E6314" s="5">
        <v>101.8</v>
      </c>
      <c r="F6314" s="5">
        <v>203.4</v>
      </c>
      <c r="G6314" s="5">
        <v>101.5</v>
      </c>
      <c r="H6314" s="5">
        <v>101.4</v>
      </c>
      <c r="I6314" s="5">
        <v>0</v>
      </c>
      <c r="J6314" s="5">
        <v>0</v>
      </c>
      <c r="K6314" s="5">
        <v>0</v>
      </c>
    </row>
    <row r="6315" spans="1:11" x14ac:dyDescent="0.25">
      <c r="A6315" s="5">
        <f>6308</f>
      </c>
      <c r="B6315" s="5" t="s">
        <v>6323</v>
      </c>
      <c r="C6315" s="5">
        <v>101.6</v>
      </c>
      <c r="D6315" s="5">
        <v>0.1</v>
      </c>
      <c r="E6315" s="5">
        <v>101.8</v>
      </c>
      <c r="F6315" s="5">
        <v>203.4</v>
      </c>
      <c r="G6315" s="5">
        <v>101.5</v>
      </c>
      <c r="H6315" s="5">
        <v>101.4</v>
      </c>
      <c r="I6315" s="5">
        <v>0</v>
      </c>
      <c r="J6315" s="5">
        <v>0</v>
      </c>
      <c r="K6315" s="5">
        <v>0</v>
      </c>
    </row>
    <row r="6316" spans="1:11" x14ac:dyDescent="0.25">
      <c r="A6316" s="5">
        <f>6309</f>
      </c>
      <c r="B6316" s="5" t="s">
        <v>6324</v>
      </c>
      <c r="C6316" s="5">
        <v>101.1</v>
      </c>
      <c r="D6316" s="5">
        <v>0.1</v>
      </c>
      <c r="E6316" s="5">
        <v>101.2</v>
      </c>
      <c r="F6316" s="5">
        <v>202.7</v>
      </c>
      <c r="G6316" s="5">
        <v>101.2</v>
      </c>
      <c r="H6316" s="5">
        <v>101.1</v>
      </c>
      <c r="I6316" s="5">
        <v>0</v>
      </c>
      <c r="J6316" s="5">
        <v>0</v>
      </c>
      <c r="K6316" s="5">
        <v>0</v>
      </c>
    </row>
    <row r="6317" spans="1:11" x14ac:dyDescent="0.25">
      <c r="A6317" s="5">
        <f>6310</f>
      </c>
      <c r="B6317" s="5" t="s">
        <v>6325</v>
      </c>
      <c r="C6317" s="5">
        <v>101.1</v>
      </c>
      <c r="D6317" s="5">
        <v>0.1</v>
      </c>
      <c r="E6317" s="5">
        <v>101.2</v>
      </c>
      <c r="F6317" s="5">
        <v>202.7</v>
      </c>
      <c r="G6317" s="5">
        <v>101.2</v>
      </c>
      <c r="H6317" s="5">
        <v>101.1</v>
      </c>
      <c r="I6317" s="5">
        <v>0</v>
      </c>
      <c r="J6317" s="5">
        <v>0</v>
      </c>
      <c r="K6317" s="5">
        <v>0</v>
      </c>
    </row>
    <row r="6318" spans="1:11" x14ac:dyDescent="0.25">
      <c r="A6318" s="5">
        <f>6311</f>
      </c>
      <c r="B6318" s="5" t="s">
        <v>6326</v>
      </c>
      <c r="C6318" s="5">
        <v>101.8</v>
      </c>
      <c r="D6318" s="5">
        <v>0.1</v>
      </c>
      <c r="E6318" s="5">
        <v>101.9</v>
      </c>
      <c r="F6318" s="5">
        <v>203</v>
      </c>
      <c r="G6318" s="5">
        <v>101.3</v>
      </c>
      <c r="H6318" s="5">
        <v>101.2</v>
      </c>
      <c r="I6318" s="5">
        <v>0</v>
      </c>
      <c r="J6318" s="5">
        <v>0</v>
      </c>
      <c r="K6318" s="5">
        <v>0</v>
      </c>
    </row>
    <row r="6319" spans="1:11" x14ac:dyDescent="0.25">
      <c r="A6319" s="5">
        <f>6312</f>
      </c>
      <c r="B6319" s="5" t="s">
        <v>6327</v>
      </c>
      <c r="C6319" s="5">
        <v>101.8</v>
      </c>
      <c r="D6319" s="5">
        <v>0.1</v>
      </c>
      <c r="E6319" s="5">
        <v>101.9</v>
      </c>
      <c r="F6319" s="5">
        <v>203</v>
      </c>
      <c r="G6319" s="5">
        <v>101.3</v>
      </c>
      <c r="H6319" s="5">
        <v>101.2</v>
      </c>
      <c r="I6319" s="5">
        <v>0</v>
      </c>
      <c r="J6319" s="5">
        <v>0</v>
      </c>
      <c r="K6319" s="5">
        <v>0</v>
      </c>
    </row>
    <row r="6320" spans="1:11" x14ac:dyDescent="0.25">
      <c r="A6320" s="5">
        <f>6313</f>
      </c>
      <c r="B6320" s="5" t="s">
        <v>6328</v>
      </c>
      <c r="C6320" s="5">
        <v>101.8</v>
      </c>
      <c r="D6320" s="5">
        <v>0.1</v>
      </c>
      <c r="E6320" s="5">
        <v>101.9</v>
      </c>
      <c r="F6320" s="5">
        <v>203</v>
      </c>
      <c r="G6320" s="5">
        <v>101.3</v>
      </c>
      <c r="H6320" s="5">
        <v>101.2</v>
      </c>
      <c r="I6320" s="5">
        <v>0</v>
      </c>
      <c r="J6320" s="5">
        <v>0</v>
      </c>
      <c r="K6320" s="5">
        <v>0</v>
      </c>
    </row>
    <row r="6321" spans="1:11" x14ac:dyDescent="0.25">
      <c r="A6321" s="5">
        <f>6314</f>
      </c>
      <c r="B6321" s="5" t="s">
        <v>6329</v>
      </c>
      <c r="C6321" s="5">
        <v>102.1</v>
      </c>
      <c r="D6321" s="5">
        <v>0.1</v>
      </c>
      <c r="E6321" s="5">
        <v>102.3</v>
      </c>
      <c r="F6321" s="5">
        <v>203.8</v>
      </c>
      <c r="G6321" s="5">
        <v>101.6</v>
      </c>
      <c r="H6321" s="5">
        <v>101.5</v>
      </c>
      <c r="I6321" s="5">
        <v>0</v>
      </c>
      <c r="J6321" s="5">
        <v>0</v>
      </c>
      <c r="K6321" s="5">
        <v>0</v>
      </c>
    </row>
    <row r="6322" spans="1:11" x14ac:dyDescent="0.25">
      <c r="A6322" s="5">
        <f>6315</f>
      </c>
      <c r="B6322" s="5" t="s">
        <v>6330</v>
      </c>
      <c r="C6322" s="5">
        <v>102.1</v>
      </c>
      <c r="D6322" s="5">
        <v>0.1</v>
      </c>
      <c r="E6322" s="5">
        <v>102.3</v>
      </c>
      <c r="F6322" s="5">
        <v>203.8</v>
      </c>
      <c r="G6322" s="5">
        <v>101.6</v>
      </c>
      <c r="H6322" s="5">
        <v>101.5</v>
      </c>
      <c r="I6322" s="5">
        <v>0</v>
      </c>
      <c r="J6322" s="5">
        <v>0</v>
      </c>
      <c r="K6322" s="5">
        <v>0</v>
      </c>
    </row>
    <row r="6323" spans="1:11" x14ac:dyDescent="0.25">
      <c r="A6323" s="5">
        <f>6316</f>
      </c>
      <c r="B6323" s="5" t="s">
        <v>6331</v>
      </c>
      <c r="C6323" s="5">
        <v>102</v>
      </c>
      <c r="D6323" s="5">
        <v>0.1</v>
      </c>
      <c r="E6323" s="5">
        <v>102.1</v>
      </c>
      <c r="F6323" s="5">
        <v>203.5</v>
      </c>
      <c r="G6323" s="5">
        <v>101.5</v>
      </c>
      <c r="H6323" s="5">
        <v>101.4</v>
      </c>
      <c r="I6323" s="5">
        <v>0</v>
      </c>
      <c r="J6323" s="5">
        <v>0</v>
      </c>
      <c r="K6323" s="5">
        <v>0</v>
      </c>
    </row>
    <row r="6324" spans="1:11" x14ac:dyDescent="0.25">
      <c r="A6324" s="5">
        <f>6317</f>
      </c>
      <c r="B6324" s="5" t="s">
        <v>6332</v>
      </c>
      <c r="C6324" s="5">
        <v>102</v>
      </c>
      <c r="D6324" s="5">
        <v>0.1</v>
      </c>
      <c r="E6324" s="5">
        <v>102.1</v>
      </c>
      <c r="F6324" s="5">
        <v>203.5</v>
      </c>
      <c r="G6324" s="5">
        <v>101.5</v>
      </c>
      <c r="H6324" s="5">
        <v>101.4</v>
      </c>
      <c r="I6324" s="5">
        <v>0</v>
      </c>
      <c r="J6324" s="5">
        <v>0</v>
      </c>
      <c r="K6324" s="5">
        <v>0</v>
      </c>
    </row>
    <row r="6325" spans="1:11" x14ac:dyDescent="0.25">
      <c r="A6325" s="5">
        <f>6318</f>
      </c>
      <c r="B6325" s="5" t="s">
        <v>6333</v>
      </c>
      <c r="C6325" s="5">
        <v>101.5</v>
      </c>
      <c r="D6325" s="5">
        <v>0.1</v>
      </c>
      <c r="E6325" s="5">
        <v>101.6</v>
      </c>
      <c r="F6325" s="5">
        <v>202.6</v>
      </c>
      <c r="G6325" s="5">
        <v>101.1</v>
      </c>
      <c r="H6325" s="5">
        <v>101</v>
      </c>
      <c r="I6325" s="5">
        <v>0</v>
      </c>
      <c r="J6325" s="5">
        <v>0</v>
      </c>
      <c r="K6325" s="5">
        <v>0</v>
      </c>
    </row>
    <row r="6326" spans="1:11" x14ac:dyDescent="0.25">
      <c r="A6326" s="5">
        <f>6319</f>
      </c>
      <c r="B6326" s="5" t="s">
        <v>6334</v>
      </c>
      <c r="C6326" s="5">
        <v>101.5</v>
      </c>
      <c r="D6326" s="5">
        <v>0.1</v>
      </c>
      <c r="E6326" s="5">
        <v>101.6</v>
      </c>
      <c r="F6326" s="5">
        <v>202.6</v>
      </c>
      <c r="G6326" s="5">
        <v>101.1</v>
      </c>
      <c r="H6326" s="5">
        <v>101</v>
      </c>
      <c r="I6326" s="5">
        <v>0</v>
      </c>
      <c r="J6326" s="5">
        <v>0</v>
      </c>
      <c r="K6326" s="5">
        <v>0</v>
      </c>
    </row>
    <row r="6327" spans="1:11" x14ac:dyDescent="0.25">
      <c r="A6327" s="5">
        <f>6320</f>
      </c>
      <c r="B6327" s="5" t="s">
        <v>6335</v>
      </c>
      <c r="C6327" s="5">
        <v>104.2</v>
      </c>
      <c r="D6327" s="5">
        <v>0.1</v>
      </c>
      <c r="E6327" s="5">
        <v>104.3</v>
      </c>
      <c r="F6327" s="5">
        <v>208</v>
      </c>
      <c r="G6327" s="5">
        <v>103.8</v>
      </c>
      <c r="H6327" s="5">
        <v>103.6</v>
      </c>
      <c r="I6327" s="5">
        <v>0</v>
      </c>
      <c r="J6327" s="5">
        <v>0</v>
      </c>
      <c r="K6327" s="5">
        <v>0</v>
      </c>
    </row>
    <row r="6328" spans="1:11" x14ac:dyDescent="0.25">
      <c r="A6328" s="5">
        <f>6321</f>
      </c>
      <c r="B6328" s="5" t="s">
        <v>6336</v>
      </c>
      <c r="C6328" s="5">
        <v>104.2</v>
      </c>
      <c r="D6328" s="5">
        <v>0.1</v>
      </c>
      <c r="E6328" s="5">
        <v>104.3</v>
      </c>
      <c r="F6328" s="5">
        <v>208</v>
      </c>
      <c r="G6328" s="5">
        <v>103.8</v>
      </c>
      <c r="H6328" s="5">
        <v>103.6</v>
      </c>
      <c r="I6328" s="5">
        <v>0</v>
      </c>
      <c r="J6328" s="5">
        <v>0</v>
      </c>
      <c r="K6328" s="5">
        <v>0</v>
      </c>
    </row>
    <row r="6329" spans="1:11" x14ac:dyDescent="0.25">
      <c r="A6329" s="5">
        <f>6322</f>
      </c>
      <c r="B6329" s="5" t="s">
        <v>6337</v>
      </c>
      <c r="C6329" s="5">
        <v>104.2</v>
      </c>
      <c r="D6329" s="5">
        <v>0.1</v>
      </c>
      <c r="E6329" s="5">
        <v>104.3</v>
      </c>
      <c r="F6329" s="5">
        <v>208</v>
      </c>
      <c r="G6329" s="5">
        <v>103.8</v>
      </c>
      <c r="H6329" s="5">
        <v>103.6</v>
      </c>
      <c r="I6329" s="5">
        <v>0</v>
      </c>
      <c r="J6329" s="5">
        <v>0</v>
      </c>
      <c r="K6329" s="5">
        <v>0</v>
      </c>
    </row>
    <row r="6330" spans="1:11" x14ac:dyDescent="0.25">
      <c r="A6330" s="5">
        <f>6323</f>
      </c>
      <c r="B6330" s="5" t="s">
        <v>6338</v>
      </c>
      <c r="C6330" s="5">
        <v>104.2</v>
      </c>
      <c r="D6330" s="5">
        <v>0.1</v>
      </c>
      <c r="E6330" s="5">
        <v>104.3</v>
      </c>
      <c r="F6330" s="5">
        <v>208</v>
      </c>
      <c r="G6330" s="5">
        <v>103.8</v>
      </c>
      <c r="H6330" s="5">
        <v>103.6</v>
      </c>
      <c r="I6330" s="5">
        <v>0</v>
      </c>
      <c r="J6330" s="5">
        <v>0</v>
      </c>
      <c r="K6330" s="5">
        <v>0</v>
      </c>
    </row>
    <row r="6331" spans="1:11" x14ac:dyDescent="0.25">
      <c r="A6331" s="5">
        <f>6324</f>
      </c>
      <c r="B6331" s="5" t="s">
        <v>6339</v>
      </c>
      <c r="C6331" s="5">
        <v>103.5</v>
      </c>
      <c r="D6331" s="5">
        <v>0.1</v>
      </c>
      <c r="E6331" s="5">
        <v>103.7</v>
      </c>
      <c r="F6331" s="5">
        <v>207.3</v>
      </c>
      <c r="G6331" s="5">
        <v>103.3</v>
      </c>
      <c r="H6331" s="5">
        <v>103.1</v>
      </c>
      <c r="I6331" s="5">
        <v>0</v>
      </c>
      <c r="J6331" s="5">
        <v>0</v>
      </c>
      <c r="K6331" s="5">
        <v>0</v>
      </c>
    </row>
    <row r="6332" spans="1:11" x14ac:dyDescent="0.25">
      <c r="A6332" s="5">
        <f>6325</f>
      </c>
      <c r="B6332" s="5" t="s">
        <v>6340</v>
      </c>
      <c r="C6332" s="5">
        <v>103.5</v>
      </c>
      <c r="D6332" s="5">
        <v>0.1</v>
      </c>
      <c r="E6332" s="5">
        <v>103.7</v>
      </c>
      <c r="F6332" s="5">
        <v>207.3</v>
      </c>
      <c r="G6332" s="5">
        <v>103.3</v>
      </c>
      <c r="H6332" s="5">
        <v>103.1</v>
      </c>
      <c r="I6332" s="5">
        <v>0</v>
      </c>
      <c r="J6332" s="5">
        <v>0</v>
      </c>
      <c r="K6332" s="5">
        <v>0</v>
      </c>
    </row>
    <row r="6333" spans="1:11" x14ac:dyDescent="0.25">
      <c r="A6333" s="5">
        <f>6326</f>
      </c>
      <c r="B6333" s="5" t="s">
        <v>6341</v>
      </c>
      <c r="C6333" s="5">
        <v>103.7</v>
      </c>
      <c r="D6333" s="5">
        <v>0.1</v>
      </c>
      <c r="E6333" s="5">
        <v>103.8</v>
      </c>
      <c r="F6333" s="5">
        <v>207.2</v>
      </c>
      <c r="G6333" s="5">
        <v>103.4</v>
      </c>
      <c r="H6333" s="5">
        <v>103.1</v>
      </c>
      <c r="I6333" s="5">
        <v>0</v>
      </c>
      <c r="J6333" s="5">
        <v>0</v>
      </c>
      <c r="K6333" s="5">
        <v>0</v>
      </c>
    </row>
    <row r="6334" spans="1:11" x14ac:dyDescent="0.25">
      <c r="A6334" s="5">
        <f>6327</f>
      </c>
      <c r="B6334" s="5" t="s">
        <v>6342</v>
      </c>
      <c r="C6334" s="5">
        <v>103.7</v>
      </c>
      <c r="D6334" s="5">
        <v>0.1</v>
      </c>
      <c r="E6334" s="5">
        <v>103.8</v>
      </c>
      <c r="F6334" s="5">
        <v>207.2</v>
      </c>
      <c r="G6334" s="5">
        <v>103.4</v>
      </c>
      <c r="H6334" s="5">
        <v>103.2</v>
      </c>
      <c r="I6334" s="5">
        <v>0</v>
      </c>
      <c r="J6334" s="5">
        <v>0</v>
      </c>
      <c r="K6334" s="5">
        <v>0</v>
      </c>
    </row>
    <row r="6335" spans="1:11" x14ac:dyDescent="0.25">
      <c r="A6335" s="5">
        <f>6328</f>
      </c>
      <c r="B6335" s="5" t="s">
        <v>6343</v>
      </c>
      <c r="C6335" s="5">
        <v>104.2</v>
      </c>
      <c r="D6335" s="5">
        <v>0.1</v>
      </c>
      <c r="E6335" s="5">
        <v>103.8</v>
      </c>
      <c r="F6335" s="5">
        <v>207.2</v>
      </c>
      <c r="G6335" s="5">
        <v>103.4</v>
      </c>
      <c r="H6335" s="5">
        <v>103.2</v>
      </c>
      <c r="I6335" s="5">
        <v>0</v>
      </c>
      <c r="J6335" s="5">
        <v>0</v>
      </c>
      <c r="K6335" s="5">
        <v>0</v>
      </c>
    </row>
    <row r="6336" spans="1:11" x14ac:dyDescent="0.25">
      <c r="A6336" s="5">
        <f>6329</f>
      </c>
      <c r="B6336" s="5" t="s">
        <v>6344</v>
      </c>
      <c r="C6336" s="5">
        <v>104.2</v>
      </c>
      <c r="D6336" s="5">
        <v>0.1</v>
      </c>
      <c r="E6336" s="5">
        <v>104.3</v>
      </c>
      <c r="F6336" s="5">
        <v>207.3</v>
      </c>
      <c r="G6336" s="5">
        <v>103.4</v>
      </c>
      <c r="H6336" s="5">
        <v>103.3</v>
      </c>
      <c r="I6336" s="5">
        <v>0</v>
      </c>
      <c r="J6336" s="5">
        <v>0</v>
      </c>
      <c r="K6336" s="5">
        <v>0</v>
      </c>
    </row>
    <row r="6337" spans="1:11" x14ac:dyDescent="0.25">
      <c r="A6337" s="5">
        <f>6330</f>
      </c>
      <c r="B6337" s="5" t="s">
        <v>6345</v>
      </c>
      <c r="C6337" s="5">
        <v>104.3</v>
      </c>
      <c r="D6337" s="5">
        <v>0.1</v>
      </c>
      <c r="E6337" s="5">
        <v>104.3</v>
      </c>
      <c r="F6337" s="5">
        <v>207.3</v>
      </c>
      <c r="G6337" s="5">
        <v>103.4</v>
      </c>
      <c r="H6337" s="5">
        <v>103.3</v>
      </c>
      <c r="I6337" s="5">
        <v>0</v>
      </c>
      <c r="J6337" s="5">
        <v>0</v>
      </c>
      <c r="K6337" s="5">
        <v>0</v>
      </c>
    </row>
    <row r="6338" spans="1:11" x14ac:dyDescent="0.25">
      <c r="A6338" s="5">
        <f>6331</f>
      </c>
      <c r="B6338" s="5" t="s">
        <v>6346</v>
      </c>
      <c r="C6338" s="5">
        <v>104.3</v>
      </c>
      <c r="D6338" s="5">
        <v>0.1</v>
      </c>
      <c r="E6338" s="5">
        <v>104.5</v>
      </c>
      <c r="F6338" s="5">
        <v>207.5</v>
      </c>
      <c r="G6338" s="5">
        <v>103.5</v>
      </c>
      <c r="H6338" s="5">
        <v>103.4</v>
      </c>
      <c r="I6338" s="5">
        <v>0</v>
      </c>
      <c r="J6338" s="5">
        <v>0</v>
      </c>
      <c r="K6338" s="5">
        <v>0</v>
      </c>
    </row>
    <row r="6339" spans="1:11" x14ac:dyDescent="0.25">
      <c r="A6339" s="5">
        <f>6332</f>
      </c>
      <c r="B6339" s="5" t="s">
        <v>6347</v>
      </c>
      <c r="C6339" s="5">
        <v>104.3</v>
      </c>
      <c r="D6339" s="5">
        <v>0.1</v>
      </c>
      <c r="E6339" s="5">
        <v>104.5</v>
      </c>
      <c r="F6339" s="5">
        <v>207.5</v>
      </c>
      <c r="G6339" s="5">
        <v>103.5</v>
      </c>
      <c r="H6339" s="5">
        <v>103.4</v>
      </c>
      <c r="I6339" s="5">
        <v>0</v>
      </c>
      <c r="J6339" s="5">
        <v>0</v>
      </c>
      <c r="K6339" s="5">
        <v>0</v>
      </c>
    </row>
    <row r="6340" spans="1:11" x14ac:dyDescent="0.25">
      <c r="A6340" s="5">
        <f>6333</f>
      </c>
      <c r="B6340" s="5" t="s">
        <v>6348</v>
      </c>
      <c r="C6340" s="5">
        <v>104.3</v>
      </c>
      <c r="D6340" s="5">
        <v>0.1</v>
      </c>
      <c r="E6340" s="5">
        <v>104.5</v>
      </c>
      <c r="F6340" s="5">
        <v>207.5</v>
      </c>
      <c r="G6340" s="5">
        <v>103.5</v>
      </c>
      <c r="H6340" s="5">
        <v>103.4</v>
      </c>
      <c r="I6340" s="5">
        <v>0</v>
      </c>
      <c r="J6340" s="5">
        <v>0</v>
      </c>
      <c r="K6340" s="5">
        <v>0</v>
      </c>
    </row>
    <row r="6341" spans="1:11" x14ac:dyDescent="0.25">
      <c r="A6341" s="5">
        <f>6334</f>
      </c>
      <c r="B6341" s="5" t="s">
        <v>6349</v>
      </c>
      <c r="C6341" s="5">
        <v>104.3</v>
      </c>
      <c r="D6341" s="5">
        <v>0.1</v>
      </c>
      <c r="E6341" s="5">
        <v>104.5</v>
      </c>
      <c r="F6341" s="5">
        <v>207.5</v>
      </c>
      <c r="G6341" s="5">
        <v>103.5</v>
      </c>
      <c r="H6341" s="5">
        <v>103.4</v>
      </c>
      <c r="I6341" s="5">
        <v>0</v>
      </c>
      <c r="J6341" s="5">
        <v>0</v>
      </c>
      <c r="K6341" s="5">
        <v>0</v>
      </c>
    </row>
    <row r="6342" spans="1:11" x14ac:dyDescent="0.25">
      <c r="A6342" s="5">
        <f>6335</f>
      </c>
      <c r="B6342" s="5" t="s">
        <v>6350</v>
      </c>
      <c r="C6342" s="5">
        <v>104.2</v>
      </c>
      <c r="D6342" s="5">
        <v>0.1</v>
      </c>
      <c r="E6342" s="5">
        <v>104.3</v>
      </c>
      <c r="F6342" s="5">
        <v>207.8</v>
      </c>
      <c r="G6342" s="5">
        <v>103.7</v>
      </c>
      <c r="H6342" s="5">
        <v>103.5</v>
      </c>
      <c r="I6342" s="5">
        <v>0</v>
      </c>
      <c r="J6342" s="5">
        <v>0</v>
      </c>
      <c r="K6342" s="5">
        <v>0</v>
      </c>
    </row>
    <row r="6343" spans="1:11" x14ac:dyDescent="0.25">
      <c r="A6343" s="5">
        <f>6336</f>
      </c>
      <c r="B6343" s="5" t="s">
        <v>6351</v>
      </c>
      <c r="C6343" s="5">
        <v>104.2</v>
      </c>
      <c r="D6343" s="5">
        <v>0.1</v>
      </c>
      <c r="E6343" s="5">
        <v>104.3</v>
      </c>
      <c r="F6343" s="5">
        <v>207.8</v>
      </c>
      <c r="G6343" s="5">
        <v>103.7</v>
      </c>
      <c r="H6343" s="5">
        <v>103.5</v>
      </c>
      <c r="I6343" s="5">
        <v>0</v>
      </c>
      <c r="J6343" s="5">
        <v>0</v>
      </c>
      <c r="K6343" s="5">
        <v>0</v>
      </c>
    </row>
    <row r="6344" spans="1:11" x14ac:dyDescent="0.25">
      <c r="A6344" s="5">
        <f>6337</f>
      </c>
      <c r="B6344" s="5" t="s">
        <v>6352</v>
      </c>
      <c r="C6344" s="5">
        <v>102.9</v>
      </c>
      <c r="D6344" s="5">
        <v>0.1</v>
      </c>
      <c r="E6344" s="5">
        <v>103.1</v>
      </c>
      <c r="F6344" s="5">
        <v>206.5</v>
      </c>
      <c r="G6344" s="5">
        <v>103</v>
      </c>
      <c r="H6344" s="5">
        <v>102.8</v>
      </c>
      <c r="I6344" s="5">
        <v>0</v>
      </c>
      <c r="J6344" s="5">
        <v>0</v>
      </c>
      <c r="K6344" s="5">
        <v>0</v>
      </c>
    </row>
    <row r="6345" spans="1:11" x14ac:dyDescent="0.25">
      <c r="A6345" s="5">
        <f>6338</f>
      </c>
      <c r="B6345" s="5" t="s">
        <v>6353</v>
      </c>
      <c r="C6345" s="5">
        <v>102.9</v>
      </c>
      <c r="D6345" s="5">
        <v>0.1</v>
      </c>
      <c r="E6345" s="5">
        <v>103.1</v>
      </c>
      <c r="F6345" s="5">
        <v>206.5</v>
      </c>
      <c r="G6345" s="5">
        <v>103</v>
      </c>
      <c r="H6345" s="5">
        <v>102.8</v>
      </c>
      <c r="I6345" s="5">
        <v>0</v>
      </c>
      <c r="J6345" s="5">
        <v>0</v>
      </c>
      <c r="K6345" s="5">
        <v>0</v>
      </c>
    </row>
    <row r="6346" spans="1:11" x14ac:dyDescent="0.25">
      <c r="A6346" s="5">
        <f>6339</f>
      </c>
      <c r="B6346" s="5" t="s">
        <v>6354</v>
      </c>
      <c r="C6346" s="5">
        <v>104.3</v>
      </c>
      <c r="D6346" s="5">
        <v>0.1</v>
      </c>
      <c r="E6346" s="5">
        <v>104.5</v>
      </c>
      <c r="F6346" s="5">
        <v>208</v>
      </c>
      <c r="G6346" s="5">
        <v>103.8</v>
      </c>
      <c r="H6346" s="5">
        <v>103.6</v>
      </c>
      <c r="I6346" s="5">
        <v>0</v>
      </c>
      <c r="J6346" s="5">
        <v>0</v>
      </c>
      <c r="K6346" s="5">
        <v>0</v>
      </c>
    </row>
    <row r="6347" spans="1:11" x14ac:dyDescent="0.25">
      <c r="A6347" s="5">
        <f>6340</f>
      </c>
      <c r="B6347" s="5" t="s">
        <v>6355</v>
      </c>
      <c r="C6347" s="5">
        <v>104.3</v>
      </c>
      <c r="D6347" s="5">
        <v>0.1</v>
      </c>
      <c r="E6347" s="5">
        <v>104.5</v>
      </c>
      <c r="F6347" s="5">
        <v>208</v>
      </c>
      <c r="G6347" s="5">
        <v>103.8</v>
      </c>
      <c r="H6347" s="5">
        <v>103.6</v>
      </c>
      <c r="I6347" s="5">
        <v>0</v>
      </c>
      <c r="J6347" s="5">
        <v>0</v>
      </c>
      <c r="K6347" s="5">
        <v>0</v>
      </c>
    </row>
    <row r="6348" spans="1:11" x14ac:dyDescent="0.25">
      <c r="A6348" s="5">
        <f>6341</f>
      </c>
      <c r="B6348" s="5" t="s">
        <v>6356</v>
      </c>
      <c r="C6348" s="5">
        <v>103.9</v>
      </c>
      <c r="D6348" s="5">
        <v>0.1</v>
      </c>
      <c r="E6348" s="5">
        <v>104</v>
      </c>
      <c r="F6348" s="5">
        <v>207.4</v>
      </c>
      <c r="G6348" s="5">
        <v>103.4</v>
      </c>
      <c r="H6348" s="5">
        <v>103.3</v>
      </c>
      <c r="I6348" s="5">
        <v>0</v>
      </c>
      <c r="J6348" s="5">
        <v>0</v>
      </c>
      <c r="K6348" s="5">
        <v>0</v>
      </c>
    </row>
    <row r="6349" spans="1:11" x14ac:dyDescent="0.25">
      <c r="A6349" s="5">
        <f>6342</f>
      </c>
      <c r="B6349" s="5" t="s">
        <v>6357</v>
      </c>
      <c r="C6349" s="5">
        <v>103.9</v>
      </c>
      <c r="D6349" s="5">
        <v>0.1</v>
      </c>
      <c r="E6349" s="5">
        <v>104</v>
      </c>
      <c r="F6349" s="5">
        <v>207.4</v>
      </c>
      <c r="G6349" s="5">
        <v>103.4</v>
      </c>
      <c r="H6349" s="5">
        <v>103.3</v>
      </c>
      <c r="I6349" s="5">
        <v>0</v>
      </c>
      <c r="J6349" s="5">
        <v>0</v>
      </c>
      <c r="K6349" s="5">
        <v>0</v>
      </c>
    </row>
    <row r="6350" spans="1:11" x14ac:dyDescent="0.25">
      <c r="A6350" s="5">
        <f>6343</f>
      </c>
      <c r="B6350" s="5" t="s">
        <v>6358</v>
      </c>
      <c r="C6350" s="5">
        <v>103.9</v>
      </c>
      <c r="D6350" s="5">
        <v>0.1</v>
      </c>
      <c r="E6350" s="5">
        <v>104</v>
      </c>
      <c r="F6350" s="5">
        <v>207.4</v>
      </c>
      <c r="G6350" s="5">
        <v>103.4</v>
      </c>
      <c r="H6350" s="5">
        <v>103.3</v>
      </c>
      <c r="I6350" s="5">
        <v>0</v>
      </c>
      <c r="J6350" s="5">
        <v>0</v>
      </c>
      <c r="K6350" s="5">
        <v>0</v>
      </c>
    </row>
    <row r="6351" spans="1:11" x14ac:dyDescent="0.25">
      <c r="A6351" s="5">
        <f>6344</f>
      </c>
      <c r="B6351" s="5" t="s">
        <v>6359</v>
      </c>
      <c r="C6351" s="5">
        <v>103.7</v>
      </c>
      <c r="D6351" s="5">
        <v>0.1</v>
      </c>
      <c r="E6351" s="5">
        <v>103.9</v>
      </c>
      <c r="F6351" s="5">
        <v>208.1</v>
      </c>
      <c r="G6351" s="5">
        <v>103.7</v>
      </c>
      <c r="H6351" s="5">
        <v>103.6</v>
      </c>
      <c r="I6351" s="5">
        <v>0</v>
      </c>
      <c r="J6351" s="5">
        <v>0</v>
      </c>
      <c r="K6351" s="5">
        <v>0</v>
      </c>
    </row>
    <row r="6352" spans="1:11" x14ac:dyDescent="0.25">
      <c r="A6352" s="5">
        <f>6345</f>
      </c>
      <c r="B6352" s="5" t="s">
        <v>6360</v>
      </c>
      <c r="C6352" s="5">
        <v>103.7</v>
      </c>
      <c r="D6352" s="5">
        <v>0.1</v>
      </c>
      <c r="E6352" s="5">
        <v>103.9</v>
      </c>
      <c r="F6352" s="5">
        <v>208.1</v>
      </c>
      <c r="G6352" s="5">
        <v>103.7</v>
      </c>
      <c r="H6352" s="5">
        <v>103.6</v>
      </c>
      <c r="I6352" s="5">
        <v>0</v>
      </c>
      <c r="J6352" s="5">
        <v>0</v>
      </c>
      <c r="K6352" s="5">
        <v>0</v>
      </c>
    </row>
    <row r="6353" spans="1:11" x14ac:dyDescent="0.25">
      <c r="A6353" s="5">
        <f>6346</f>
      </c>
      <c r="B6353" s="5" t="s">
        <v>6361</v>
      </c>
      <c r="C6353" s="5">
        <v>103.4</v>
      </c>
      <c r="D6353" s="5">
        <v>0.1</v>
      </c>
      <c r="E6353" s="5">
        <v>103.6</v>
      </c>
      <c r="F6353" s="5">
        <v>207.6</v>
      </c>
      <c r="G6353" s="5">
        <v>103.5</v>
      </c>
      <c r="H6353" s="5">
        <v>103.4</v>
      </c>
      <c r="I6353" s="5">
        <v>0</v>
      </c>
      <c r="J6353" s="5">
        <v>0</v>
      </c>
      <c r="K6353" s="5">
        <v>0</v>
      </c>
    </row>
    <row r="6354" spans="1:11" x14ac:dyDescent="0.25">
      <c r="A6354" s="5">
        <f>6347</f>
      </c>
      <c r="B6354" s="5" t="s">
        <v>6362</v>
      </c>
      <c r="C6354" s="5">
        <v>103.4</v>
      </c>
      <c r="D6354" s="5">
        <v>0.1</v>
      </c>
      <c r="E6354" s="5">
        <v>103.6</v>
      </c>
      <c r="F6354" s="5">
        <v>207.6</v>
      </c>
      <c r="G6354" s="5">
        <v>103.5</v>
      </c>
      <c r="H6354" s="5">
        <v>103.4</v>
      </c>
      <c r="I6354" s="5">
        <v>0</v>
      </c>
      <c r="J6354" s="5">
        <v>0</v>
      </c>
      <c r="K6354" s="5">
        <v>0</v>
      </c>
    </row>
    <row r="6355" spans="1:11" x14ac:dyDescent="0.25">
      <c r="A6355" s="5">
        <f>6348</f>
      </c>
      <c r="B6355" s="5" t="s">
        <v>6363</v>
      </c>
      <c r="C6355" s="5">
        <v>104.6</v>
      </c>
      <c r="D6355" s="5">
        <v>0.1</v>
      </c>
      <c r="E6355" s="5">
        <v>104.7</v>
      </c>
      <c r="F6355" s="5">
        <v>208.7</v>
      </c>
      <c r="G6355" s="5">
        <v>104.2</v>
      </c>
      <c r="H6355" s="5">
        <v>104</v>
      </c>
      <c r="I6355" s="5">
        <v>0</v>
      </c>
      <c r="J6355" s="5">
        <v>0</v>
      </c>
      <c r="K6355" s="5">
        <v>0</v>
      </c>
    </row>
    <row r="6356" spans="1:11" x14ac:dyDescent="0.25">
      <c r="A6356" s="5">
        <f>6349</f>
      </c>
      <c r="B6356" s="5" t="s">
        <v>6364</v>
      </c>
      <c r="C6356" s="5">
        <v>104.6</v>
      </c>
      <c r="D6356" s="5">
        <v>0.1</v>
      </c>
      <c r="E6356" s="5">
        <v>104.7</v>
      </c>
      <c r="F6356" s="5">
        <v>208.7</v>
      </c>
      <c r="G6356" s="5">
        <v>104.2</v>
      </c>
      <c r="H6356" s="5">
        <v>104</v>
      </c>
      <c r="I6356" s="5">
        <v>0</v>
      </c>
      <c r="J6356" s="5">
        <v>0</v>
      </c>
      <c r="K6356" s="5">
        <v>0</v>
      </c>
    </row>
    <row r="6357" spans="1:11" x14ac:dyDescent="0.25">
      <c r="A6357" s="5">
        <f>6350</f>
      </c>
      <c r="B6357" s="5" t="s">
        <v>6365</v>
      </c>
      <c r="C6357" s="5">
        <v>104.6</v>
      </c>
      <c r="D6357" s="5">
        <v>0.1</v>
      </c>
      <c r="E6357" s="5">
        <v>104.3</v>
      </c>
      <c r="F6357" s="5">
        <v>208.1</v>
      </c>
      <c r="G6357" s="5">
        <v>103.8</v>
      </c>
      <c r="H6357" s="5">
        <v>103.7</v>
      </c>
      <c r="I6357" s="5">
        <v>0</v>
      </c>
      <c r="J6357" s="5">
        <v>0</v>
      </c>
      <c r="K6357" s="5">
        <v>0</v>
      </c>
    </row>
    <row r="6358" spans="1:11" x14ac:dyDescent="0.25">
      <c r="A6358" s="5">
        <f>6351</f>
      </c>
      <c r="B6358" s="5" t="s">
        <v>6366</v>
      </c>
      <c r="C6358" s="5">
        <v>104.2</v>
      </c>
      <c r="D6358" s="5">
        <v>0.1</v>
      </c>
      <c r="E6358" s="5">
        <v>104.3</v>
      </c>
      <c r="F6358" s="5">
        <v>208.1</v>
      </c>
      <c r="G6358" s="5">
        <v>103.8</v>
      </c>
      <c r="H6358" s="5">
        <v>103.7</v>
      </c>
      <c r="I6358" s="5">
        <v>0</v>
      </c>
      <c r="J6358" s="5">
        <v>0</v>
      </c>
      <c r="K6358" s="5">
        <v>0</v>
      </c>
    </row>
    <row r="6359" spans="1:11" x14ac:dyDescent="0.25">
      <c r="A6359" s="5">
        <f>6352</f>
      </c>
      <c r="B6359" s="5" t="s">
        <v>6367</v>
      </c>
      <c r="C6359" s="5">
        <v>104.2</v>
      </c>
      <c r="D6359" s="5">
        <v>0.1</v>
      </c>
      <c r="E6359" s="5">
        <v>104.3</v>
      </c>
      <c r="F6359" s="5">
        <v>208.1</v>
      </c>
      <c r="G6359" s="5">
        <v>103.8</v>
      </c>
      <c r="H6359" s="5">
        <v>103.7</v>
      </c>
      <c r="I6359" s="5">
        <v>0</v>
      </c>
      <c r="J6359" s="5">
        <v>0</v>
      </c>
      <c r="K6359" s="5">
        <v>0</v>
      </c>
    </row>
    <row r="6360" spans="1:11" x14ac:dyDescent="0.25">
      <c r="A6360" s="5">
        <f>6353</f>
      </c>
      <c r="B6360" s="5" t="s">
        <v>6368</v>
      </c>
      <c r="C6360" s="5">
        <v>104.2</v>
      </c>
      <c r="D6360" s="5">
        <v>0.1</v>
      </c>
      <c r="E6360" s="5">
        <v>104.3</v>
      </c>
      <c r="F6360" s="5">
        <v>208.1</v>
      </c>
      <c r="G6360" s="5">
        <v>103.8</v>
      </c>
      <c r="H6360" s="5">
        <v>103.7</v>
      </c>
      <c r="I6360" s="5">
        <v>0</v>
      </c>
      <c r="J6360" s="5">
        <v>0</v>
      </c>
      <c r="K6360" s="5">
        <v>0</v>
      </c>
    </row>
    <row r="6361" spans="1:11" x14ac:dyDescent="0.25">
      <c r="A6361" s="5">
        <f>6354</f>
      </c>
      <c r="B6361" s="5" t="s">
        <v>6369</v>
      </c>
      <c r="C6361" s="5">
        <v>104</v>
      </c>
      <c r="D6361" s="5">
        <v>0.1</v>
      </c>
      <c r="E6361" s="5">
        <v>104</v>
      </c>
      <c r="F6361" s="5">
        <v>207.7</v>
      </c>
      <c r="G6361" s="5">
        <v>103.6</v>
      </c>
      <c r="H6361" s="5">
        <v>103.4</v>
      </c>
      <c r="I6361" s="5">
        <v>0</v>
      </c>
      <c r="J6361" s="5">
        <v>0</v>
      </c>
      <c r="K6361" s="5">
        <v>0</v>
      </c>
    </row>
    <row r="6362" spans="1:11" x14ac:dyDescent="0.25">
      <c r="A6362" s="5">
        <f>6355</f>
      </c>
      <c r="B6362" s="5" t="s">
        <v>6370</v>
      </c>
      <c r="C6362" s="5">
        <v>104</v>
      </c>
      <c r="D6362" s="5">
        <v>0.1</v>
      </c>
      <c r="E6362" s="5">
        <v>104</v>
      </c>
      <c r="F6362" s="5">
        <v>207.7</v>
      </c>
      <c r="G6362" s="5">
        <v>103.6</v>
      </c>
      <c r="H6362" s="5">
        <v>103.4</v>
      </c>
      <c r="I6362" s="5">
        <v>0</v>
      </c>
      <c r="J6362" s="5">
        <v>0</v>
      </c>
      <c r="K6362" s="5">
        <v>0</v>
      </c>
    </row>
    <row r="6363" spans="1:11" x14ac:dyDescent="0.25">
      <c r="A6363" s="5">
        <f>6356</f>
      </c>
      <c r="B6363" s="5" t="s">
        <v>6371</v>
      </c>
      <c r="C6363" s="5">
        <v>103.9</v>
      </c>
      <c r="D6363" s="5">
        <v>0.1</v>
      </c>
      <c r="E6363" s="5">
        <v>104</v>
      </c>
      <c r="F6363" s="5">
        <v>207.4</v>
      </c>
      <c r="G6363" s="5">
        <v>103.5</v>
      </c>
      <c r="H6363" s="5">
        <v>103.3</v>
      </c>
      <c r="I6363" s="5">
        <v>0</v>
      </c>
      <c r="J6363" s="5">
        <v>0</v>
      </c>
      <c r="K6363" s="5">
        <v>0</v>
      </c>
    </row>
    <row r="6364" spans="1:11" x14ac:dyDescent="0.25">
      <c r="A6364" s="5">
        <f>6357</f>
      </c>
      <c r="B6364" s="5" t="s">
        <v>6372</v>
      </c>
      <c r="C6364" s="5">
        <v>103.9</v>
      </c>
      <c r="D6364" s="5">
        <v>0.1</v>
      </c>
      <c r="E6364" s="5">
        <v>104</v>
      </c>
      <c r="F6364" s="5">
        <v>207.4</v>
      </c>
      <c r="G6364" s="5">
        <v>103.5</v>
      </c>
      <c r="H6364" s="5">
        <v>103.3</v>
      </c>
      <c r="I6364" s="5">
        <v>0</v>
      </c>
      <c r="J6364" s="5">
        <v>0</v>
      </c>
      <c r="K6364" s="5">
        <v>0</v>
      </c>
    </row>
    <row r="6365" spans="1:11" x14ac:dyDescent="0.25">
      <c r="A6365" s="5">
        <f>6358</f>
      </c>
      <c r="B6365" s="5" t="s">
        <v>6373</v>
      </c>
      <c r="C6365" s="5">
        <v>103.9</v>
      </c>
      <c r="D6365" s="5">
        <v>0.1</v>
      </c>
      <c r="E6365" s="5">
        <v>104</v>
      </c>
      <c r="F6365" s="5">
        <v>207.4</v>
      </c>
      <c r="G6365" s="5">
        <v>103.5</v>
      </c>
      <c r="H6365" s="5">
        <v>103.3</v>
      </c>
      <c r="I6365" s="5">
        <v>0</v>
      </c>
      <c r="J6365" s="5">
        <v>0</v>
      </c>
      <c r="K6365" s="5">
        <v>0</v>
      </c>
    </row>
    <row r="6366" spans="1:11" x14ac:dyDescent="0.25">
      <c r="A6366" s="5">
        <f>6359</f>
      </c>
      <c r="B6366" s="5" t="s">
        <v>6374</v>
      </c>
      <c r="C6366" s="5">
        <v>103.9</v>
      </c>
      <c r="D6366" s="5">
        <v>0.1</v>
      </c>
      <c r="E6366" s="5">
        <v>104</v>
      </c>
      <c r="F6366" s="5">
        <v>207.4</v>
      </c>
      <c r="G6366" s="5">
        <v>103.5</v>
      </c>
      <c r="H6366" s="5">
        <v>103.3</v>
      </c>
      <c r="I6366" s="5">
        <v>0</v>
      </c>
      <c r="J6366" s="5">
        <v>0</v>
      </c>
      <c r="K6366" s="5">
        <v>0</v>
      </c>
    </row>
    <row r="6367" spans="1:11" x14ac:dyDescent="0.25">
      <c r="A6367" s="5">
        <f>6360</f>
      </c>
      <c r="B6367" s="5" t="s">
        <v>6375</v>
      </c>
      <c r="C6367" s="5">
        <v>104.1</v>
      </c>
      <c r="D6367" s="5">
        <v>0.1</v>
      </c>
      <c r="E6367" s="5">
        <v>104.3</v>
      </c>
      <c r="F6367" s="5">
        <v>207.8</v>
      </c>
      <c r="G6367" s="5">
        <v>103.7</v>
      </c>
      <c r="H6367" s="5">
        <v>103.5</v>
      </c>
      <c r="I6367" s="5">
        <v>0</v>
      </c>
      <c r="J6367" s="5">
        <v>0</v>
      </c>
      <c r="K6367" s="5">
        <v>0</v>
      </c>
    </row>
    <row r="6368" spans="1:11" x14ac:dyDescent="0.25">
      <c r="A6368" s="5">
        <f>6361</f>
      </c>
      <c r="B6368" s="5" t="s">
        <v>6376</v>
      </c>
      <c r="C6368" s="5">
        <v>104.1</v>
      </c>
      <c r="D6368" s="5">
        <v>0.1</v>
      </c>
      <c r="E6368" s="5">
        <v>104.3</v>
      </c>
      <c r="F6368" s="5">
        <v>207.8</v>
      </c>
      <c r="G6368" s="5">
        <v>103.7</v>
      </c>
      <c r="H6368" s="5">
        <v>103.5</v>
      </c>
      <c r="I6368" s="5">
        <v>0</v>
      </c>
      <c r="J6368" s="5">
        <v>0</v>
      </c>
      <c r="K6368" s="5">
        <v>0</v>
      </c>
    </row>
    <row r="6369" spans="1:11" x14ac:dyDescent="0.25">
      <c r="A6369" s="5">
        <f>6362</f>
      </c>
      <c r="B6369" s="5" t="s">
        <v>6377</v>
      </c>
      <c r="C6369" s="5">
        <v>104.1</v>
      </c>
      <c r="D6369" s="5">
        <v>0.1</v>
      </c>
      <c r="E6369" s="5">
        <v>104.3</v>
      </c>
      <c r="F6369" s="5">
        <v>207.8</v>
      </c>
      <c r="G6369" s="5">
        <v>103.7</v>
      </c>
      <c r="H6369" s="5">
        <v>103.5</v>
      </c>
      <c r="I6369" s="5">
        <v>0</v>
      </c>
      <c r="J6369" s="5">
        <v>0</v>
      </c>
      <c r="K6369" s="5">
        <v>0</v>
      </c>
    </row>
    <row r="6370" spans="1:11" x14ac:dyDescent="0.25">
      <c r="A6370" s="5">
        <f>6363</f>
      </c>
      <c r="B6370" s="5" t="s">
        <v>6378</v>
      </c>
      <c r="C6370" s="5">
        <v>104.1</v>
      </c>
      <c r="D6370" s="5">
        <v>0.1</v>
      </c>
      <c r="E6370" s="5">
        <v>104.3</v>
      </c>
      <c r="F6370" s="5">
        <v>207.8</v>
      </c>
      <c r="G6370" s="5">
        <v>103.7</v>
      </c>
      <c r="H6370" s="5">
        <v>103.5</v>
      </c>
      <c r="I6370" s="5">
        <v>0</v>
      </c>
      <c r="J6370" s="5">
        <v>0</v>
      </c>
      <c r="K6370" s="5">
        <v>0</v>
      </c>
    </row>
    <row r="6371" spans="1:11" x14ac:dyDescent="0.25">
      <c r="A6371" s="5">
        <f>6364</f>
      </c>
      <c r="B6371" s="5" t="s">
        <v>6379</v>
      </c>
      <c r="C6371" s="5">
        <v>104</v>
      </c>
      <c r="D6371" s="5">
        <v>0.1</v>
      </c>
      <c r="E6371" s="5">
        <v>104.1</v>
      </c>
      <c r="F6371" s="5">
        <v>207.3</v>
      </c>
      <c r="G6371" s="5">
        <v>103.4</v>
      </c>
      <c r="H6371" s="5">
        <v>103.2</v>
      </c>
      <c r="I6371" s="5">
        <v>0</v>
      </c>
      <c r="J6371" s="5">
        <v>0</v>
      </c>
      <c r="K6371" s="5">
        <v>0</v>
      </c>
    </row>
    <row r="6372" spans="1:11" x14ac:dyDescent="0.25">
      <c r="A6372" s="5">
        <f>6365</f>
      </c>
      <c r="B6372" s="5" t="s">
        <v>6380</v>
      </c>
      <c r="C6372" s="5">
        <v>104</v>
      </c>
      <c r="D6372" s="5">
        <v>0.1</v>
      </c>
      <c r="E6372" s="5">
        <v>104.1</v>
      </c>
      <c r="F6372" s="5">
        <v>207.3</v>
      </c>
      <c r="G6372" s="5">
        <v>103.4</v>
      </c>
      <c r="H6372" s="5">
        <v>103.2</v>
      </c>
      <c r="I6372" s="5">
        <v>0</v>
      </c>
      <c r="J6372" s="5">
        <v>0</v>
      </c>
      <c r="K6372" s="5">
        <v>0</v>
      </c>
    </row>
    <row r="6373" spans="1:11" x14ac:dyDescent="0.25">
      <c r="A6373" s="5">
        <f>6366</f>
      </c>
      <c r="B6373" s="5" t="s">
        <v>6381</v>
      </c>
      <c r="C6373" s="5">
        <v>103.7</v>
      </c>
      <c r="D6373" s="5">
        <v>0.1</v>
      </c>
      <c r="E6373" s="5">
        <v>103.9</v>
      </c>
      <c r="F6373" s="5">
        <v>206.9</v>
      </c>
      <c r="G6373" s="5">
        <v>103.3</v>
      </c>
      <c r="H6373" s="5">
        <v>103.2</v>
      </c>
      <c r="I6373" s="5">
        <v>0</v>
      </c>
      <c r="J6373" s="5">
        <v>0</v>
      </c>
      <c r="K6373" s="5">
        <v>0</v>
      </c>
    </row>
    <row r="6374" spans="1:11" x14ac:dyDescent="0.25">
      <c r="A6374" s="5">
        <f>6367</f>
      </c>
      <c r="B6374" s="5" t="s">
        <v>6382</v>
      </c>
      <c r="C6374" s="5">
        <v>103.7</v>
      </c>
      <c r="D6374" s="5">
        <v>0.1</v>
      </c>
      <c r="E6374" s="5">
        <v>103.9</v>
      </c>
      <c r="F6374" s="5">
        <v>206.9</v>
      </c>
      <c r="G6374" s="5">
        <v>103.3</v>
      </c>
      <c r="H6374" s="5">
        <v>103.2</v>
      </c>
      <c r="I6374" s="5">
        <v>0</v>
      </c>
      <c r="J6374" s="5">
        <v>0</v>
      </c>
      <c r="K6374" s="5">
        <v>0</v>
      </c>
    </row>
    <row r="6375" spans="1:11" x14ac:dyDescent="0.25">
      <c r="A6375" s="5">
        <f>6368</f>
      </c>
      <c r="B6375" s="5" t="s">
        <v>6383</v>
      </c>
      <c r="C6375" s="5">
        <v>103.9</v>
      </c>
      <c r="D6375" s="5">
        <v>0.1</v>
      </c>
      <c r="E6375" s="5">
        <v>104</v>
      </c>
      <c r="F6375" s="5">
        <v>207.7</v>
      </c>
      <c r="G6375" s="5">
        <v>103.6</v>
      </c>
      <c r="H6375" s="5">
        <v>103.7</v>
      </c>
      <c r="I6375" s="5">
        <v>0</v>
      </c>
      <c r="J6375" s="5">
        <v>0</v>
      </c>
      <c r="K6375" s="5">
        <v>0</v>
      </c>
    </row>
    <row r="6376" spans="1:11" x14ac:dyDescent="0.25">
      <c r="A6376" s="5">
        <f>6369</f>
      </c>
      <c r="B6376" s="5" t="s">
        <v>6384</v>
      </c>
      <c r="C6376" s="5">
        <v>103.9</v>
      </c>
      <c r="D6376" s="5">
        <v>0.1</v>
      </c>
      <c r="E6376" s="5">
        <v>104</v>
      </c>
      <c r="F6376" s="5">
        <v>207.7</v>
      </c>
      <c r="G6376" s="5">
        <v>103.6</v>
      </c>
      <c r="H6376" s="5">
        <v>103.7</v>
      </c>
      <c r="I6376" s="5">
        <v>0</v>
      </c>
      <c r="J6376" s="5">
        <v>0</v>
      </c>
      <c r="K6376" s="5">
        <v>0</v>
      </c>
    </row>
    <row r="6377" spans="1:11" x14ac:dyDescent="0.25">
      <c r="A6377" s="5">
        <f>6370</f>
      </c>
      <c r="B6377" s="5" t="s">
        <v>6385</v>
      </c>
      <c r="C6377" s="5">
        <v>104</v>
      </c>
      <c r="D6377" s="5">
        <v>0.1</v>
      </c>
      <c r="E6377" s="5">
        <v>104.1</v>
      </c>
      <c r="F6377" s="5">
        <v>207.2</v>
      </c>
      <c r="G6377" s="5">
        <v>103.4</v>
      </c>
      <c r="H6377" s="5">
        <v>103.3</v>
      </c>
      <c r="I6377" s="5">
        <v>0</v>
      </c>
      <c r="J6377" s="5">
        <v>0</v>
      </c>
      <c r="K6377" s="5">
        <v>0</v>
      </c>
    </row>
    <row r="6378" spans="1:11" x14ac:dyDescent="0.25">
      <c r="A6378" s="5">
        <f>6371</f>
      </c>
      <c r="B6378" s="5" t="s">
        <v>6386</v>
      </c>
      <c r="C6378" s="5">
        <v>104</v>
      </c>
      <c r="D6378" s="5">
        <v>0.1</v>
      </c>
      <c r="E6378" s="5">
        <v>104.1</v>
      </c>
      <c r="F6378" s="5">
        <v>207.2</v>
      </c>
      <c r="G6378" s="5">
        <v>103.4</v>
      </c>
      <c r="H6378" s="5">
        <v>103.3</v>
      </c>
      <c r="I6378" s="5">
        <v>0</v>
      </c>
      <c r="J6378" s="5">
        <v>0</v>
      </c>
      <c r="K6378" s="5">
        <v>0</v>
      </c>
    </row>
    <row r="6379" spans="1:11" x14ac:dyDescent="0.25">
      <c r="A6379" s="5">
        <f>6372</f>
      </c>
      <c r="B6379" s="5" t="s">
        <v>6387</v>
      </c>
      <c r="C6379" s="5">
        <v>104</v>
      </c>
      <c r="D6379" s="5">
        <v>0.1</v>
      </c>
      <c r="E6379" s="5">
        <v>104.1</v>
      </c>
      <c r="F6379" s="5">
        <v>207.2</v>
      </c>
      <c r="G6379" s="5">
        <v>103.4</v>
      </c>
      <c r="H6379" s="5">
        <v>103.3</v>
      </c>
      <c r="I6379" s="5">
        <v>0</v>
      </c>
      <c r="J6379" s="5">
        <v>0</v>
      </c>
      <c r="K6379" s="5">
        <v>0</v>
      </c>
    </row>
    <row r="6380" spans="1:11" x14ac:dyDescent="0.25">
      <c r="A6380" s="5">
        <f>6373</f>
      </c>
      <c r="B6380" s="5" t="s">
        <v>6388</v>
      </c>
      <c r="C6380" s="5">
        <v>104</v>
      </c>
      <c r="D6380" s="5">
        <v>0.1</v>
      </c>
      <c r="E6380" s="5">
        <v>104.1</v>
      </c>
      <c r="F6380" s="5">
        <v>207.2</v>
      </c>
      <c r="G6380" s="5">
        <v>103.4</v>
      </c>
      <c r="H6380" s="5">
        <v>103.3</v>
      </c>
      <c r="I6380" s="5">
        <v>0</v>
      </c>
      <c r="J6380" s="5">
        <v>0</v>
      </c>
      <c r="K6380" s="5">
        <v>0</v>
      </c>
    </row>
    <row r="6381" spans="1:11" x14ac:dyDescent="0.25">
      <c r="A6381" s="5">
        <f>6374</f>
      </c>
      <c r="B6381" s="5" t="s">
        <v>6389</v>
      </c>
      <c r="C6381" s="5">
        <v>103.7</v>
      </c>
      <c r="D6381" s="5">
        <v>0.1</v>
      </c>
      <c r="E6381" s="5">
        <v>103.9</v>
      </c>
      <c r="F6381" s="5">
        <v>207.7</v>
      </c>
      <c r="G6381" s="5">
        <v>103.6</v>
      </c>
      <c r="H6381" s="5">
        <v>103.4</v>
      </c>
      <c r="I6381" s="5">
        <v>0</v>
      </c>
      <c r="J6381" s="5">
        <v>0</v>
      </c>
      <c r="K6381" s="5">
        <v>0</v>
      </c>
    </row>
    <row r="6382" spans="1:11" x14ac:dyDescent="0.25">
      <c r="A6382" s="5">
        <f>6375</f>
      </c>
      <c r="B6382" s="5" t="s">
        <v>6390</v>
      </c>
      <c r="C6382" s="5">
        <v>103.7</v>
      </c>
      <c r="D6382" s="5">
        <v>0.1</v>
      </c>
      <c r="E6382" s="5">
        <v>103.9</v>
      </c>
      <c r="F6382" s="5">
        <v>207.7</v>
      </c>
      <c r="G6382" s="5">
        <v>103.6</v>
      </c>
      <c r="H6382" s="5">
        <v>103.4</v>
      </c>
      <c r="I6382" s="5">
        <v>0</v>
      </c>
      <c r="J6382" s="5">
        <v>0</v>
      </c>
      <c r="K6382" s="5">
        <v>0</v>
      </c>
    </row>
    <row r="6383" spans="1:11" x14ac:dyDescent="0.25">
      <c r="A6383" s="5">
        <f>6376</f>
      </c>
      <c r="B6383" s="5" t="s">
        <v>6391</v>
      </c>
      <c r="C6383" s="5">
        <v>104</v>
      </c>
      <c r="D6383" s="5">
        <v>0.1</v>
      </c>
      <c r="E6383" s="5">
        <v>104.2</v>
      </c>
      <c r="F6383" s="5">
        <v>207.6</v>
      </c>
      <c r="G6383" s="5">
        <v>103.6</v>
      </c>
      <c r="H6383" s="5">
        <v>103.5</v>
      </c>
      <c r="I6383" s="5">
        <v>0</v>
      </c>
      <c r="J6383" s="5">
        <v>0</v>
      </c>
      <c r="K6383" s="5">
        <v>0</v>
      </c>
    </row>
    <row r="6384" spans="1:11" x14ac:dyDescent="0.25">
      <c r="A6384" s="5">
        <f>6377</f>
      </c>
      <c r="B6384" s="5" t="s">
        <v>6392</v>
      </c>
      <c r="C6384" s="5">
        <v>104</v>
      </c>
      <c r="D6384" s="5">
        <v>0.1</v>
      </c>
      <c r="E6384" s="5">
        <v>104.2</v>
      </c>
      <c r="F6384" s="5">
        <v>207.6</v>
      </c>
      <c r="G6384" s="5">
        <v>103.6</v>
      </c>
      <c r="H6384" s="5">
        <v>103.5</v>
      </c>
      <c r="I6384" s="5">
        <v>0</v>
      </c>
      <c r="J6384" s="5">
        <v>0</v>
      </c>
      <c r="K6384" s="5">
        <v>0</v>
      </c>
    </row>
    <row r="6385" spans="1:11" x14ac:dyDescent="0.25">
      <c r="A6385" s="5">
        <f>6378</f>
      </c>
      <c r="B6385" s="5" t="s">
        <v>6393</v>
      </c>
      <c r="C6385" s="5">
        <v>104</v>
      </c>
      <c r="D6385" s="5">
        <v>0.1</v>
      </c>
      <c r="E6385" s="5">
        <v>104.1</v>
      </c>
      <c r="F6385" s="5">
        <v>208</v>
      </c>
      <c r="G6385" s="5">
        <v>103.7</v>
      </c>
      <c r="H6385" s="5">
        <v>103.6</v>
      </c>
      <c r="I6385" s="5">
        <v>0</v>
      </c>
      <c r="J6385" s="5">
        <v>0</v>
      </c>
      <c r="K6385" s="5">
        <v>0</v>
      </c>
    </row>
    <row r="6386" spans="1:11" x14ac:dyDescent="0.25">
      <c r="A6386" s="5">
        <f>6379</f>
      </c>
      <c r="B6386" s="5" t="s">
        <v>6394</v>
      </c>
      <c r="C6386" s="5">
        <v>104</v>
      </c>
      <c r="D6386" s="5">
        <v>0.1</v>
      </c>
      <c r="E6386" s="5">
        <v>104.1</v>
      </c>
      <c r="F6386" s="5">
        <v>208</v>
      </c>
      <c r="G6386" s="5">
        <v>103.7</v>
      </c>
      <c r="H6386" s="5">
        <v>103.6</v>
      </c>
      <c r="I6386" s="5">
        <v>0</v>
      </c>
      <c r="J6386" s="5">
        <v>0</v>
      </c>
      <c r="K6386" s="5">
        <v>0</v>
      </c>
    </row>
    <row r="6387" spans="1:11" x14ac:dyDescent="0.25">
      <c r="A6387" s="5">
        <f>6380</f>
      </c>
      <c r="B6387" s="5" t="s">
        <v>6395</v>
      </c>
      <c r="C6387" s="5">
        <v>104</v>
      </c>
      <c r="D6387" s="5">
        <v>0.1</v>
      </c>
      <c r="E6387" s="5">
        <v>104.2</v>
      </c>
      <c r="F6387" s="5">
        <v>207.6</v>
      </c>
      <c r="G6387" s="5">
        <v>103.5</v>
      </c>
      <c r="H6387" s="5">
        <v>103.4</v>
      </c>
      <c r="I6387" s="5">
        <v>0</v>
      </c>
      <c r="J6387" s="5">
        <v>0</v>
      </c>
      <c r="K6387" s="5">
        <v>0</v>
      </c>
    </row>
    <row r="6388" spans="1:11" x14ac:dyDescent="0.25">
      <c r="A6388" s="5">
        <f>6381</f>
      </c>
      <c r="B6388" s="5" t="s">
        <v>6396</v>
      </c>
      <c r="C6388" s="5">
        <v>104</v>
      </c>
      <c r="D6388" s="5">
        <v>0.1</v>
      </c>
      <c r="E6388" s="5">
        <v>104.2</v>
      </c>
      <c r="F6388" s="5">
        <v>207.6</v>
      </c>
      <c r="G6388" s="5">
        <v>103.5</v>
      </c>
      <c r="H6388" s="5">
        <v>103.4</v>
      </c>
      <c r="I6388" s="5">
        <v>0</v>
      </c>
      <c r="J6388" s="5">
        <v>0</v>
      </c>
      <c r="K6388" s="5">
        <v>0</v>
      </c>
    </row>
    <row r="6389" spans="1:11" x14ac:dyDescent="0.25">
      <c r="A6389" s="5">
        <f>6382</f>
      </c>
      <c r="B6389" s="5" t="s">
        <v>6397</v>
      </c>
      <c r="C6389" s="5">
        <v>104</v>
      </c>
      <c r="D6389" s="5">
        <v>0.1</v>
      </c>
      <c r="E6389" s="5">
        <v>104.2</v>
      </c>
      <c r="F6389" s="5">
        <v>207.6</v>
      </c>
      <c r="G6389" s="5">
        <v>103.5</v>
      </c>
      <c r="H6389" s="5">
        <v>103.4</v>
      </c>
      <c r="I6389" s="5">
        <v>0</v>
      </c>
      <c r="J6389" s="5">
        <v>0</v>
      </c>
      <c r="K6389" s="5">
        <v>0</v>
      </c>
    </row>
    <row r="6390" spans="1:11" x14ac:dyDescent="0.25">
      <c r="A6390" s="5">
        <f>6383</f>
      </c>
      <c r="B6390" s="5" t="s">
        <v>6398</v>
      </c>
      <c r="C6390" s="5">
        <v>104</v>
      </c>
      <c r="D6390" s="5">
        <v>0.1</v>
      </c>
      <c r="E6390" s="5">
        <v>104.2</v>
      </c>
      <c r="F6390" s="5">
        <v>207.6</v>
      </c>
      <c r="G6390" s="5">
        <v>103.5</v>
      </c>
      <c r="H6390" s="5">
        <v>103.4</v>
      </c>
      <c r="I6390" s="5">
        <v>0</v>
      </c>
      <c r="J6390" s="5">
        <v>0</v>
      </c>
      <c r="K6390" s="5">
        <v>0</v>
      </c>
    </row>
    <row r="6391" spans="1:11" x14ac:dyDescent="0.25">
      <c r="A6391" s="5">
        <f>6384</f>
      </c>
      <c r="B6391" s="5" t="s">
        <v>6399</v>
      </c>
      <c r="C6391" s="5">
        <v>105.2</v>
      </c>
      <c r="D6391" s="5">
        <v>0.1</v>
      </c>
      <c r="E6391" s="5">
        <v>105.3</v>
      </c>
      <c r="F6391" s="5">
        <v>209.7</v>
      </c>
      <c r="G6391" s="5">
        <v>104.6</v>
      </c>
      <c r="H6391" s="5">
        <v>104.5</v>
      </c>
      <c r="I6391" s="5">
        <v>0</v>
      </c>
      <c r="J6391" s="5">
        <v>0</v>
      </c>
      <c r="K6391" s="5">
        <v>0</v>
      </c>
    </row>
    <row r="6392" spans="1:11" x14ac:dyDescent="0.25">
      <c r="A6392" s="5">
        <f>6385</f>
      </c>
      <c r="B6392" s="5" t="s">
        <v>6400</v>
      </c>
      <c r="C6392" s="5">
        <v>105.2</v>
      </c>
      <c r="D6392" s="5">
        <v>0.1</v>
      </c>
      <c r="E6392" s="5">
        <v>105.3</v>
      </c>
      <c r="F6392" s="5">
        <v>209.7</v>
      </c>
      <c r="G6392" s="5">
        <v>104.6</v>
      </c>
      <c r="H6392" s="5">
        <v>104.5</v>
      </c>
      <c r="I6392" s="5">
        <v>0</v>
      </c>
      <c r="J6392" s="5">
        <v>0</v>
      </c>
      <c r="K6392" s="5">
        <v>0</v>
      </c>
    </row>
    <row r="6393" spans="1:11" x14ac:dyDescent="0.25">
      <c r="A6393" s="5">
        <f>6386</f>
      </c>
      <c r="B6393" s="5" t="s">
        <v>6401</v>
      </c>
      <c r="C6393" s="5">
        <v>104.6</v>
      </c>
      <c r="D6393" s="5">
        <v>0.1</v>
      </c>
      <c r="E6393" s="5">
        <v>104.7</v>
      </c>
      <c r="F6393" s="5">
        <v>208.5</v>
      </c>
      <c r="G6393" s="5">
        <v>104</v>
      </c>
      <c r="H6393" s="5">
        <v>103.9</v>
      </c>
      <c r="I6393" s="5">
        <v>0</v>
      </c>
      <c r="J6393" s="5">
        <v>0</v>
      </c>
      <c r="K6393" s="5">
        <v>0</v>
      </c>
    </row>
    <row r="6394" spans="1:11" x14ac:dyDescent="0.25">
      <c r="A6394" s="5">
        <f>6387</f>
      </c>
      <c r="B6394" s="5" t="s">
        <v>6402</v>
      </c>
      <c r="C6394" s="5">
        <v>104.6</v>
      </c>
      <c r="D6394" s="5">
        <v>0.1</v>
      </c>
      <c r="E6394" s="5">
        <v>104.7</v>
      </c>
      <c r="F6394" s="5">
        <v>208.5</v>
      </c>
      <c r="G6394" s="5">
        <v>104</v>
      </c>
      <c r="H6394" s="5">
        <v>103.9</v>
      </c>
      <c r="I6394" s="5">
        <v>0</v>
      </c>
      <c r="J6394" s="5">
        <v>0</v>
      </c>
      <c r="K6394" s="5">
        <v>0</v>
      </c>
    </row>
    <row r="6395" spans="1:11" x14ac:dyDescent="0.25">
      <c r="A6395" s="5">
        <f>6388</f>
      </c>
      <c r="B6395" s="5" t="s">
        <v>6403</v>
      </c>
      <c r="C6395" s="5">
        <v>104.1</v>
      </c>
      <c r="D6395" s="5">
        <v>0.1</v>
      </c>
      <c r="E6395" s="5">
        <v>104.3</v>
      </c>
      <c r="F6395" s="5">
        <v>207.4</v>
      </c>
      <c r="G6395" s="5">
        <v>103.5</v>
      </c>
      <c r="H6395" s="5">
        <v>103.3</v>
      </c>
      <c r="I6395" s="5">
        <v>0</v>
      </c>
      <c r="J6395" s="5">
        <v>0</v>
      </c>
      <c r="K6395" s="5">
        <v>0</v>
      </c>
    </row>
    <row r="6396" spans="1:11" x14ac:dyDescent="0.25">
      <c r="A6396" s="5">
        <f>6389</f>
      </c>
      <c r="B6396" s="5" t="s">
        <v>6404</v>
      </c>
      <c r="C6396" s="5">
        <v>104.1</v>
      </c>
      <c r="D6396" s="5">
        <v>0.1</v>
      </c>
      <c r="E6396" s="5">
        <v>104.3</v>
      </c>
      <c r="F6396" s="5">
        <v>207.4</v>
      </c>
      <c r="G6396" s="5">
        <v>103.5</v>
      </c>
      <c r="H6396" s="5">
        <v>103.3</v>
      </c>
      <c r="I6396" s="5">
        <v>0</v>
      </c>
      <c r="J6396" s="5">
        <v>0</v>
      </c>
      <c r="K6396" s="5">
        <v>0</v>
      </c>
    </row>
    <row r="6397" spans="1:11" x14ac:dyDescent="0.25">
      <c r="A6397" s="5">
        <f>6390</f>
      </c>
      <c r="B6397" s="5" t="s">
        <v>6405</v>
      </c>
      <c r="C6397" s="5">
        <v>104.5</v>
      </c>
      <c r="D6397" s="5">
        <v>0.1</v>
      </c>
      <c r="E6397" s="5">
        <v>104.6</v>
      </c>
      <c r="F6397" s="5">
        <v>208.5</v>
      </c>
      <c r="G6397" s="5">
        <v>104</v>
      </c>
      <c r="H6397" s="5">
        <v>103.9</v>
      </c>
      <c r="I6397" s="5">
        <v>0</v>
      </c>
      <c r="J6397" s="5">
        <v>0</v>
      </c>
      <c r="K6397" s="5">
        <v>0</v>
      </c>
    </row>
    <row r="6398" spans="1:11" x14ac:dyDescent="0.25">
      <c r="A6398" s="5">
        <f>6391</f>
      </c>
      <c r="B6398" s="5" t="s">
        <v>6406</v>
      </c>
      <c r="C6398" s="5">
        <v>104.5</v>
      </c>
      <c r="D6398" s="5">
        <v>0.1</v>
      </c>
      <c r="E6398" s="5">
        <v>104.6</v>
      </c>
      <c r="F6398" s="5">
        <v>208.5</v>
      </c>
      <c r="G6398" s="5">
        <v>104</v>
      </c>
      <c r="H6398" s="5">
        <v>103.9</v>
      </c>
      <c r="I6398" s="5">
        <v>0</v>
      </c>
      <c r="J6398" s="5">
        <v>0</v>
      </c>
      <c r="K6398" s="5">
        <v>0</v>
      </c>
    </row>
    <row r="6399" spans="1:11" x14ac:dyDescent="0.25">
      <c r="A6399" s="5">
        <f>6392</f>
      </c>
      <c r="B6399" s="5" t="s">
        <v>6407</v>
      </c>
      <c r="C6399" s="5">
        <v>104.5</v>
      </c>
      <c r="D6399" s="5">
        <v>0.1</v>
      </c>
      <c r="E6399" s="5">
        <v>104.6</v>
      </c>
      <c r="F6399" s="5">
        <v>208.5</v>
      </c>
      <c r="G6399" s="5">
        <v>104</v>
      </c>
      <c r="H6399" s="5">
        <v>103.9</v>
      </c>
      <c r="I6399" s="5">
        <v>0</v>
      </c>
      <c r="J6399" s="5">
        <v>0</v>
      </c>
      <c r="K6399" s="5">
        <v>0</v>
      </c>
    </row>
    <row r="6400" spans="1:11" x14ac:dyDescent="0.25">
      <c r="A6400" s="5">
        <f>6393</f>
      </c>
      <c r="B6400" s="5" t="s">
        <v>6408</v>
      </c>
      <c r="C6400" s="5">
        <v>104.5</v>
      </c>
      <c r="D6400" s="5">
        <v>0.1</v>
      </c>
      <c r="E6400" s="5">
        <v>104.6</v>
      </c>
      <c r="F6400" s="5">
        <v>208.5</v>
      </c>
      <c r="G6400" s="5">
        <v>104</v>
      </c>
      <c r="H6400" s="5">
        <v>103.9</v>
      </c>
      <c r="I6400" s="5">
        <v>0</v>
      </c>
      <c r="J6400" s="5">
        <v>0</v>
      </c>
      <c r="K6400" s="5">
        <v>0</v>
      </c>
    </row>
    <row r="6401" spans="1:11" x14ac:dyDescent="0.25">
      <c r="A6401" s="5">
        <f>6394</f>
      </c>
      <c r="B6401" s="5" t="s">
        <v>6409</v>
      </c>
      <c r="C6401" s="5">
        <v>104.4</v>
      </c>
      <c r="D6401" s="5">
        <v>0.1</v>
      </c>
      <c r="E6401" s="5">
        <v>104.6</v>
      </c>
      <c r="F6401" s="5">
        <v>208.4</v>
      </c>
      <c r="G6401" s="5">
        <v>104</v>
      </c>
      <c r="H6401" s="5">
        <v>103.9</v>
      </c>
      <c r="I6401" s="5">
        <v>0</v>
      </c>
      <c r="J6401" s="5">
        <v>0</v>
      </c>
      <c r="K6401" s="5">
        <v>0</v>
      </c>
    </row>
    <row r="6402" spans="1:11" x14ac:dyDescent="0.25">
      <c r="A6402" s="5">
        <f>6395</f>
      </c>
      <c r="B6402" s="5" t="s">
        <v>6410</v>
      </c>
      <c r="C6402" s="5">
        <v>104.4</v>
      </c>
      <c r="D6402" s="5">
        <v>0.1</v>
      </c>
      <c r="E6402" s="5">
        <v>104.6</v>
      </c>
      <c r="F6402" s="5">
        <v>208.4</v>
      </c>
      <c r="G6402" s="5">
        <v>104</v>
      </c>
      <c r="H6402" s="5">
        <v>103.9</v>
      </c>
      <c r="I6402" s="5">
        <v>0</v>
      </c>
      <c r="J6402" s="5">
        <v>0</v>
      </c>
      <c r="K6402" s="5">
        <v>0</v>
      </c>
    </row>
    <row r="6403" spans="1:11" x14ac:dyDescent="0.25">
      <c r="A6403" s="5">
        <f>6396</f>
      </c>
      <c r="B6403" s="5" t="s">
        <v>6411</v>
      </c>
      <c r="C6403" s="5">
        <v>102.6</v>
      </c>
      <c r="D6403" s="5">
        <v>0.1</v>
      </c>
      <c r="E6403" s="5">
        <v>102.7</v>
      </c>
      <c r="F6403" s="5">
        <v>206.9</v>
      </c>
      <c r="G6403" s="5">
        <v>103.2</v>
      </c>
      <c r="H6403" s="5">
        <v>102.9</v>
      </c>
      <c r="I6403" s="5">
        <v>0</v>
      </c>
      <c r="J6403" s="5">
        <v>0</v>
      </c>
      <c r="K6403" s="5">
        <v>0</v>
      </c>
    </row>
    <row r="6404" spans="1:11" x14ac:dyDescent="0.25">
      <c r="A6404" s="5">
        <f>6397</f>
      </c>
      <c r="B6404" s="5" t="s">
        <v>6412</v>
      </c>
      <c r="C6404" s="5">
        <v>102.6</v>
      </c>
      <c r="D6404" s="5">
        <v>0.1</v>
      </c>
      <c r="E6404" s="5">
        <v>102.7</v>
      </c>
      <c r="F6404" s="5">
        <v>206.9</v>
      </c>
      <c r="G6404" s="5">
        <v>103.2</v>
      </c>
      <c r="H6404" s="5">
        <v>102.9</v>
      </c>
      <c r="I6404" s="5">
        <v>0</v>
      </c>
      <c r="J6404" s="5">
        <v>0</v>
      </c>
      <c r="K6404" s="5">
        <v>0</v>
      </c>
    </row>
    <row r="6405" spans="1:11" x14ac:dyDescent="0.25">
      <c r="A6405" s="5">
        <f>6398</f>
      </c>
      <c r="B6405" s="5" t="s">
        <v>6413</v>
      </c>
      <c r="C6405" s="5">
        <v>102.1</v>
      </c>
      <c r="D6405" s="5">
        <v>0.1</v>
      </c>
      <c r="E6405" s="5">
        <v>102.2</v>
      </c>
      <c r="F6405" s="5">
        <v>203.5</v>
      </c>
      <c r="G6405" s="5">
        <v>101.5</v>
      </c>
      <c r="H6405" s="5">
        <v>101.4</v>
      </c>
      <c r="I6405" s="5">
        <v>0</v>
      </c>
      <c r="J6405" s="5">
        <v>0</v>
      </c>
      <c r="K6405" s="5">
        <v>0</v>
      </c>
    </row>
    <row r="6406" spans="1:11" x14ac:dyDescent="0.25">
      <c r="A6406" s="5">
        <f>6399</f>
      </c>
      <c r="B6406" s="5" t="s">
        <v>6414</v>
      </c>
      <c r="C6406" s="5">
        <v>102.1</v>
      </c>
      <c r="D6406" s="5">
        <v>0.1</v>
      </c>
      <c r="E6406" s="5">
        <v>102.2</v>
      </c>
      <c r="F6406" s="5">
        <v>203.5</v>
      </c>
      <c r="G6406" s="5">
        <v>101.5</v>
      </c>
      <c r="H6406" s="5">
        <v>101.4</v>
      </c>
      <c r="I6406" s="5">
        <v>0</v>
      </c>
      <c r="J6406" s="5">
        <v>0</v>
      </c>
      <c r="K6406" s="5">
        <v>0</v>
      </c>
    </row>
    <row r="6407" spans="1:11" x14ac:dyDescent="0.25">
      <c r="A6407" s="5">
        <f>6400</f>
      </c>
      <c r="B6407" s="5" t="s">
        <v>6415</v>
      </c>
      <c r="C6407" s="5">
        <v>102.1</v>
      </c>
      <c r="D6407" s="5">
        <v>0.1</v>
      </c>
      <c r="E6407" s="5">
        <v>102.3</v>
      </c>
      <c r="F6407" s="5">
        <v>204.4</v>
      </c>
      <c r="G6407" s="5">
        <v>102</v>
      </c>
      <c r="H6407" s="5">
        <v>101.9</v>
      </c>
      <c r="I6407" s="5">
        <v>0</v>
      </c>
      <c r="J6407" s="5">
        <v>0</v>
      </c>
      <c r="K6407" s="5">
        <v>0</v>
      </c>
    </row>
    <row r="6408" spans="1:11" x14ac:dyDescent="0.25">
      <c r="A6408" s="5">
        <f>6401</f>
      </c>
      <c r="B6408" s="5" t="s">
        <v>6416</v>
      </c>
      <c r="C6408" s="5">
        <v>102.1</v>
      </c>
      <c r="D6408" s="5">
        <v>0.1</v>
      </c>
      <c r="E6408" s="5">
        <v>102.3</v>
      </c>
      <c r="F6408" s="5">
        <v>204.4</v>
      </c>
      <c r="G6408" s="5">
        <v>102</v>
      </c>
      <c r="H6408" s="5">
        <v>101.9</v>
      </c>
      <c r="I6408" s="5">
        <v>0</v>
      </c>
      <c r="J6408" s="5">
        <v>0</v>
      </c>
      <c r="K6408" s="5">
        <v>0</v>
      </c>
    </row>
    <row r="6409" spans="1:11" x14ac:dyDescent="0.25">
      <c r="A6409" s="5">
        <f>6402</f>
      </c>
      <c r="B6409" s="5" t="s">
        <v>6417</v>
      </c>
      <c r="C6409" s="5">
        <v>102.1</v>
      </c>
      <c r="D6409" s="5">
        <v>0.1</v>
      </c>
      <c r="E6409" s="5">
        <v>102.3</v>
      </c>
      <c r="F6409" s="5">
        <v>204.4</v>
      </c>
      <c r="G6409" s="5">
        <v>102</v>
      </c>
      <c r="H6409" s="5">
        <v>101.9</v>
      </c>
      <c r="I6409" s="5">
        <v>0</v>
      </c>
      <c r="J6409" s="5">
        <v>0</v>
      </c>
      <c r="K6409" s="5">
        <v>0</v>
      </c>
    </row>
    <row r="6410" spans="1:11" x14ac:dyDescent="0.25">
      <c r="A6410" s="5">
        <f>6403</f>
      </c>
      <c r="B6410" s="5" t="s">
        <v>6418</v>
      </c>
      <c r="C6410" s="5">
        <v>102.1</v>
      </c>
      <c r="D6410" s="5">
        <v>0.1</v>
      </c>
      <c r="E6410" s="5">
        <v>102.3</v>
      </c>
      <c r="F6410" s="5">
        <v>204.4</v>
      </c>
      <c r="G6410" s="5">
        <v>102</v>
      </c>
      <c r="H6410" s="5">
        <v>101.9</v>
      </c>
      <c r="I6410" s="5">
        <v>0</v>
      </c>
      <c r="J6410" s="5">
        <v>0</v>
      </c>
      <c r="K6410" s="5">
        <v>0</v>
      </c>
    </row>
    <row r="6411" spans="1:11" x14ac:dyDescent="0.25">
      <c r="A6411" s="5">
        <f>6404</f>
      </c>
      <c r="B6411" s="5" t="s">
        <v>6419</v>
      </c>
      <c r="C6411" s="5">
        <v>99.5</v>
      </c>
      <c r="D6411" s="5">
        <v>0.1</v>
      </c>
      <c r="E6411" s="5">
        <v>99.7</v>
      </c>
      <c r="F6411" s="5">
        <v>201</v>
      </c>
      <c r="G6411" s="5">
        <v>100.1</v>
      </c>
      <c r="H6411" s="5">
        <v>99.9</v>
      </c>
      <c r="I6411" s="5">
        <v>0</v>
      </c>
      <c r="J6411" s="5">
        <v>0</v>
      </c>
      <c r="K6411" s="5">
        <v>0</v>
      </c>
    </row>
    <row r="6412" spans="1:11" x14ac:dyDescent="0.25">
      <c r="A6412" s="5">
        <f>6405</f>
      </c>
      <c r="B6412" s="5" t="s">
        <v>6420</v>
      </c>
      <c r="C6412" s="5">
        <v>99.5</v>
      </c>
      <c r="D6412" s="5">
        <v>0.1</v>
      </c>
      <c r="E6412" s="5">
        <v>99.7</v>
      </c>
      <c r="F6412" s="5">
        <v>201</v>
      </c>
      <c r="G6412" s="5">
        <v>100.1</v>
      </c>
      <c r="H6412" s="5">
        <v>99.9</v>
      </c>
      <c r="I6412" s="5">
        <v>0</v>
      </c>
      <c r="J6412" s="5">
        <v>0</v>
      </c>
      <c r="K6412" s="5">
        <v>0</v>
      </c>
    </row>
    <row r="6413" spans="1:11" x14ac:dyDescent="0.25">
      <c r="A6413" s="5">
        <f>6406</f>
      </c>
      <c r="B6413" s="5" t="s">
        <v>6421</v>
      </c>
      <c r="C6413" s="5">
        <v>98.6</v>
      </c>
      <c r="D6413" s="5">
        <v>0.1</v>
      </c>
      <c r="E6413" s="5">
        <v>98.7</v>
      </c>
      <c r="F6413" s="5">
        <v>197.4</v>
      </c>
      <c r="G6413" s="5">
        <v>98.4</v>
      </c>
      <c r="H6413" s="5">
        <v>98.3</v>
      </c>
      <c r="I6413" s="5">
        <v>0</v>
      </c>
      <c r="J6413" s="5">
        <v>0</v>
      </c>
      <c r="K6413" s="5">
        <v>0</v>
      </c>
    </row>
    <row r="6414" spans="1:11" x14ac:dyDescent="0.25">
      <c r="A6414" s="5">
        <f>6407</f>
      </c>
      <c r="B6414" s="5" t="s">
        <v>6422</v>
      </c>
      <c r="C6414" s="5">
        <v>98.6</v>
      </c>
      <c r="D6414" s="5">
        <v>0.1</v>
      </c>
      <c r="E6414" s="5">
        <v>98.7</v>
      </c>
      <c r="F6414" s="5">
        <v>197.4</v>
      </c>
      <c r="G6414" s="5">
        <v>98.4</v>
      </c>
      <c r="H6414" s="5">
        <v>98.3</v>
      </c>
      <c r="I6414" s="5">
        <v>0</v>
      </c>
      <c r="J6414" s="5">
        <v>0</v>
      </c>
      <c r="K6414" s="5">
        <v>0</v>
      </c>
    </row>
    <row r="6415" spans="1:11" x14ac:dyDescent="0.25">
      <c r="A6415" s="5">
        <f>6408</f>
      </c>
      <c r="B6415" s="5" t="s">
        <v>6423</v>
      </c>
      <c r="C6415" s="5">
        <v>99.2</v>
      </c>
      <c r="D6415" s="5">
        <v>0.1</v>
      </c>
      <c r="E6415" s="5">
        <v>99.3</v>
      </c>
      <c r="F6415" s="5">
        <v>198.3</v>
      </c>
      <c r="G6415" s="5">
        <v>99</v>
      </c>
      <c r="H6415" s="5">
        <v>98.8</v>
      </c>
      <c r="I6415" s="5">
        <v>0</v>
      </c>
      <c r="J6415" s="5">
        <v>0</v>
      </c>
      <c r="K6415" s="5">
        <v>0</v>
      </c>
    </row>
    <row r="6416" spans="1:11" x14ac:dyDescent="0.25">
      <c r="A6416" s="5">
        <f>6409</f>
      </c>
      <c r="B6416" s="5" t="s">
        <v>6424</v>
      </c>
      <c r="C6416" s="5">
        <v>99.2</v>
      </c>
      <c r="D6416" s="5">
        <v>0.1</v>
      </c>
      <c r="E6416" s="5">
        <v>99.3</v>
      </c>
      <c r="F6416" s="5">
        <v>198.3</v>
      </c>
      <c r="G6416" s="5">
        <v>99</v>
      </c>
      <c r="H6416" s="5">
        <v>98.8</v>
      </c>
      <c r="I6416" s="5">
        <v>0</v>
      </c>
      <c r="J6416" s="5">
        <v>0</v>
      </c>
      <c r="K6416" s="5">
        <v>0</v>
      </c>
    </row>
    <row r="6417" spans="1:11" x14ac:dyDescent="0.25">
      <c r="A6417" s="5">
        <f>6410</f>
      </c>
      <c r="B6417" s="5" t="s">
        <v>6425</v>
      </c>
      <c r="C6417" s="5">
        <v>99.5</v>
      </c>
      <c r="D6417" s="5">
        <v>0.1</v>
      </c>
      <c r="E6417" s="5">
        <v>99.6</v>
      </c>
      <c r="F6417" s="5">
        <v>198.9</v>
      </c>
      <c r="G6417" s="5">
        <v>99.2</v>
      </c>
      <c r="H6417" s="5">
        <v>99</v>
      </c>
      <c r="I6417" s="5">
        <v>0</v>
      </c>
      <c r="J6417" s="5">
        <v>0</v>
      </c>
      <c r="K6417" s="5">
        <v>0</v>
      </c>
    </row>
    <row r="6418" spans="1:11" x14ac:dyDescent="0.25">
      <c r="A6418" s="5">
        <f>6411</f>
      </c>
      <c r="B6418" s="5" t="s">
        <v>6426</v>
      </c>
      <c r="C6418" s="5">
        <v>99.5</v>
      </c>
      <c r="D6418" s="5">
        <v>0.1</v>
      </c>
      <c r="E6418" s="5">
        <v>99.6</v>
      </c>
      <c r="F6418" s="5">
        <v>198.9</v>
      </c>
      <c r="G6418" s="5">
        <v>99.2</v>
      </c>
      <c r="H6418" s="5">
        <v>99</v>
      </c>
      <c r="I6418" s="5">
        <v>0</v>
      </c>
      <c r="J6418" s="5">
        <v>0</v>
      </c>
      <c r="K6418" s="5">
        <v>0</v>
      </c>
    </row>
    <row r="6419" spans="1:11" x14ac:dyDescent="0.25">
      <c r="A6419" s="5">
        <f>6412</f>
      </c>
      <c r="B6419" s="5" t="s">
        <v>6427</v>
      </c>
      <c r="C6419" s="5">
        <v>99.5</v>
      </c>
      <c r="D6419" s="5">
        <v>0.1</v>
      </c>
      <c r="E6419" s="5">
        <v>99.6</v>
      </c>
      <c r="F6419" s="5">
        <v>198.9</v>
      </c>
      <c r="G6419" s="5">
        <v>99.2</v>
      </c>
      <c r="H6419" s="5">
        <v>99</v>
      </c>
      <c r="I6419" s="5">
        <v>0</v>
      </c>
      <c r="J6419" s="5">
        <v>0</v>
      </c>
      <c r="K6419" s="5">
        <v>0</v>
      </c>
    </row>
    <row r="6420" spans="1:11" x14ac:dyDescent="0.25">
      <c r="A6420" s="5">
        <f>6413</f>
      </c>
      <c r="B6420" s="5" t="s">
        <v>6428</v>
      </c>
      <c r="C6420" s="5">
        <v>99.5</v>
      </c>
      <c r="D6420" s="5">
        <v>0.1</v>
      </c>
      <c r="E6420" s="5">
        <v>99.6</v>
      </c>
      <c r="F6420" s="5">
        <v>198.9</v>
      </c>
      <c r="G6420" s="5">
        <v>99.2</v>
      </c>
      <c r="H6420" s="5">
        <v>99</v>
      </c>
      <c r="I6420" s="5">
        <v>0</v>
      </c>
      <c r="J6420" s="5">
        <v>0</v>
      </c>
      <c r="K6420" s="5">
        <v>0</v>
      </c>
    </row>
    <row r="6421" spans="1:11" x14ac:dyDescent="0.25">
      <c r="A6421" s="5">
        <f>6414</f>
      </c>
      <c r="B6421" s="5" t="s">
        <v>6429</v>
      </c>
      <c r="C6421" s="5">
        <v>101.6</v>
      </c>
      <c r="D6421" s="5">
        <v>0.1</v>
      </c>
      <c r="E6421" s="5">
        <v>101.8</v>
      </c>
      <c r="F6421" s="5">
        <v>202.2</v>
      </c>
      <c r="G6421" s="5">
        <v>100.9</v>
      </c>
      <c r="H6421" s="5">
        <v>100.7</v>
      </c>
      <c r="I6421" s="5">
        <v>0</v>
      </c>
      <c r="J6421" s="5">
        <v>0</v>
      </c>
      <c r="K6421" s="5">
        <v>0</v>
      </c>
    </row>
    <row r="6422" spans="1:11" x14ac:dyDescent="0.25">
      <c r="A6422" s="5">
        <f>6415</f>
      </c>
      <c r="B6422" s="5" t="s">
        <v>6430</v>
      </c>
      <c r="C6422" s="5">
        <v>101.6</v>
      </c>
      <c r="D6422" s="5">
        <v>0.1</v>
      </c>
      <c r="E6422" s="5">
        <v>101.8</v>
      </c>
      <c r="F6422" s="5">
        <v>202.2</v>
      </c>
      <c r="G6422" s="5">
        <v>100.9</v>
      </c>
      <c r="H6422" s="5">
        <v>100.7</v>
      </c>
      <c r="I6422" s="5">
        <v>0</v>
      </c>
      <c r="J6422" s="5">
        <v>0</v>
      </c>
      <c r="K6422" s="5">
        <v>0</v>
      </c>
    </row>
    <row r="6423" spans="1:11" x14ac:dyDescent="0.25">
      <c r="A6423" s="5">
        <f>6416</f>
      </c>
      <c r="B6423" s="5" t="s">
        <v>6431</v>
      </c>
      <c r="C6423" s="5">
        <v>100.9</v>
      </c>
      <c r="D6423" s="5">
        <v>0.1</v>
      </c>
      <c r="E6423" s="5">
        <v>101</v>
      </c>
      <c r="F6423" s="5">
        <v>201.8</v>
      </c>
      <c r="G6423" s="5">
        <v>100.7</v>
      </c>
      <c r="H6423" s="5">
        <v>100.5</v>
      </c>
      <c r="I6423" s="5">
        <v>0</v>
      </c>
      <c r="J6423" s="5">
        <v>0</v>
      </c>
      <c r="K6423" s="5">
        <v>0</v>
      </c>
    </row>
    <row r="6424" spans="1:11" x14ac:dyDescent="0.25">
      <c r="A6424" s="5">
        <f>6417</f>
      </c>
      <c r="B6424" s="5" t="s">
        <v>6432</v>
      </c>
      <c r="C6424" s="5">
        <v>100.9</v>
      </c>
      <c r="D6424" s="5">
        <v>0.1</v>
      </c>
      <c r="E6424" s="5">
        <v>101</v>
      </c>
      <c r="F6424" s="5">
        <v>201.8</v>
      </c>
      <c r="G6424" s="5">
        <v>100.7</v>
      </c>
      <c r="H6424" s="5">
        <v>100.5</v>
      </c>
      <c r="I6424" s="5">
        <v>0</v>
      </c>
      <c r="J6424" s="5">
        <v>0</v>
      </c>
      <c r="K6424" s="5">
        <v>0</v>
      </c>
    </row>
    <row r="6425" spans="1:11" x14ac:dyDescent="0.25">
      <c r="A6425" s="5">
        <f>6418</f>
      </c>
      <c r="B6425" s="5" t="s">
        <v>6433</v>
      </c>
      <c r="C6425" s="5">
        <v>101.7</v>
      </c>
      <c r="D6425" s="5">
        <v>0.1</v>
      </c>
      <c r="E6425" s="5">
        <v>101.8</v>
      </c>
      <c r="F6425" s="5">
        <v>202.3</v>
      </c>
      <c r="G6425" s="5">
        <v>100.9</v>
      </c>
      <c r="H6425" s="5">
        <v>100.8</v>
      </c>
      <c r="I6425" s="5">
        <v>0</v>
      </c>
      <c r="J6425" s="5">
        <v>0</v>
      </c>
      <c r="K6425" s="5">
        <v>0</v>
      </c>
    </row>
    <row r="6426" spans="1:11" x14ac:dyDescent="0.25">
      <c r="A6426" s="5">
        <f>6419</f>
      </c>
      <c r="B6426" s="5" t="s">
        <v>6434</v>
      </c>
      <c r="C6426" s="5">
        <v>101.7</v>
      </c>
      <c r="D6426" s="5">
        <v>0.1</v>
      </c>
      <c r="E6426" s="5">
        <v>101.8</v>
      </c>
      <c r="F6426" s="5">
        <v>202.3</v>
      </c>
      <c r="G6426" s="5">
        <v>100.9</v>
      </c>
      <c r="H6426" s="5">
        <v>100.8</v>
      </c>
      <c r="I6426" s="5">
        <v>0</v>
      </c>
      <c r="J6426" s="5">
        <v>0</v>
      </c>
      <c r="K6426" s="5">
        <v>0</v>
      </c>
    </row>
    <row r="6427" spans="1:11" x14ac:dyDescent="0.25">
      <c r="A6427" s="5">
        <f>6420</f>
      </c>
      <c r="B6427" s="5" t="s">
        <v>6435</v>
      </c>
      <c r="C6427" s="5">
        <v>101.7</v>
      </c>
      <c r="D6427" s="5">
        <v>0.1</v>
      </c>
      <c r="E6427" s="5">
        <v>101.8</v>
      </c>
      <c r="F6427" s="5">
        <v>201.8</v>
      </c>
      <c r="G6427" s="5">
        <v>100.6</v>
      </c>
      <c r="H6427" s="5">
        <v>100.5</v>
      </c>
      <c r="I6427" s="5">
        <v>0</v>
      </c>
      <c r="J6427" s="5">
        <v>0</v>
      </c>
      <c r="K6427" s="5">
        <v>0</v>
      </c>
    </row>
    <row r="6428" spans="1:11" x14ac:dyDescent="0.25">
      <c r="A6428" s="5">
        <f>6421</f>
      </c>
      <c r="B6428" s="5" t="s">
        <v>6436</v>
      </c>
      <c r="C6428" s="5">
        <v>101.7</v>
      </c>
      <c r="D6428" s="5">
        <v>0.1</v>
      </c>
      <c r="E6428" s="5">
        <v>101.8</v>
      </c>
      <c r="F6428" s="5">
        <v>201.8</v>
      </c>
      <c r="G6428" s="5">
        <v>100.6</v>
      </c>
      <c r="H6428" s="5">
        <v>100.5</v>
      </c>
      <c r="I6428" s="5">
        <v>0</v>
      </c>
      <c r="J6428" s="5">
        <v>0</v>
      </c>
      <c r="K6428" s="5">
        <v>0</v>
      </c>
    </row>
    <row r="6429" spans="1:11" x14ac:dyDescent="0.25">
      <c r="A6429" s="5">
        <f>6422</f>
      </c>
      <c r="B6429" s="5" t="s">
        <v>6437</v>
      </c>
      <c r="C6429" s="5">
        <v>101.7</v>
      </c>
      <c r="D6429" s="5">
        <v>0.1</v>
      </c>
      <c r="E6429" s="5">
        <v>101.8</v>
      </c>
      <c r="F6429" s="5">
        <v>201.8</v>
      </c>
      <c r="G6429" s="5">
        <v>100.6</v>
      </c>
      <c r="H6429" s="5">
        <v>100.5</v>
      </c>
      <c r="I6429" s="5">
        <v>0</v>
      </c>
      <c r="J6429" s="5">
        <v>0</v>
      </c>
      <c r="K6429" s="5">
        <v>0</v>
      </c>
    </row>
    <row r="6430" spans="1:11" x14ac:dyDescent="0.25">
      <c r="A6430" s="5">
        <f>6423</f>
      </c>
      <c r="B6430" s="5" t="s">
        <v>6438</v>
      </c>
      <c r="C6430" s="5">
        <v>101.7</v>
      </c>
      <c r="D6430" s="5">
        <v>0.1</v>
      </c>
      <c r="E6430" s="5">
        <v>101.8</v>
      </c>
      <c r="F6430" s="5">
        <v>201.8</v>
      </c>
      <c r="G6430" s="5">
        <v>100.6</v>
      </c>
      <c r="H6430" s="5">
        <v>100.5</v>
      </c>
      <c r="I6430" s="5">
        <v>0</v>
      </c>
      <c r="J6430" s="5">
        <v>0</v>
      </c>
      <c r="K6430" s="5">
        <v>0</v>
      </c>
    </row>
    <row r="6431" spans="1:11" x14ac:dyDescent="0.25">
      <c r="A6431" s="5">
        <f>6424</f>
      </c>
      <c r="B6431" s="5" t="s">
        <v>6439</v>
      </c>
      <c r="C6431" s="5">
        <v>101</v>
      </c>
      <c r="D6431" s="5">
        <v>0.1</v>
      </c>
      <c r="E6431" s="5">
        <v>101.1</v>
      </c>
      <c r="F6431" s="5">
        <v>201.6</v>
      </c>
      <c r="G6431" s="5">
        <v>100.6</v>
      </c>
      <c r="H6431" s="5">
        <v>100.4</v>
      </c>
      <c r="I6431" s="5">
        <v>0</v>
      </c>
      <c r="J6431" s="5">
        <v>0</v>
      </c>
      <c r="K6431" s="5">
        <v>0</v>
      </c>
    </row>
    <row r="6432" spans="1:11" x14ac:dyDescent="0.25">
      <c r="A6432" s="5">
        <f>6425</f>
      </c>
      <c r="B6432" s="5" t="s">
        <v>6440</v>
      </c>
      <c r="C6432" s="5">
        <v>101</v>
      </c>
      <c r="D6432" s="5">
        <v>0.1</v>
      </c>
      <c r="E6432" s="5">
        <v>101.1</v>
      </c>
      <c r="F6432" s="5">
        <v>201.6</v>
      </c>
      <c r="G6432" s="5">
        <v>100.6</v>
      </c>
      <c r="H6432" s="5">
        <v>100.4</v>
      </c>
      <c r="I6432" s="5">
        <v>0</v>
      </c>
      <c r="J6432" s="5">
        <v>0</v>
      </c>
      <c r="K6432" s="5">
        <v>0</v>
      </c>
    </row>
    <row r="6433" spans="1:11" x14ac:dyDescent="0.25">
      <c r="A6433" s="5">
        <f>6426</f>
      </c>
      <c r="B6433" s="5" t="s">
        <v>6441</v>
      </c>
      <c r="C6433" s="5">
        <v>100.5</v>
      </c>
      <c r="D6433" s="5">
        <v>0.1</v>
      </c>
      <c r="E6433" s="5">
        <v>100.6</v>
      </c>
      <c r="F6433" s="5">
        <v>201.1</v>
      </c>
      <c r="G6433" s="5">
        <v>100.3</v>
      </c>
      <c r="H6433" s="5">
        <v>100.2</v>
      </c>
      <c r="I6433" s="5">
        <v>0</v>
      </c>
      <c r="J6433" s="5">
        <v>0</v>
      </c>
      <c r="K6433" s="5">
        <v>0</v>
      </c>
    </row>
    <row r="6434" spans="1:11" x14ac:dyDescent="0.25">
      <c r="A6434" s="5">
        <f>6427</f>
      </c>
      <c r="B6434" s="5" t="s">
        <v>6442</v>
      </c>
      <c r="C6434" s="5">
        <v>100.5</v>
      </c>
      <c r="D6434" s="5">
        <v>0.1</v>
      </c>
      <c r="E6434" s="5">
        <v>100.6</v>
      </c>
      <c r="F6434" s="5">
        <v>201.1</v>
      </c>
      <c r="G6434" s="5">
        <v>100.3</v>
      </c>
      <c r="H6434" s="5">
        <v>100.2</v>
      </c>
      <c r="I6434" s="5">
        <v>0</v>
      </c>
      <c r="J6434" s="5">
        <v>0</v>
      </c>
      <c r="K6434" s="5">
        <v>0</v>
      </c>
    </row>
    <row r="6435" spans="1:11" x14ac:dyDescent="0.25">
      <c r="A6435" s="5">
        <f>6428</f>
      </c>
      <c r="B6435" s="5" t="s">
        <v>6443</v>
      </c>
      <c r="C6435" s="5">
        <v>100.8</v>
      </c>
      <c r="D6435" s="5">
        <v>0.1</v>
      </c>
      <c r="E6435" s="5">
        <v>101</v>
      </c>
      <c r="F6435" s="5">
        <v>201.4</v>
      </c>
      <c r="G6435" s="5">
        <v>100.5</v>
      </c>
      <c r="H6435" s="5">
        <v>100.4</v>
      </c>
      <c r="I6435" s="5">
        <v>0</v>
      </c>
      <c r="J6435" s="5">
        <v>0</v>
      </c>
      <c r="K6435" s="5">
        <v>0</v>
      </c>
    </row>
    <row r="6436" spans="1:11" x14ac:dyDescent="0.25">
      <c r="A6436" s="5">
        <f>6429</f>
      </c>
      <c r="B6436" s="5" t="s">
        <v>6444</v>
      </c>
      <c r="C6436" s="5">
        <v>100.8</v>
      </c>
      <c r="D6436" s="5">
        <v>0.1</v>
      </c>
      <c r="E6436" s="5">
        <v>101</v>
      </c>
      <c r="F6436" s="5">
        <v>201.4</v>
      </c>
      <c r="G6436" s="5">
        <v>100.5</v>
      </c>
      <c r="H6436" s="5">
        <v>100.4</v>
      </c>
      <c r="I6436" s="5">
        <v>0</v>
      </c>
      <c r="J6436" s="5">
        <v>0</v>
      </c>
      <c r="K6436" s="5">
        <v>0</v>
      </c>
    </row>
    <row r="6437" spans="1:11" x14ac:dyDescent="0.25">
      <c r="A6437" s="5">
        <f>6430</f>
      </c>
      <c r="B6437" s="5" t="s">
        <v>6445</v>
      </c>
      <c r="C6437" s="5">
        <v>100.8</v>
      </c>
      <c r="D6437" s="5">
        <v>0.1</v>
      </c>
      <c r="E6437" s="5">
        <v>101</v>
      </c>
      <c r="F6437" s="5">
        <v>201.3</v>
      </c>
      <c r="G6437" s="5">
        <v>100.5</v>
      </c>
      <c r="H6437" s="5">
        <v>100.4</v>
      </c>
      <c r="I6437" s="5">
        <v>0</v>
      </c>
      <c r="J6437" s="5">
        <v>0</v>
      </c>
      <c r="K6437" s="5">
        <v>0</v>
      </c>
    </row>
    <row r="6438" spans="1:11" x14ac:dyDescent="0.25">
      <c r="A6438" s="5">
        <f>6431</f>
      </c>
      <c r="B6438" s="5" t="s">
        <v>6446</v>
      </c>
      <c r="C6438" s="5">
        <v>100.8</v>
      </c>
      <c r="D6438" s="5">
        <v>0.1</v>
      </c>
      <c r="E6438" s="5">
        <v>101</v>
      </c>
      <c r="F6438" s="5">
        <v>201.3</v>
      </c>
      <c r="G6438" s="5">
        <v>100.5</v>
      </c>
      <c r="H6438" s="5">
        <v>100.4</v>
      </c>
      <c r="I6438" s="5">
        <v>0</v>
      </c>
      <c r="J6438" s="5">
        <v>0</v>
      </c>
      <c r="K6438" s="5">
        <v>0</v>
      </c>
    </row>
    <row r="6439" spans="1:11" x14ac:dyDescent="0.25">
      <c r="A6439" s="5">
        <f>6432</f>
      </c>
      <c r="B6439" s="5" t="s">
        <v>6447</v>
      </c>
      <c r="C6439" s="5">
        <v>100.8</v>
      </c>
      <c r="D6439" s="5">
        <v>0.1</v>
      </c>
      <c r="E6439" s="5">
        <v>101</v>
      </c>
      <c r="F6439" s="5">
        <v>201.3</v>
      </c>
      <c r="G6439" s="5">
        <v>100.5</v>
      </c>
      <c r="H6439" s="5">
        <v>100.4</v>
      </c>
      <c r="I6439" s="5">
        <v>0</v>
      </c>
      <c r="J6439" s="5">
        <v>0</v>
      </c>
      <c r="K6439" s="5">
        <v>0</v>
      </c>
    </row>
    <row r="6440" spans="1:11" x14ac:dyDescent="0.25">
      <c r="A6440" s="5">
        <f>6433</f>
      </c>
      <c r="B6440" s="5" t="s">
        <v>6448</v>
      </c>
      <c r="C6440" s="5">
        <v>100.6</v>
      </c>
      <c r="D6440" s="5">
        <v>0.1</v>
      </c>
      <c r="E6440" s="5">
        <v>100.8</v>
      </c>
      <c r="F6440" s="5">
        <v>201.3</v>
      </c>
      <c r="G6440" s="5">
        <v>100.5</v>
      </c>
      <c r="H6440" s="5">
        <v>100.4</v>
      </c>
      <c r="I6440" s="5">
        <v>0</v>
      </c>
      <c r="J6440" s="5">
        <v>0</v>
      </c>
      <c r="K6440" s="5">
        <v>0</v>
      </c>
    </row>
    <row r="6441" spans="1:11" x14ac:dyDescent="0.25">
      <c r="A6441" s="5">
        <f>6434</f>
      </c>
      <c r="B6441" s="5" t="s">
        <v>6449</v>
      </c>
      <c r="C6441" s="5">
        <v>100.6</v>
      </c>
      <c r="D6441" s="5">
        <v>0.1</v>
      </c>
      <c r="E6441" s="5">
        <v>100.8</v>
      </c>
      <c r="F6441" s="5">
        <v>200.7</v>
      </c>
      <c r="G6441" s="5">
        <v>100.2</v>
      </c>
      <c r="H6441" s="5">
        <v>100</v>
      </c>
      <c r="I6441" s="5">
        <v>0</v>
      </c>
      <c r="J6441" s="5">
        <v>0</v>
      </c>
      <c r="K6441" s="5">
        <v>0</v>
      </c>
    </row>
    <row r="6442" spans="1:11" x14ac:dyDescent="0.25">
      <c r="A6442" s="5">
        <f>6435</f>
      </c>
      <c r="B6442" s="5" t="s">
        <v>6450</v>
      </c>
      <c r="C6442" s="5">
        <v>100.6</v>
      </c>
      <c r="D6442" s="5">
        <v>0.1</v>
      </c>
      <c r="E6442" s="5">
        <v>100.8</v>
      </c>
      <c r="F6442" s="5">
        <v>200.7</v>
      </c>
      <c r="G6442" s="5">
        <v>100.2</v>
      </c>
      <c r="H6442" s="5">
        <v>100</v>
      </c>
      <c r="I6442" s="5">
        <v>0</v>
      </c>
      <c r="J6442" s="5">
        <v>0</v>
      </c>
      <c r="K6442" s="5">
        <v>0</v>
      </c>
    </row>
    <row r="6443" spans="1:11" x14ac:dyDescent="0.25">
      <c r="A6443" s="5">
        <f>6436</f>
      </c>
      <c r="B6443" s="5" t="s">
        <v>6451</v>
      </c>
      <c r="C6443" s="5">
        <v>100.8</v>
      </c>
      <c r="D6443" s="5">
        <v>0.1</v>
      </c>
      <c r="E6443" s="5">
        <v>101</v>
      </c>
      <c r="F6443" s="5">
        <v>199.8</v>
      </c>
      <c r="G6443" s="5">
        <v>99.6</v>
      </c>
      <c r="H6443" s="5">
        <v>99.5</v>
      </c>
      <c r="I6443" s="5">
        <v>0</v>
      </c>
      <c r="J6443" s="5">
        <v>0</v>
      </c>
      <c r="K6443" s="5">
        <v>0</v>
      </c>
    </row>
    <row r="6444" spans="1:11" x14ac:dyDescent="0.25">
      <c r="A6444" s="5">
        <f>6437</f>
      </c>
      <c r="B6444" s="5" t="s">
        <v>6452</v>
      </c>
      <c r="C6444" s="5">
        <v>100.8</v>
      </c>
      <c r="D6444" s="5">
        <v>0.1</v>
      </c>
      <c r="E6444" s="5">
        <v>101</v>
      </c>
      <c r="F6444" s="5">
        <v>199.8</v>
      </c>
      <c r="G6444" s="5">
        <v>99.6</v>
      </c>
      <c r="H6444" s="5">
        <v>99.5</v>
      </c>
      <c r="I6444" s="5">
        <v>0</v>
      </c>
      <c r="J6444" s="5">
        <v>0</v>
      </c>
      <c r="K6444" s="5">
        <v>0</v>
      </c>
    </row>
    <row r="6445" spans="1:11" x14ac:dyDescent="0.25">
      <c r="A6445" s="5">
        <f>6438</f>
      </c>
      <c r="B6445" s="5" t="s">
        <v>6453</v>
      </c>
      <c r="C6445" s="5">
        <v>100.5</v>
      </c>
      <c r="D6445" s="5">
        <v>0.1</v>
      </c>
      <c r="E6445" s="5">
        <v>100.7</v>
      </c>
      <c r="F6445" s="5">
        <v>199.4</v>
      </c>
      <c r="G6445" s="5">
        <v>99.5</v>
      </c>
      <c r="H6445" s="5">
        <v>99.4</v>
      </c>
      <c r="I6445" s="5">
        <v>0</v>
      </c>
      <c r="J6445" s="5">
        <v>0</v>
      </c>
      <c r="K6445" s="5">
        <v>0</v>
      </c>
    </row>
    <row r="6446" spans="1:11" x14ac:dyDescent="0.25">
      <c r="A6446" s="5">
        <f>6439</f>
      </c>
      <c r="B6446" s="5" t="s">
        <v>6454</v>
      </c>
      <c r="C6446" s="5">
        <v>100.5</v>
      </c>
      <c r="D6446" s="5">
        <v>0.1</v>
      </c>
      <c r="E6446" s="5">
        <v>100.7</v>
      </c>
      <c r="F6446" s="5">
        <v>199.4</v>
      </c>
      <c r="G6446" s="5">
        <v>99.5</v>
      </c>
      <c r="H6446" s="5">
        <v>99.4</v>
      </c>
      <c r="I6446" s="5">
        <v>0</v>
      </c>
      <c r="J6446" s="5">
        <v>0</v>
      </c>
      <c r="K6446" s="5">
        <v>0</v>
      </c>
    </row>
    <row r="6447" spans="1:11" x14ac:dyDescent="0.25">
      <c r="A6447" s="5">
        <f>6440</f>
      </c>
      <c r="B6447" s="5" t="s">
        <v>6455</v>
      </c>
      <c r="C6447" s="5">
        <v>100.2</v>
      </c>
      <c r="D6447" s="5">
        <v>0.1</v>
      </c>
      <c r="E6447" s="5">
        <v>100.3</v>
      </c>
      <c r="F6447" s="5">
        <v>200.1</v>
      </c>
      <c r="G6447" s="5">
        <v>99.8</v>
      </c>
      <c r="H6447" s="5">
        <v>99.7</v>
      </c>
      <c r="I6447" s="5">
        <v>0</v>
      </c>
      <c r="J6447" s="5">
        <v>0</v>
      </c>
      <c r="K6447" s="5">
        <v>0</v>
      </c>
    </row>
    <row r="6448" spans="1:11" x14ac:dyDescent="0.25">
      <c r="A6448" s="5">
        <f>6441</f>
      </c>
      <c r="B6448" s="5" t="s">
        <v>6456</v>
      </c>
      <c r="C6448" s="5">
        <v>100.2</v>
      </c>
      <c r="D6448" s="5">
        <v>0.1</v>
      </c>
      <c r="E6448" s="5">
        <v>100.3</v>
      </c>
      <c r="F6448" s="5">
        <v>200.1</v>
      </c>
      <c r="G6448" s="5">
        <v>99.8</v>
      </c>
      <c r="H6448" s="5">
        <v>99.7</v>
      </c>
      <c r="I6448" s="5">
        <v>0</v>
      </c>
      <c r="J6448" s="5">
        <v>0</v>
      </c>
      <c r="K6448" s="5">
        <v>0</v>
      </c>
    </row>
    <row r="6449" spans="1:11" x14ac:dyDescent="0.25">
      <c r="A6449" s="5">
        <f>6442</f>
      </c>
      <c r="B6449" s="5" t="s">
        <v>6457</v>
      </c>
      <c r="C6449" s="5">
        <v>100.2</v>
      </c>
      <c r="D6449" s="5">
        <v>0.1</v>
      </c>
      <c r="E6449" s="5">
        <v>100.3</v>
      </c>
      <c r="F6449" s="5">
        <v>200.1</v>
      </c>
      <c r="G6449" s="5">
        <v>99.8</v>
      </c>
      <c r="H6449" s="5">
        <v>99.7</v>
      </c>
      <c r="I6449" s="5">
        <v>0</v>
      </c>
      <c r="J6449" s="5">
        <v>0</v>
      </c>
      <c r="K6449" s="5">
        <v>0</v>
      </c>
    </row>
    <row r="6450" spans="1:11" x14ac:dyDescent="0.25">
      <c r="A6450" s="5">
        <f>6443</f>
      </c>
      <c r="B6450" s="5" t="s">
        <v>6458</v>
      </c>
      <c r="C6450" s="5">
        <v>100.2</v>
      </c>
      <c r="D6450" s="5">
        <v>0.1</v>
      </c>
      <c r="E6450" s="5">
        <v>100.3</v>
      </c>
      <c r="F6450" s="5">
        <v>200.1</v>
      </c>
      <c r="G6450" s="5">
        <v>99.8</v>
      </c>
      <c r="H6450" s="5">
        <v>99.7</v>
      </c>
      <c r="I6450" s="5">
        <v>0</v>
      </c>
      <c r="J6450" s="5">
        <v>0</v>
      </c>
      <c r="K6450" s="5">
        <v>0</v>
      </c>
    </row>
    <row r="6451" spans="1:11" x14ac:dyDescent="0.25">
      <c r="A6451" s="5">
        <f>6444</f>
      </c>
      <c r="B6451" s="5" t="s">
        <v>6459</v>
      </c>
      <c r="C6451" s="5">
        <v>101.1</v>
      </c>
      <c r="D6451" s="5">
        <v>0.1</v>
      </c>
      <c r="E6451" s="5">
        <v>101.2</v>
      </c>
      <c r="F6451" s="5">
        <v>201.7</v>
      </c>
      <c r="G6451" s="5">
        <v>100.6</v>
      </c>
      <c r="H6451" s="5">
        <v>100.5</v>
      </c>
      <c r="I6451" s="5">
        <v>0</v>
      </c>
      <c r="J6451" s="5">
        <v>0</v>
      </c>
      <c r="K6451" s="5">
        <v>0</v>
      </c>
    </row>
    <row r="6452" spans="1:11" x14ac:dyDescent="0.25">
      <c r="A6452" s="5">
        <f>6445</f>
      </c>
      <c r="B6452" s="5" t="s">
        <v>6460</v>
      </c>
      <c r="C6452" s="5">
        <v>101.1</v>
      </c>
      <c r="D6452" s="5">
        <v>0.1</v>
      </c>
      <c r="E6452" s="5">
        <v>101.2</v>
      </c>
      <c r="F6452" s="5">
        <v>201.7</v>
      </c>
      <c r="G6452" s="5">
        <v>100.6</v>
      </c>
      <c r="H6452" s="5">
        <v>100.5</v>
      </c>
      <c r="I6452" s="5">
        <v>0</v>
      </c>
      <c r="J6452" s="5">
        <v>0</v>
      </c>
      <c r="K6452" s="5">
        <v>0</v>
      </c>
    </row>
    <row r="6453" spans="1:11" x14ac:dyDescent="0.25">
      <c r="A6453" s="5">
        <f>6446</f>
      </c>
      <c r="B6453" s="5" t="s">
        <v>6461</v>
      </c>
      <c r="C6453" s="5">
        <v>100.9</v>
      </c>
      <c r="D6453" s="5">
        <v>0.1</v>
      </c>
      <c r="E6453" s="5">
        <v>101.1</v>
      </c>
      <c r="F6453" s="5">
        <v>201.5</v>
      </c>
      <c r="G6453" s="5">
        <v>100.5</v>
      </c>
      <c r="H6453" s="5">
        <v>100.4</v>
      </c>
      <c r="I6453" s="5">
        <v>0</v>
      </c>
      <c r="J6453" s="5">
        <v>0</v>
      </c>
      <c r="K6453" s="5">
        <v>0</v>
      </c>
    </row>
    <row r="6454" spans="1:11" x14ac:dyDescent="0.25">
      <c r="A6454" s="5">
        <f>6447</f>
      </c>
      <c r="B6454" s="5" t="s">
        <v>6462</v>
      </c>
      <c r="C6454" s="5">
        <v>100.9</v>
      </c>
      <c r="D6454" s="5">
        <v>0.1</v>
      </c>
      <c r="E6454" s="5">
        <v>101.1</v>
      </c>
      <c r="F6454" s="5">
        <v>201.5</v>
      </c>
      <c r="G6454" s="5">
        <v>100.5</v>
      </c>
      <c r="H6454" s="5">
        <v>100.4</v>
      </c>
      <c r="I6454" s="5">
        <v>0</v>
      </c>
      <c r="J6454" s="5">
        <v>0</v>
      </c>
      <c r="K6454" s="5">
        <v>0</v>
      </c>
    </row>
    <row r="6455" spans="1:11" x14ac:dyDescent="0.25">
      <c r="A6455" s="5">
        <f>6448</f>
      </c>
      <c r="B6455" s="5" t="s">
        <v>6463</v>
      </c>
      <c r="C6455" s="5">
        <v>101.1</v>
      </c>
      <c r="D6455" s="5">
        <v>0.1</v>
      </c>
      <c r="E6455" s="5">
        <v>101.3</v>
      </c>
      <c r="F6455" s="5">
        <v>202.1</v>
      </c>
      <c r="G6455" s="5">
        <v>100.8</v>
      </c>
      <c r="H6455" s="5">
        <v>100.7</v>
      </c>
      <c r="I6455" s="5">
        <v>0</v>
      </c>
      <c r="J6455" s="5">
        <v>0</v>
      </c>
      <c r="K6455" s="5">
        <v>0</v>
      </c>
    </row>
    <row r="6456" spans="1:11" x14ac:dyDescent="0.25">
      <c r="A6456" s="5">
        <f>6449</f>
      </c>
      <c r="B6456" s="5" t="s">
        <v>6464</v>
      </c>
      <c r="C6456" s="5">
        <v>101.1</v>
      </c>
      <c r="D6456" s="5">
        <v>0.1</v>
      </c>
      <c r="E6456" s="5">
        <v>101.3</v>
      </c>
      <c r="F6456" s="5">
        <v>202.1</v>
      </c>
      <c r="G6456" s="5">
        <v>100.8</v>
      </c>
      <c r="H6456" s="5">
        <v>100.7</v>
      </c>
      <c r="I6456" s="5">
        <v>0</v>
      </c>
      <c r="J6456" s="5">
        <v>0</v>
      </c>
      <c r="K6456" s="5">
        <v>0</v>
      </c>
    </row>
    <row r="6457" spans="1:11" x14ac:dyDescent="0.25">
      <c r="A6457" s="5">
        <f>6450</f>
      </c>
      <c r="B6457" s="5" t="s">
        <v>6465</v>
      </c>
      <c r="C6457" s="5">
        <v>101.1</v>
      </c>
      <c r="D6457" s="5">
        <v>0.1</v>
      </c>
      <c r="E6457" s="5">
        <v>101.3</v>
      </c>
      <c r="F6457" s="5">
        <v>202.1</v>
      </c>
      <c r="G6457" s="5">
        <v>100.8</v>
      </c>
      <c r="H6457" s="5">
        <v>100.7</v>
      </c>
      <c r="I6457" s="5">
        <v>0</v>
      </c>
      <c r="J6457" s="5">
        <v>0</v>
      </c>
      <c r="K6457" s="5">
        <v>0</v>
      </c>
    </row>
    <row r="6458" spans="1:11" x14ac:dyDescent="0.25">
      <c r="A6458" s="5">
        <f>6451</f>
      </c>
      <c r="B6458" s="5" t="s">
        <v>6466</v>
      </c>
      <c r="C6458" s="5">
        <v>101.1</v>
      </c>
      <c r="D6458" s="5">
        <v>0.1</v>
      </c>
      <c r="E6458" s="5">
        <v>101.3</v>
      </c>
      <c r="F6458" s="5">
        <v>202.1</v>
      </c>
      <c r="G6458" s="5">
        <v>100.8</v>
      </c>
      <c r="H6458" s="5">
        <v>100.7</v>
      </c>
      <c r="I6458" s="5">
        <v>0</v>
      </c>
      <c r="J6458" s="5">
        <v>0</v>
      </c>
      <c r="K6458" s="5">
        <v>0</v>
      </c>
    </row>
    <row r="6459" spans="1:11" x14ac:dyDescent="0.25">
      <c r="A6459" s="5">
        <f>6452</f>
      </c>
      <c r="B6459" s="5" t="s">
        <v>6467</v>
      </c>
      <c r="C6459" s="5">
        <v>101.1</v>
      </c>
      <c r="D6459" s="5">
        <v>0.1</v>
      </c>
      <c r="E6459" s="5">
        <v>101.3</v>
      </c>
      <c r="F6459" s="5">
        <v>202.1</v>
      </c>
      <c r="G6459" s="5">
        <v>100.8</v>
      </c>
      <c r="H6459" s="5">
        <v>100.7</v>
      </c>
      <c r="I6459" s="5">
        <v>0</v>
      </c>
      <c r="J6459" s="5">
        <v>0</v>
      </c>
      <c r="K6459" s="5">
        <v>0</v>
      </c>
    </row>
    <row r="6460" spans="1:11" x14ac:dyDescent="0.25">
      <c r="A6460" s="5">
        <f>6453</f>
      </c>
      <c r="B6460" s="5" t="s">
        <v>6468</v>
      </c>
      <c r="C6460" s="5">
        <v>101.1</v>
      </c>
      <c r="D6460" s="5">
        <v>0.1</v>
      </c>
      <c r="E6460" s="5">
        <v>101.3</v>
      </c>
      <c r="F6460" s="5">
        <v>202.1</v>
      </c>
      <c r="G6460" s="5">
        <v>100.8</v>
      </c>
      <c r="H6460" s="5">
        <v>100.7</v>
      </c>
      <c r="I6460" s="5">
        <v>0</v>
      </c>
      <c r="J6460" s="5">
        <v>0</v>
      </c>
      <c r="K6460" s="5">
        <v>0</v>
      </c>
    </row>
    <row r="6461" spans="1:11" x14ac:dyDescent="0.25">
      <c r="A6461" s="5">
        <f>6454</f>
      </c>
      <c r="B6461" s="5" t="s">
        <v>6469</v>
      </c>
      <c r="C6461" s="5">
        <v>101</v>
      </c>
      <c r="D6461" s="5">
        <v>0.1</v>
      </c>
      <c r="E6461" s="5">
        <v>101.1</v>
      </c>
      <c r="F6461" s="5">
        <v>201.3</v>
      </c>
      <c r="G6461" s="5">
        <v>100.5</v>
      </c>
      <c r="H6461" s="5">
        <v>100.3</v>
      </c>
      <c r="I6461" s="5">
        <v>0</v>
      </c>
      <c r="J6461" s="5">
        <v>0</v>
      </c>
      <c r="K6461" s="5">
        <v>0</v>
      </c>
    </row>
    <row r="6462" spans="1:11" x14ac:dyDescent="0.25">
      <c r="A6462" s="5">
        <f>6455</f>
      </c>
      <c r="B6462" s="5" t="s">
        <v>6470</v>
      </c>
      <c r="C6462" s="5">
        <v>101</v>
      </c>
      <c r="D6462" s="5">
        <v>0.1</v>
      </c>
      <c r="E6462" s="5">
        <v>101.1</v>
      </c>
      <c r="F6462" s="5">
        <v>201.3</v>
      </c>
      <c r="G6462" s="5">
        <v>100.5</v>
      </c>
      <c r="H6462" s="5">
        <v>100.3</v>
      </c>
      <c r="I6462" s="5">
        <v>0</v>
      </c>
      <c r="J6462" s="5">
        <v>0</v>
      </c>
      <c r="K6462" s="5">
        <v>0</v>
      </c>
    </row>
    <row r="6463" spans="1:11" x14ac:dyDescent="0.25">
      <c r="A6463" s="5">
        <f>6456</f>
      </c>
      <c r="B6463" s="5" t="s">
        <v>6471</v>
      </c>
      <c r="C6463" s="5">
        <v>100.5</v>
      </c>
      <c r="D6463" s="5">
        <v>0.1</v>
      </c>
      <c r="E6463" s="5">
        <v>100.7</v>
      </c>
      <c r="F6463" s="5">
        <v>201.5</v>
      </c>
      <c r="G6463" s="5">
        <v>100.5</v>
      </c>
      <c r="H6463" s="5">
        <v>100.3</v>
      </c>
      <c r="I6463" s="5">
        <v>0</v>
      </c>
      <c r="J6463" s="5">
        <v>0</v>
      </c>
      <c r="K6463" s="5">
        <v>0</v>
      </c>
    </row>
    <row r="6464" spans="1:11" x14ac:dyDescent="0.25">
      <c r="A6464" s="5">
        <f>6457</f>
      </c>
      <c r="B6464" s="5" t="s">
        <v>6472</v>
      </c>
      <c r="C6464" s="5">
        <v>100.5</v>
      </c>
      <c r="D6464" s="5">
        <v>0.1</v>
      </c>
      <c r="E6464" s="5">
        <v>100.7</v>
      </c>
      <c r="F6464" s="5">
        <v>201.5</v>
      </c>
      <c r="G6464" s="5">
        <v>100.5</v>
      </c>
      <c r="H6464" s="5">
        <v>100.3</v>
      </c>
      <c r="I6464" s="5">
        <v>0</v>
      </c>
      <c r="J6464" s="5">
        <v>0</v>
      </c>
      <c r="K6464" s="5">
        <v>0</v>
      </c>
    </row>
    <row r="6465" spans="1:11" x14ac:dyDescent="0.25">
      <c r="A6465" s="5">
        <f>6458</f>
      </c>
      <c r="B6465" s="5" t="s">
        <v>6473</v>
      </c>
      <c r="C6465" s="5">
        <v>100.8</v>
      </c>
      <c r="D6465" s="5">
        <v>0.1</v>
      </c>
      <c r="E6465" s="5">
        <v>101</v>
      </c>
      <c r="F6465" s="5">
        <v>201.1</v>
      </c>
      <c r="G6465" s="5">
        <v>100.4</v>
      </c>
      <c r="H6465" s="5">
        <v>100.3</v>
      </c>
      <c r="I6465" s="5">
        <v>0</v>
      </c>
      <c r="J6465" s="5">
        <v>0</v>
      </c>
      <c r="K6465" s="5">
        <v>0</v>
      </c>
    </row>
    <row r="6466" spans="1:11" x14ac:dyDescent="0.25">
      <c r="A6466" s="5">
        <f>6459</f>
      </c>
      <c r="B6466" s="5" t="s">
        <v>6474</v>
      </c>
      <c r="C6466" s="5">
        <v>100.8</v>
      </c>
      <c r="D6466" s="5">
        <v>0.1</v>
      </c>
      <c r="E6466" s="5">
        <v>101</v>
      </c>
      <c r="F6466" s="5">
        <v>201.1</v>
      </c>
      <c r="G6466" s="5">
        <v>100.4</v>
      </c>
      <c r="H6466" s="5">
        <v>100.3</v>
      </c>
      <c r="I6466" s="5">
        <v>0</v>
      </c>
      <c r="J6466" s="5">
        <v>0</v>
      </c>
      <c r="K6466" s="5">
        <v>0</v>
      </c>
    </row>
    <row r="6467" spans="1:11" x14ac:dyDescent="0.25">
      <c r="A6467" s="5">
        <f>6460</f>
      </c>
      <c r="B6467" s="5" t="s">
        <v>6475</v>
      </c>
      <c r="C6467" s="5">
        <v>100.6</v>
      </c>
      <c r="D6467" s="5">
        <v>0.1</v>
      </c>
      <c r="E6467" s="5">
        <v>100.8</v>
      </c>
      <c r="F6467" s="5">
        <v>201.9</v>
      </c>
      <c r="G6467" s="5">
        <v>100.8</v>
      </c>
      <c r="H6467" s="5">
        <v>100.6</v>
      </c>
      <c r="I6467" s="5">
        <v>0</v>
      </c>
      <c r="J6467" s="5">
        <v>0</v>
      </c>
      <c r="K6467" s="5">
        <v>0</v>
      </c>
    </row>
    <row r="6468" spans="1:11" x14ac:dyDescent="0.25">
      <c r="A6468" s="5">
        <f>6461</f>
      </c>
      <c r="B6468" s="5" t="s">
        <v>6476</v>
      </c>
      <c r="C6468" s="5">
        <v>100.6</v>
      </c>
      <c r="D6468" s="5">
        <v>0.1</v>
      </c>
      <c r="E6468" s="5">
        <v>100.8</v>
      </c>
      <c r="F6468" s="5">
        <v>201.9</v>
      </c>
      <c r="G6468" s="5">
        <v>100.8</v>
      </c>
      <c r="H6468" s="5">
        <v>100.6</v>
      </c>
      <c r="I6468" s="5">
        <v>0</v>
      </c>
      <c r="J6468" s="5">
        <v>0</v>
      </c>
      <c r="K6468" s="5">
        <v>0</v>
      </c>
    </row>
    <row r="6469" spans="1:11" x14ac:dyDescent="0.25">
      <c r="A6469" s="5">
        <f>6462</f>
      </c>
      <c r="B6469" s="5" t="s">
        <v>6477</v>
      </c>
      <c r="C6469" s="5">
        <v>0</v>
      </c>
      <c r="D6469" s="5">
        <v>0</v>
      </c>
      <c r="E6469" s="5">
        <v>0</v>
      </c>
      <c r="F6469" s="5">
        <v>0</v>
      </c>
      <c r="G6469" s="5">
        <v>0</v>
      </c>
      <c r="H6469" s="5">
        <v>0</v>
      </c>
      <c r="I6469" s="5">
        <v>0</v>
      </c>
      <c r="J6469" s="5">
        <v>0</v>
      </c>
      <c r="K6469" s="5">
        <v>0</v>
      </c>
    </row>
    <row r="6470" spans="1:11" x14ac:dyDescent="0.25">
      <c r="A6470" s="5">
        <f>6463</f>
      </c>
      <c r="B6470" s="5" t="s">
        <v>6478</v>
      </c>
      <c r="C6470" s="5">
        <v>100.5</v>
      </c>
      <c r="D6470" s="5">
        <v>0.1</v>
      </c>
      <c r="E6470" s="5">
        <v>100.7</v>
      </c>
      <c r="F6470" s="5">
        <v>201.5</v>
      </c>
      <c r="G6470" s="5">
        <v>100.5</v>
      </c>
      <c r="H6470" s="5">
        <v>100.4</v>
      </c>
      <c r="I6470" s="5">
        <v>0</v>
      </c>
      <c r="J6470" s="5">
        <v>0</v>
      </c>
      <c r="K6470" s="5">
        <v>0</v>
      </c>
    </row>
    <row r="6471" spans="1:11" x14ac:dyDescent="0.25">
      <c r="A6471" s="5">
        <f>6464</f>
      </c>
      <c r="B6471" s="5" t="s">
        <v>6479</v>
      </c>
      <c r="C6471" s="5">
        <v>100.5</v>
      </c>
      <c r="D6471" s="5">
        <v>0.1</v>
      </c>
      <c r="E6471" s="5">
        <v>100.7</v>
      </c>
      <c r="F6471" s="5">
        <v>201.5</v>
      </c>
      <c r="G6471" s="5">
        <v>100.5</v>
      </c>
      <c r="H6471" s="5">
        <v>100.4</v>
      </c>
      <c r="I6471" s="5">
        <v>0</v>
      </c>
      <c r="J6471" s="5">
        <v>0</v>
      </c>
      <c r="K6471" s="5">
        <v>0</v>
      </c>
    </row>
    <row r="6472" spans="1:11" x14ac:dyDescent="0.25">
      <c r="A6472" s="5">
        <f>6465</f>
      </c>
      <c r="B6472" s="5" t="s">
        <v>6480</v>
      </c>
      <c r="C6472" s="5">
        <v>100.6</v>
      </c>
      <c r="D6472" s="5">
        <v>0.1</v>
      </c>
      <c r="E6472" s="5">
        <v>100.7</v>
      </c>
      <c r="F6472" s="5">
        <v>201.3</v>
      </c>
      <c r="G6472" s="5">
        <v>100.5</v>
      </c>
      <c r="H6472" s="5">
        <v>100.3</v>
      </c>
      <c r="I6472" s="5">
        <v>0</v>
      </c>
      <c r="J6472" s="5">
        <v>0</v>
      </c>
      <c r="K6472" s="5">
        <v>0</v>
      </c>
    </row>
    <row r="6473" spans="1:11" x14ac:dyDescent="0.25">
      <c r="A6473" s="5">
        <f>6466</f>
      </c>
      <c r="B6473" s="5" t="s">
        <v>6481</v>
      </c>
      <c r="C6473" s="5">
        <v>100.6</v>
      </c>
      <c r="D6473" s="5">
        <v>0.1</v>
      </c>
      <c r="E6473" s="5">
        <v>100.7</v>
      </c>
      <c r="F6473" s="5">
        <v>201.3</v>
      </c>
      <c r="G6473" s="5">
        <v>100.5</v>
      </c>
      <c r="H6473" s="5">
        <v>100.3</v>
      </c>
      <c r="I6473" s="5">
        <v>0</v>
      </c>
      <c r="J6473" s="5">
        <v>0</v>
      </c>
      <c r="K6473" s="5">
        <v>0</v>
      </c>
    </row>
    <row r="6474" spans="1:11" x14ac:dyDescent="0.25">
      <c r="A6474" s="5">
        <f>6467</f>
      </c>
      <c r="B6474" s="5" t="s">
        <v>6482</v>
      </c>
      <c r="C6474" s="5">
        <v>100.8</v>
      </c>
      <c r="D6474" s="5">
        <v>0.1</v>
      </c>
      <c r="E6474" s="5">
        <v>101</v>
      </c>
      <c r="F6474" s="5">
        <v>201.2</v>
      </c>
      <c r="G6474" s="5">
        <v>100.4</v>
      </c>
      <c r="H6474" s="5">
        <v>100.3</v>
      </c>
      <c r="I6474" s="5">
        <v>0</v>
      </c>
      <c r="J6474" s="5">
        <v>0</v>
      </c>
      <c r="K6474" s="5">
        <v>0</v>
      </c>
    </row>
    <row r="6475" spans="1:11" x14ac:dyDescent="0.25">
      <c r="A6475" s="5">
        <f>6468</f>
      </c>
      <c r="B6475" s="5" t="s">
        <v>6483</v>
      </c>
      <c r="C6475" s="5">
        <v>100.8</v>
      </c>
      <c r="D6475" s="5">
        <v>0.1</v>
      </c>
      <c r="E6475" s="5">
        <v>101</v>
      </c>
      <c r="F6475" s="5">
        <v>201.2</v>
      </c>
      <c r="G6475" s="5">
        <v>100.4</v>
      </c>
      <c r="H6475" s="5">
        <v>100.3</v>
      </c>
      <c r="I6475" s="5">
        <v>0</v>
      </c>
      <c r="J6475" s="5">
        <v>0</v>
      </c>
      <c r="K6475" s="5">
        <v>0</v>
      </c>
    </row>
    <row r="6476" spans="1:11" x14ac:dyDescent="0.25">
      <c r="A6476" s="5">
        <f>6469</f>
      </c>
      <c r="B6476" s="5" t="s">
        <v>6484</v>
      </c>
      <c r="C6476" s="5">
        <v>100.8</v>
      </c>
      <c r="D6476" s="5">
        <v>0.1</v>
      </c>
      <c r="E6476" s="5">
        <v>101</v>
      </c>
      <c r="F6476" s="5">
        <v>201.2</v>
      </c>
      <c r="G6476" s="5">
        <v>100.4</v>
      </c>
      <c r="H6476" s="5">
        <v>100.3</v>
      </c>
      <c r="I6476" s="5">
        <v>0</v>
      </c>
      <c r="J6476" s="5">
        <v>0</v>
      </c>
      <c r="K6476" s="5">
        <v>0</v>
      </c>
    </row>
    <row r="6477" spans="1:11" x14ac:dyDescent="0.25">
      <c r="A6477" s="5">
        <f>6470</f>
      </c>
      <c r="B6477" s="5" t="s">
        <v>6485</v>
      </c>
      <c r="C6477" s="5">
        <v>100.8</v>
      </c>
      <c r="D6477" s="5">
        <v>0.1</v>
      </c>
      <c r="E6477" s="5">
        <v>101</v>
      </c>
      <c r="F6477" s="5">
        <v>201.2</v>
      </c>
      <c r="G6477" s="5">
        <v>100.4</v>
      </c>
      <c r="H6477" s="5">
        <v>100.3</v>
      </c>
      <c r="I6477" s="5">
        <v>0</v>
      </c>
      <c r="J6477" s="5">
        <v>0</v>
      </c>
      <c r="K6477" s="5">
        <v>0</v>
      </c>
    </row>
    <row r="6478" spans="1:11" x14ac:dyDescent="0.25">
      <c r="A6478" s="5">
        <f>6471</f>
      </c>
      <c r="B6478" s="5" t="s">
        <v>6486</v>
      </c>
      <c r="C6478" s="5">
        <v>100.9</v>
      </c>
      <c r="D6478" s="5">
        <v>0.1</v>
      </c>
      <c r="E6478" s="5">
        <v>101</v>
      </c>
      <c r="F6478" s="5">
        <v>201.2</v>
      </c>
      <c r="G6478" s="5">
        <v>100.4</v>
      </c>
      <c r="H6478" s="5">
        <v>100.3</v>
      </c>
      <c r="I6478" s="5">
        <v>0</v>
      </c>
      <c r="J6478" s="5">
        <v>0</v>
      </c>
      <c r="K6478" s="5">
        <v>0</v>
      </c>
    </row>
    <row r="6479" spans="1:11" x14ac:dyDescent="0.25">
      <c r="A6479" s="5">
        <f>6472</f>
      </c>
      <c r="B6479" s="5" t="s">
        <v>6487</v>
      </c>
      <c r="C6479" s="5">
        <v>101.8</v>
      </c>
      <c r="D6479" s="5">
        <v>0.1</v>
      </c>
      <c r="E6479" s="5">
        <v>101.9</v>
      </c>
      <c r="F6479" s="5">
        <v>202.9</v>
      </c>
      <c r="G6479" s="5">
        <v>101.2</v>
      </c>
      <c r="H6479" s="5">
        <v>101.1</v>
      </c>
      <c r="I6479" s="5">
        <v>0</v>
      </c>
      <c r="J6479" s="5">
        <v>0</v>
      </c>
      <c r="K6479" s="5">
        <v>0</v>
      </c>
    </row>
    <row r="6480" spans="1:11" x14ac:dyDescent="0.25">
      <c r="A6480" s="5">
        <f>6473</f>
      </c>
      <c r="B6480" s="5" t="s">
        <v>6488</v>
      </c>
      <c r="C6480" s="5">
        <v>101.6</v>
      </c>
      <c r="D6480" s="5">
        <v>0.1</v>
      </c>
      <c r="E6480" s="5">
        <v>101.8</v>
      </c>
      <c r="F6480" s="5">
        <v>203.2</v>
      </c>
      <c r="G6480" s="5">
        <v>101.4</v>
      </c>
      <c r="H6480" s="5">
        <v>101.2</v>
      </c>
      <c r="I6480" s="5">
        <v>0</v>
      </c>
      <c r="J6480" s="5">
        <v>0</v>
      </c>
      <c r="K6480" s="5">
        <v>0</v>
      </c>
    </row>
    <row r="6481" spans="1:11" x14ac:dyDescent="0.25">
      <c r="A6481" s="5">
        <f>6474</f>
      </c>
      <c r="B6481" s="5" t="s">
        <v>6489</v>
      </c>
      <c r="C6481" s="5">
        <v>101.6</v>
      </c>
      <c r="D6481" s="5">
        <v>0.1</v>
      </c>
      <c r="E6481" s="5">
        <v>101.8</v>
      </c>
      <c r="F6481" s="5">
        <v>203.2</v>
      </c>
      <c r="G6481" s="5">
        <v>101.4</v>
      </c>
      <c r="H6481" s="5">
        <v>101.2</v>
      </c>
      <c r="I6481" s="5">
        <v>0</v>
      </c>
      <c r="J6481" s="5">
        <v>0</v>
      </c>
      <c r="K6481" s="5">
        <v>0</v>
      </c>
    </row>
    <row r="6482" spans="1:11" x14ac:dyDescent="0.25">
      <c r="A6482" s="5">
        <f>6475</f>
      </c>
      <c r="B6482" s="5" t="s">
        <v>6490</v>
      </c>
      <c r="C6482" s="5">
        <v>102.1</v>
      </c>
      <c r="D6482" s="5">
        <v>0.1</v>
      </c>
      <c r="E6482" s="5">
        <v>102.3</v>
      </c>
      <c r="F6482" s="5">
        <v>204.2</v>
      </c>
      <c r="G6482" s="5">
        <v>101.7</v>
      </c>
      <c r="H6482" s="5">
        <v>101.5</v>
      </c>
      <c r="I6482" s="5">
        <v>0</v>
      </c>
      <c r="J6482" s="5">
        <v>0</v>
      </c>
      <c r="K6482" s="5">
        <v>0</v>
      </c>
    </row>
    <row r="6483" spans="1:11" x14ac:dyDescent="0.25">
      <c r="A6483" s="5">
        <f>6476</f>
      </c>
      <c r="B6483" s="5" t="s">
        <v>6491</v>
      </c>
      <c r="C6483" s="5">
        <v>102.1</v>
      </c>
      <c r="D6483" s="5">
        <v>0.1</v>
      </c>
      <c r="E6483" s="5">
        <v>102.3</v>
      </c>
      <c r="F6483" s="5">
        <v>204.2</v>
      </c>
      <c r="G6483" s="5">
        <v>101.7</v>
      </c>
      <c r="H6483" s="5">
        <v>101.5</v>
      </c>
      <c r="I6483" s="5">
        <v>0</v>
      </c>
      <c r="J6483" s="5">
        <v>0</v>
      </c>
      <c r="K6483" s="5">
        <v>0</v>
      </c>
    </row>
    <row r="6484" spans="1:11" x14ac:dyDescent="0.25">
      <c r="A6484" s="5">
        <f>6477</f>
      </c>
      <c r="B6484" s="5" t="s">
        <v>6492</v>
      </c>
      <c r="C6484" s="5">
        <v>102.1</v>
      </c>
      <c r="D6484" s="5">
        <v>0.1</v>
      </c>
      <c r="E6484" s="5">
        <v>102.3</v>
      </c>
      <c r="F6484" s="5">
        <v>204.2</v>
      </c>
      <c r="G6484" s="5">
        <v>101.7</v>
      </c>
      <c r="H6484" s="5">
        <v>101.5</v>
      </c>
      <c r="I6484" s="5">
        <v>0</v>
      </c>
      <c r="J6484" s="5">
        <v>0</v>
      </c>
      <c r="K6484" s="5">
        <v>0</v>
      </c>
    </row>
    <row r="6485" spans="1:11" x14ac:dyDescent="0.25">
      <c r="A6485" s="5">
        <f>6478</f>
      </c>
      <c r="B6485" s="5" t="s">
        <v>6493</v>
      </c>
      <c r="C6485" s="5">
        <v>102.1</v>
      </c>
      <c r="D6485" s="5">
        <v>0.1</v>
      </c>
      <c r="E6485" s="5">
        <v>102.3</v>
      </c>
      <c r="F6485" s="5">
        <v>204.2</v>
      </c>
      <c r="G6485" s="5">
        <v>103.7</v>
      </c>
      <c r="H6485" s="5">
        <v>103.6</v>
      </c>
      <c r="I6485" s="5">
        <v>0</v>
      </c>
      <c r="J6485" s="5">
        <v>0</v>
      </c>
      <c r="K6485" s="5">
        <v>0</v>
      </c>
    </row>
    <row r="6486" spans="1:11" x14ac:dyDescent="0.25">
      <c r="A6486" s="5">
        <f>6479</f>
      </c>
      <c r="B6486" s="5" t="s">
        <v>6494</v>
      </c>
      <c r="C6486" s="5">
        <v>104.2</v>
      </c>
      <c r="D6486" s="5">
        <v>0.1</v>
      </c>
      <c r="E6486" s="5">
        <v>104.3</v>
      </c>
      <c r="F6486" s="5">
        <v>207.9</v>
      </c>
      <c r="G6486" s="5">
        <v>103.7</v>
      </c>
      <c r="H6486" s="5">
        <v>103.6</v>
      </c>
      <c r="I6486" s="5">
        <v>0</v>
      </c>
      <c r="J6486" s="5">
        <v>0</v>
      </c>
      <c r="K6486" s="5">
        <v>0</v>
      </c>
    </row>
    <row r="6487" spans="1:11" x14ac:dyDescent="0.25">
      <c r="A6487" s="5">
        <f>6480</f>
      </c>
      <c r="B6487" s="5" t="s">
        <v>6495</v>
      </c>
      <c r="C6487" s="5">
        <v>104.2</v>
      </c>
      <c r="D6487" s="5">
        <v>0.1</v>
      </c>
      <c r="E6487" s="5">
        <v>104.3</v>
      </c>
      <c r="F6487" s="5">
        <v>207.9</v>
      </c>
      <c r="G6487" s="5">
        <v>103.7</v>
      </c>
      <c r="H6487" s="5">
        <v>103.6</v>
      </c>
      <c r="I6487" s="5">
        <v>0</v>
      </c>
      <c r="J6487" s="5">
        <v>0</v>
      </c>
      <c r="K6487" s="5">
        <v>0</v>
      </c>
    </row>
    <row r="6488" spans="1:11" x14ac:dyDescent="0.25">
      <c r="A6488" s="5">
        <f>6481</f>
      </c>
      <c r="B6488" s="5" t="s">
        <v>6496</v>
      </c>
      <c r="C6488" s="5">
        <v>104.2</v>
      </c>
      <c r="D6488" s="5">
        <v>0.1</v>
      </c>
      <c r="E6488" s="5">
        <v>104.3</v>
      </c>
      <c r="F6488" s="5">
        <v>207.9</v>
      </c>
      <c r="G6488" s="5">
        <v>103.7</v>
      </c>
      <c r="H6488" s="5">
        <v>103.6</v>
      </c>
      <c r="I6488" s="5">
        <v>0</v>
      </c>
      <c r="J6488" s="5">
        <v>0</v>
      </c>
      <c r="K6488" s="5">
        <v>0</v>
      </c>
    </row>
    <row r="6489" spans="1:11" x14ac:dyDescent="0.25">
      <c r="A6489" s="5">
        <f>6482</f>
      </c>
      <c r="B6489" s="5" t="s">
        <v>6497</v>
      </c>
      <c r="C6489" s="5">
        <v>104.2</v>
      </c>
      <c r="D6489" s="5">
        <v>0.1</v>
      </c>
      <c r="E6489" s="5">
        <v>104.3</v>
      </c>
      <c r="F6489" s="5">
        <v>207.9</v>
      </c>
      <c r="G6489" s="5">
        <v>103.7</v>
      </c>
      <c r="H6489" s="5">
        <v>104.1</v>
      </c>
      <c r="I6489" s="5">
        <v>0</v>
      </c>
      <c r="J6489" s="5">
        <v>0</v>
      </c>
      <c r="K6489" s="5">
        <v>0</v>
      </c>
    </row>
    <row r="6490" spans="1:11" x14ac:dyDescent="0.25">
      <c r="A6490" s="5">
        <f>6483</f>
      </c>
      <c r="B6490" s="5" t="s">
        <v>6498</v>
      </c>
      <c r="C6490" s="5">
        <v>104.6</v>
      </c>
      <c r="D6490" s="5">
        <v>0.1</v>
      </c>
      <c r="E6490" s="5">
        <v>104.7</v>
      </c>
      <c r="F6490" s="5">
        <v>208.9</v>
      </c>
      <c r="G6490" s="5">
        <v>104.3</v>
      </c>
      <c r="H6490" s="5">
        <v>104.1</v>
      </c>
      <c r="I6490" s="5">
        <v>0</v>
      </c>
      <c r="J6490" s="5">
        <v>0</v>
      </c>
      <c r="K6490" s="5">
        <v>0</v>
      </c>
    </row>
    <row r="6491" spans="1:11" x14ac:dyDescent="0.25">
      <c r="A6491" s="5">
        <f>6484</f>
      </c>
      <c r="B6491" s="5" t="s">
        <v>6499</v>
      </c>
      <c r="C6491" s="5">
        <v>104.6</v>
      </c>
      <c r="D6491" s="5">
        <v>0.1</v>
      </c>
      <c r="E6491" s="5">
        <v>104.7</v>
      </c>
      <c r="F6491" s="5">
        <v>208.9</v>
      </c>
      <c r="G6491" s="5">
        <v>104.3</v>
      </c>
      <c r="H6491" s="5">
        <v>104.1</v>
      </c>
      <c r="I6491" s="5">
        <v>0</v>
      </c>
      <c r="J6491" s="5">
        <v>0</v>
      </c>
      <c r="K6491" s="5">
        <v>0</v>
      </c>
    </row>
    <row r="6492" spans="1:11" x14ac:dyDescent="0.25">
      <c r="A6492" s="5">
        <f>6485</f>
      </c>
      <c r="B6492" s="5" t="s">
        <v>6500</v>
      </c>
      <c r="C6492" s="5">
        <v>104.8</v>
      </c>
      <c r="D6492" s="5">
        <v>0.1</v>
      </c>
      <c r="E6492" s="5">
        <v>105</v>
      </c>
      <c r="F6492" s="5">
        <v>210</v>
      </c>
      <c r="G6492" s="5">
        <v>104.8</v>
      </c>
      <c r="H6492" s="5">
        <v>104.6</v>
      </c>
      <c r="I6492" s="5">
        <v>0</v>
      </c>
      <c r="J6492" s="5">
        <v>0</v>
      </c>
      <c r="K6492" s="5">
        <v>0</v>
      </c>
    </row>
    <row r="6493" spans="1:11" x14ac:dyDescent="0.25">
      <c r="A6493" s="5">
        <f>6486</f>
      </c>
      <c r="B6493" s="5" t="s">
        <v>6501</v>
      </c>
      <c r="C6493" s="5">
        <v>104.8</v>
      </c>
      <c r="D6493" s="5">
        <v>0.1</v>
      </c>
      <c r="E6493" s="5">
        <v>105</v>
      </c>
      <c r="F6493" s="5">
        <v>210</v>
      </c>
      <c r="G6493" s="5">
        <v>104.8</v>
      </c>
      <c r="H6493" s="5">
        <v>104.6</v>
      </c>
      <c r="I6493" s="5">
        <v>0</v>
      </c>
      <c r="J6493" s="5">
        <v>0</v>
      </c>
      <c r="K6493" s="5">
        <v>0</v>
      </c>
    </row>
    <row r="6494" spans="1:11" x14ac:dyDescent="0.25">
      <c r="A6494" s="5">
        <f>6487</f>
      </c>
      <c r="B6494" s="5" t="s">
        <v>6502</v>
      </c>
      <c r="C6494" s="5">
        <v>104.8</v>
      </c>
      <c r="D6494" s="5">
        <v>0.1</v>
      </c>
      <c r="E6494" s="5">
        <v>105</v>
      </c>
      <c r="F6494" s="5">
        <v>210</v>
      </c>
      <c r="G6494" s="5">
        <v>104.8</v>
      </c>
      <c r="H6494" s="5">
        <v>104.6</v>
      </c>
      <c r="I6494" s="5">
        <v>0</v>
      </c>
      <c r="J6494" s="5">
        <v>0</v>
      </c>
      <c r="K6494" s="5">
        <v>0</v>
      </c>
    </row>
    <row r="6495" spans="1:11" x14ac:dyDescent="0.25">
      <c r="A6495" s="5">
        <f>6488</f>
      </c>
      <c r="B6495" s="5" t="s">
        <v>6503</v>
      </c>
      <c r="C6495" s="5">
        <v>104.8</v>
      </c>
      <c r="D6495" s="5">
        <v>0.1</v>
      </c>
      <c r="E6495" s="5">
        <v>104.9</v>
      </c>
      <c r="F6495" s="5">
        <v>209</v>
      </c>
      <c r="G6495" s="5">
        <v>104.3</v>
      </c>
      <c r="H6495" s="5">
        <v>104.1</v>
      </c>
      <c r="I6495" s="5">
        <v>0</v>
      </c>
      <c r="J6495" s="5">
        <v>0</v>
      </c>
      <c r="K6495" s="5">
        <v>0</v>
      </c>
    </row>
    <row r="6496" spans="1:11" x14ac:dyDescent="0.25">
      <c r="A6496" s="5">
        <f>6489</f>
      </c>
      <c r="B6496" s="5" t="s">
        <v>6504</v>
      </c>
      <c r="C6496" s="5">
        <v>104.8</v>
      </c>
      <c r="D6496" s="5">
        <v>0.1</v>
      </c>
      <c r="E6496" s="5">
        <v>104.9</v>
      </c>
      <c r="F6496" s="5">
        <v>209</v>
      </c>
      <c r="G6496" s="5">
        <v>104.3</v>
      </c>
      <c r="H6496" s="5">
        <v>104.1</v>
      </c>
      <c r="I6496" s="5">
        <v>0</v>
      </c>
      <c r="J6496" s="5">
        <v>0</v>
      </c>
      <c r="K6496" s="5">
        <v>0</v>
      </c>
    </row>
    <row r="6497" spans="1:11" x14ac:dyDescent="0.25">
      <c r="A6497" s="5">
        <f>6490</f>
      </c>
      <c r="B6497" s="5" t="s">
        <v>6505</v>
      </c>
      <c r="C6497" s="5">
        <v>103.2</v>
      </c>
      <c r="D6497" s="5">
        <v>0.1</v>
      </c>
      <c r="E6497" s="5">
        <v>103.4</v>
      </c>
      <c r="F6497" s="5">
        <v>206.3</v>
      </c>
      <c r="G6497" s="5">
        <v>103</v>
      </c>
      <c r="H6497" s="5">
        <v>102.7</v>
      </c>
      <c r="I6497" s="5">
        <v>0</v>
      </c>
      <c r="J6497" s="5">
        <v>0</v>
      </c>
      <c r="K6497" s="5">
        <v>0</v>
      </c>
    </row>
    <row r="6498" spans="1:11" x14ac:dyDescent="0.25">
      <c r="A6498" s="5">
        <f>6491</f>
      </c>
      <c r="B6498" s="5" t="s">
        <v>6506</v>
      </c>
      <c r="C6498" s="5">
        <v>103.2</v>
      </c>
      <c r="D6498" s="5">
        <v>0.1</v>
      </c>
      <c r="E6498" s="5">
        <v>103.4</v>
      </c>
      <c r="F6498" s="5">
        <v>206.3</v>
      </c>
      <c r="G6498" s="5">
        <v>103</v>
      </c>
      <c r="H6498" s="5">
        <v>102.7</v>
      </c>
      <c r="I6498" s="5">
        <v>0</v>
      </c>
      <c r="J6498" s="5">
        <v>0</v>
      </c>
      <c r="K6498" s="5">
        <v>0</v>
      </c>
    </row>
    <row r="6499" spans="1:11" x14ac:dyDescent="0.25">
      <c r="A6499" s="5">
        <f>6492</f>
      </c>
      <c r="B6499" s="5" t="s">
        <v>6507</v>
      </c>
      <c r="C6499" s="5">
        <v>102.1</v>
      </c>
      <c r="D6499" s="5">
        <v>0.1</v>
      </c>
      <c r="E6499" s="5">
        <v>102.1</v>
      </c>
      <c r="F6499" s="5">
        <v>203.9</v>
      </c>
      <c r="G6499" s="5">
        <v>101.7</v>
      </c>
      <c r="H6499" s="5">
        <v>101.7</v>
      </c>
      <c r="I6499" s="5">
        <v>0</v>
      </c>
      <c r="J6499" s="5">
        <v>0</v>
      </c>
      <c r="K6499" s="5">
        <v>0</v>
      </c>
    </row>
    <row r="6500" spans="1:11" x14ac:dyDescent="0.25">
      <c r="A6500" s="5">
        <f>6493</f>
      </c>
      <c r="B6500" s="5" t="s">
        <v>6508</v>
      </c>
      <c r="C6500" s="5">
        <v>102.1</v>
      </c>
      <c r="D6500" s="5">
        <v>0.1</v>
      </c>
      <c r="E6500" s="5">
        <v>102.1</v>
      </c>
      <c r="F6500" s="5">
        <v>203.9</v>
      </c>
      <c r="G6500" s="5">
        <v>101.7</v>
      </c>
      <c r="H6500" s="5">
        <v>101.7</v>
      </c>
      <c r="I6500" s="5">
        <v>0</v>
      </c>
      <c r="J6500" s="5">
        <v>0</v>
      </c>
      <c r="K6500" s="5">
        <v>0</v>
      </c>
    </row>
    <row r="6501" spans="1:11" x14ac:dyDescent="0.25">
      <c r="A6501" s="5">
        <f>6494</f>
      </c>
      <c r="B6501" s="5" t="s">
        <v>6509</v>
      </c>
      <c r="C6501" s="5">
        <v>102.1</v>
      </c>
      <c r="D6501" s="5">
        <v>0.1</v>
      </c>
      <c r="E6501" s="5">
        <v>102.1</v>
      </c>
      <c r="F6501" s="5">
        <v>203.9</v>
      </c>
      <c r="G6501" s="5">
        <v>101.7</v>
      </c>
      <c r="H6501" s="5">
        <v>101.7</v>
      </c>
      <c r="I6501" s="5">
        <v>0</v>
      </c>
      <c r="J6501" s="5">
        <v>0</v>
      </c>
      <c r="K6501" s="5">
        <v>0</v>
      </c>
    </row>
    <row r="6502" spans="1:11" x14ac:dyDescent="0.25">
      <c r="A6502" s="5">
        <f>6495</f>
      </c>
      <c r="B6502" s="5" t="s">
        <v>6510</v>
      </c>
      <c r="C6502" s="5">
        <v>102.1</v>
      </c>
      <c r="D6502" s="5">
        <v>0.1</v>
      </c>
      <c r="E6502" s="5">
        <v>102.1</v>
      </c>
      <c r="F6502" s="5">
        <v>203.9</v>
      </c>
      <c r="G6502" s="5">
        <v>101.7</v>
      </c>
      <c r="H6502" s="5">
        <v>101.7</v>
      </c>
      <c r="I6502" s="5">
        <v>0</v>
      </c>
      <c r="J6502" s="5">
        <v>0</v>
      </c>
      <c r="K6502" s="5">
        <v>0</v>
      </c>
    </row>
    <row r="6503" spans="1:11" x14ac:dyDescent="0.25">
      <c r="A6503" s="5">
        <f>6496</f>
      </c>
      <c r="B6503" s="5" t="s">
        <v>6511</v>
      </c>
      <c r="C6503" s="5">
        <v>104</v>
      </c>
      <c r="D6503" s="5">
        <v>0.1</v>
      </c>
      <c r="E6503" s="5">
        <v>104.2</v>
      </c>
      <c r="F6503" s="5">
        <v>207.6</v>
      </c>
      <c r="G6503" s="5">
        <v>103.6</v>
      </c>
      <c r="H6503" s="5">
        <v>103.4</v>
      </c>
      <c r="I6503" s="5">
        <v>0</v>
      </c>
      <c r="J6503" s="5">
        <v>0</v>
      </c>
      <c r="K6503" s="5">
        <v>0</v>
      </c>
    </row>
    <row r="6504" spans="1:11" x14ac:dyDescent="0.25">
      <c r="A6504" s="5">
        <f>6497</f>
      </c>
      <c r="B6504" s="5" t="s">
        <v>6512</v>
      </c>
      <c r="C6504" s="5">
        <v>104</v>
      </c>
      <c r="D6504" s="5">
        <v>0.1</v>
      </c>
      <c r="E6504" s="5">
        <v>104.2</v>
      </c>
      <c r="F6504" s="5">
        <v>207.6</v>
      </c>
      <c r="G6504" s="5">
        <v>103.6</v>
      </c>
      <c r="H6504" s="5">
        <v>103.4</v>
      </c>
      <c r="I6504" s="5">
        <v>0</v>
      </c>
      <c r="J6504" s="5">
        <v>0</v>
      </c>
      <c r="K6504" s="5">
        <v>0</v>
      </c>
    </row>
    <row r="6505" spans="1:11" x14ac:dyDescent="0.25">
      <c r="A6505" s="5">
        <f>6498</f>
      </c>
      <c r="B6505" s="5" t="s">
        <v>6513</v>
      </c>
      <c r="C6505" s="5">
        <v>105.3</v>
      </c>
      <c r="D6505" s="5">
        <v>0.1</v>
      </c>
      <c r="E6505" s="5">
        <v>105.5</v>
      </c>
      <c r="F6505" s="5">
        <v>208.7</v>
      </c>
      <c r="G6505" s="5">
        <v>104.1</v>
      </c>
      <c r="H6505" s="5">
        <v>104</v>
      </c>
      <c r="I6505" s="5">
        <v>0</v>
      </c>
      <c r="J6505" s="5">
        <v>0</v>
      </c>
      <c r="K6505" s="5">
        <v>0</v>
      </c>
    </row>
    <row r="6506" spans="1:11" x14ac:dyDescent="0.25">
      <c r="A6506" s="5">
        <f>6499</f>
      </c>
      <c r="B6506" s="5" t="s">
        <v>6514</v>
      </c>
      <c r="C6506" s="5">
        <v>105.3</v>
      </c>
      <c r="D6506" s="5">
        <v>0.1</v>
      </c>
      <c r="E6506" s="5">
        <v>105.5</v>
      </c>
      <c r="F6506" s="5">
        <v>208.7</v>
      </c>
      <c r="G6506" s="5">
        <v>104.1</v>
      </c>
      <c r="H6506" s="5">
        <v>104</v>
      </c>
      <c r="I6506" s="5">
        <v>0</v>
      </c>
      <c r="J6506" s="5">
        <v>0</v>
      </c>
      <c r="K6506" s="5">
        <v>0</v>
      </c>
    </row>
    <row r="6507" spans="1:11" x14ac:dyDescent="0.25">
      <c r="A6507" s="5">
        <f>6500</f>
      </c>
      <c r="B6507" s="5" t="s">
        <v>6515</v>
      </c>
      <c r="C6507" s="5">
        <v>104.8</v>
      </c>
      <c r="D6507" s="5">
        <v>0.1</v>
      </c>
      <c r="E6507" s="5">
        <v>105</v>
      </c>
      <c r="F6507" s="5">
        <v>209.6</v>
      </c>
      <c r="G6507" s="5">
        <v>104.6</v>
      </c>
      <c r="H6507" s="5">
        <v>104.4</v>
      </c>
      <c r="I6507" s="5">
        <v>0</v>
      </c>
      <c r="J6507" s="5">
        <v>0</v>
      </c>
      <c r="K6507" s="5">
        <v>0</v>
      </c>
    </row>
    <row r="6508" spans="1:11" x14ac:dyDescent="0.25">
      <c r="A6508" s="5">
        <f>6501</f>
      </c>
      <c r="B6508" s="5" t="s">
        <v>6516</v>
      </c>
      <c r="C6508" s="5">
        <v>104.8</v>
      </c>
      <c r="D6508" s="5">
        <v>0.1</v>
      </c>
      <c r="E6508" s="5">
        <v>105</v>
      </c>
      <c r="F6508" s="5">
        <v>209.6</v>
      </c>
      <c r="G6508" s="5">
        <v>104.6</v>
      </c>
      <c r="H6508" s="5">
        <v>104.4</v>
      </c>
      <c r="I6508" s="5">
        <v>0</v>
      </c>
      <c r="J6508" s="5">
        <v>0</v>
      </c>
      <c r="K6508" s="5">
        <v>0</v>
      </c>
    </row>
    <row r="6509" spans="1:11" x14ac:dyDescent="0.25">
      <c r="A6509" s="5">
        <f>6502</f>
      </c>
      <c r="B6509" s="5" t="s">
        <v>6517</v>
      </c>
      <c r="C6509" s="5">
        <v>104.8</v>
      </c>
      <c r="D6509" s="5">
        <v>0.1</v>
      </c>
      <c r="E6509" s="5">
        <v>105</v>
      </c>
      <c r="F6509" s="5">
        <v>209.6</v>
      </c>
      <c r="G6509" s="5">
        <v>104.6</v>
      </c>
      <c r="H6509" s="5">
        <v>104.4</v>
      </c>
      <c r="I6509" s="5">
        <v>0</v>
      </c>
      <c r="J6509" s="5">
        <v>0</v>
      </c>
      <c r="K6509" s="5">
        <v>0</v>
      </c>
    </row>
    <row r="6510" spans="1:11" x14ac:dyDescent="0.25">
      <c r="A6510" s="5">
        <f>6503</f>
      </c>
      <c r="B6510" s="5" t="s">
        <v>6518</v>
      </c>
      <c r="C6510" s="5">
        <v>104.2</v>
      </c>
      <c r="D6510" s="5">
        <v>0.1</v>
      </c>
      <c r="E6510" s="5">
        <v>104.3</v>
      </c>
      <c r="F6510" s="5">
        <v>208.2</v>
      </c>
      <c r="G6510" s="5">
        <v>103.9</v>
      </c>
      <c r="H6510" s="5">
        <v>103.7</v>
      </c>
      <c r="I6510" s="5">
        <v>0</v>
      </c>
      <c r="J6510" s="5">
        <v>0</v>
      </c>
      <c r="K6510" s="5">
        <v>0</v>
      </c>
    </row>
    <row r="6511" spans="1:11" x14ac:dyDescent="0.25">
      <c r="A6511" s="5">
        <f>6504</f>
      </c>
      <c r="B6511" s="5" t="s">
        <v>6519</v>
      </c>
      <c r="C6511" s="5">
        <v>104.2</v>
      </c>
      <c r="D6511" s="5">
        <v>0.1</v>
      </c>
      <c r="E6511" s="5">
        <v>104.3</v>
      </c>
      <c r="F6511" s="5">
        <v>208.2</v>
      </c>
      <c r="G6511" s="5">
        <v>103.9</v>
      </c>
      <c r="H6511" s="5">
        <v>103.7</v>
      </c>
      <c r="I6511" s="5">
        <v>0</v>
      </c>
      <c r="J6511" s="5">
        <v>0</v>
      </c>
      <c r="K6511" s="5">
        <v>0</v>
      </c>
    </row>
    <row r="6512" spans="1:11" x14ac:dyDescent="0.25">
      <c r="A6512" s="5">
        <f>6505</f>
      </c>
      <c r="B6512" s="5" t="s">
        <v>6520</v>
      </c>
      <c r="C6512" s="5">
        <v>104.9</v>
      </c>
      <c r="D6512" s="5">
        <v>0.1</v>
      </c>
      <c r="E6512" s="5">
        <v>105</v>
      </c>
      <c r="F6512" s="5">
        <v>209.2</v>
      </c>
      <c r="G6512" s="5">
        <v>104.4</v>
      </c>
      <c r="H6512" s="5">
        <v>104.2</v>
      </c>
      <c r="I6512" s="5">
        <v>0</v>
      </c>
      <c r="J6512" s="5">
        <v>0</v>
      </c>
      <c r="K6512" s="5">
        <v>0</v>
      </c>
    </row>
    <row r="6513" spans="1:11" x14ac:dyDescent="0.25">
      <c r="A6513" s="5">
        <f>6506</f>
      </c>
      <c r="B6513" s="5" t="s">
        <v>6521</v>
      </c>
      <c r="C6513" s="5">
        <v>104.9</v>
      </c>
      <c r="D6513" s="5">
        <v>0.1</v>
      </c>
      <c r="E6513" s="5">
        <v>105</v>
      </c>
      <c r="F6513" s="5">
        <v>209.2</v>
      </c>
      <c r="G6513" s="5">
        <v>104.4</v>
      </c>
      <c r="H6513" s="5">
        <v>104.2</v>
      </c>
      <c r="I6513" s="5">
        <v>0</v>
      </c>
      <c r="J6513" s="5">
        <v>0</v>
      </c>
      <c r="K6513" s="5">
        <v>0</v>
      </c>
    </row>
    <row r="6514" spans="1:11" x14ac:dyDescent="0.25">
      <c r="A6514" s="5">
        <f>6507</f>
      </c>
      <c r="B6514" s="5" t="s">
        <v>6522</v>
      </c>
      <c r="C6514" s="5">
        <v>104.1</v>
      </c>
      <c r="D6514" s="5">
        <v>0.1</v>
      </c>
      <c r="E6514" s="5">
        <v>104.3</v>
      </c>
      <c r="F6514" s="5">
        <v>207.9</v>
      </c>
      <c r="G6514" s="5">
        <v>103.8</v>
      </c>
      <c r="H6514" s="5">
        <v>103.6</v>
      </c>
      <c r="I6514" s="5">
        <v>0</v>
      </c>
      <c r="J6514" s="5">
        <v>0</v>
      </c>
      <c r="K6514" s="5">
        <v>0</v>
      </c>
    </row>
    <row r="6515" spans="1:11" x14ac:dyDescent="0.25">
      <c r="A6515" s="5">
        <f>6508</f>
      </c>
      <c r="B6515" s="5" t="s">
        <v>6523</v>
      </c>
      <c r="C6515" s="5">
        <v>104.1</v>
      </c>
      <c r="D6515" s="5">
        <v>0.1</v>
      </c>
      <c r="E6515" s="5">
        <v>104.3</v>
      </c>
      <c r="F6515" s="5">
        <v>207.9</v>
      </c>
      <c r="G6515" s="5">
        <v>103.8</v>
      </c>
      <c r="H6515" s="5">
        <v>103.6</v>
      </c>
      <c r="I6515" s="5">
        <v>0</v>
      </c>
      <c r="J6515" s="5">
        <v>0</v>
      </c>
      <c r="K6515" s="5">
        <v>0</v>
      </c>
    </row>
    <row r="6516" spans="1:11" x14ac:dyDescent="0.25">
      <c r="A6516" s="5">
        <f>6509</f>
      </c>
      <c r="B6516" s="5" t="s">
        <v>6524</v>
      </c>
      <c r="C6516" s="5">
        <v>104.6</v>
      </c>
      <c r="D6516" s="5">
        <v>0.1</v>
      </c>
      <c r="E6516" s="5">
        <v>104.7</v>
      </c>
      <c r="F6516" s="5">
        <v>208.8</v>
      </c>
      <c r="G6516" s="5">
        <v>104.2</v>
      </c>
      <c r="H6516" s="5">
        <v>104.1</v>
      </c>
      <c r="I6516" s="5">
        <v>0</v>
      </c>
      <c r="J6516" s="5">
        <v>0</v>
      </c>
      <c r="K6516" s="5">
        <v>0</v>
      </c>
    </row>
    <row r="6517" spans="1:11" x14ac:dyDescent="0.25">
      <c r="A6517" s="5">
        <f>6510</f>
      </c>
      <c r="B6517" s="5" t="s">
        <v>6525</v>
      </c>
      <c r="C6517" s="5">
        <v>104.6</v>
      </c>
      <c r="D6517" s="5">
        <v>0.1</v>
      </c>
      <c r="E6517" s="5">
        <v>104.7</v>
      </c>
      <c r="F6517" s="5">
        <v>208.8</v>
      </c>
      <c r="G6517" s="5">
        <v>104.2</v>
      </c>
      <c r="H6517" s="5">
        <v>104.1</v>
      </c>
      <c r="I6517" s="5">
        <v>0</v>
      </c>
      <c r="J6517" s="5">
        <v>0</v>
      </c>
      <c r="K6517" s="5">
        <v>0</v>
      </c>
    </row>
    <row r="6518" spans="1:11" x14ac:dyDescent="0.25">
      <c r="A6518" s="5">
        <f>6511</f>
      </c>
      <c r="B6518" s="5" t="s">
        <v>6526</v>
      </c>
      <c r="C6518" s="5">
        <v>104.6</v>
      </c>
      <c r="D6518" s="5">
        <v>0.1</v>
      </c>
      <c r="E6518" s="5">
        <v>104.7</v>
      </c>
      <c r="F6518" s="5">
        <v>208.8</v>
      </c>
      <c r="G6518" s="5">
        <v>104.2</v>
      </c>
      <c r="H6518" s="5">
        <v>104.1</v>
      </c>
      <c r="I6518" s="5">
        <v>0</v>
      </c>
      <c r="J6518" s="5">
        <v>0</v>
      </c>
      <c r="K6518" s="5">
        <v>0</v>
      </c>
    </row>
    <row r="6519" spans="1:11" x14ac:dyDescent="0.25">
      <c r="A6519" s="5">
        <f>6512</f>
      </c>
      <c r="B6519" s="5" t="s">
        <v>6527</v>
      </c>
      <c r="C6519" s="5">
        <v>104.6</v>
      </c>
      <c r="D6519" s="5">
        <v>0.1</v>
      </c>
      <c r="E6519" s="5">
        <v>104.7</v>
      </c>
      <c r="F6519" s="5">
        <v>208.8</v>
      </c>
      <c r="G6519" s="5">
        <v>104.2</v>
      </c>
      <c r="H6519" s="5">
        <v>104.1</v>
      </c>
      <c r="I6519" s="5">
        <v>0</v>
      </c>
      <c r="J6519" s="5">
        <v>0</v>
      </c>
      <c r="K6519" s="5">
        <v>0</v>
      </c>
    </row>
    <row r="6520" spans="1:11" x14ac:dyDescent="0.25">
      <c r="A6520" s="5">
        <f>6513</f>
      </c>
      <c r="B6520" s="5" t="s">
        <v>6528</v>
      </c>
      <c r="C6520" s="5">
        <v>103.9</v>
      </c>
      <c r="D6520" s="5">
        <v>0.1</v>
      </c>
      <c r="E6520" s="5">
        <v>104</v>
      </c>
      <c r="F6520" s="5">
        <v>207.2</v>
      </c>
      <c r="G6520" s="5">
        <v>103.4</v>
      </c>
      <c r="H6520" s="5">
        <v>103.3</v>
      </c>
      <c r="I6520" s="5">
        <v>0</v>
      </c>
      <c r="J6520" s="5">
        <v>0</v>
      </c>
      <c r="K6520" s="5">
        <v>0</v>
      </c>
    </row>
    <row r="6521" spans="1:11" x14ac:dyDescent="0.25">
      <c r="A6521" s="5">
        <f>6514</f>
      </c>
      <c r="B6521" s="5" t="s">
        <v>6529</v>
      </c>
      <c r="C6521" s="5">
        <v>103.9</v>
      </c>
      <c r="D6521" s="5">
        <v>0.1</v>
      </c>
      <c r="E6521" s="5">
        <v>104</v>
      </c>
      <c r="F6521" s="5">
        <v>207.2</v>
      </c>
      <c r="G6521" s="5">
        <v>103.4</v>
      </c>
      <c r="H6521" s="5">
        <v>103.3</v>
      </c>
      <c r="I6521" s="5">
        <v>0</v>
      </c>
      <c r="J6521" s="5">
        <v>0</v>
      </c>
      <c r="K6521" s="5">
        <v>0</v>
      </c>
    </row>
    <row r="6522" spans="1:11" x14ac:dyDescent="0.25">
      <c r="A6522" s="5">
        <f>6515</f>
      </c>
      <c r="B6522" s="5" t="s">
        <v>6530</v>
      </c>
      <c r="C6522" s="5">
        <v>103.8</v>
      </c>
      <c r="D6522" s="5">
        <v>0.1</v>
      </c>
      <c r="E6522" s="5">
        <v>104</v>
      </c>
      <c r="F6522" s="5">
        <v>208.1</v>
      </c>
      <c r="G6522" s="5">
        <v>103.8</v>
      </c>
      <c r="H6522" s="5">
        <v>103.7</v>
      </c>
      <c r="I6522" s="5">
        <v>0</v>
      </c>
      <c r="J6522" s="5">
        <v>0</v>
      </c>
      <c r="K6522" s="5">
        <v>0</v>
      </c>
    </row>
    <row r="6523" spans="1:11" x14ac:dyDescent="0.25">
      <c r="A6523" s="5">
        <f>6516</f>
      </c>
      <c r="B6523" s="5" t="s">
        <v>6531</v>
      </c>
      <c r="C6523" s="5">
        <v>103.8</v>
      </c>
      <c r="D6523" s="5">
        <v>0.1</v>
      </c>
      <c r="E6523" s="5">
        <v>104</v>
      </c>
      <c r="F6523" s="5">
        <v>208.1</v>
      </c>
      <c r="G6523" s="5">
        <v>103.8</v>
      </c>
      <c r="H6523" s="5">
        <v>103.7</v>
      </c>
      <c r="I6523" s="5">
        <v>0</v>
      </c>
      <c r="J6523" s="5">
        <v>0</v>
      </c>
      <c r="K6523" s="5">
        <v>0</v>
      </c>
    </row>
    <row r="6524" spans="1:11" x14ac:dyDescent="0.25">
      <c r="A6524" s="5">
        <f>6517</f>
      </c>
      <c r="B6524" s="5" t="s">
        <v>6532</v>
      </c>
      <c r="C6524" s="5">
        <v>104</v>
      </c>
      <c r="D6524" s="5">
        <v>0.1</v>
      </c>
      <c r="E6524" s="5">
        <v>104.1</v>
      </c>
      <c r="F6524" s="5">
        <v>207.1</v>
      </c>
      <c r="G6524" s="5">
        <v>103.3</v>
      </c>
      <c r="H6524" s="5">
        <v>103.2</v>
      </c>
      <c r="I6524" s="5">
        <v>0</v>
      </c>
      <c r="J6524" s="5">
        <v>0</v>
      </c>
      <c r="K6524" s="5">
        <v>0</v>
      </c>
    </row>
    <row r="6525" spans="1:11" x14ac:dyDescent="0.25">
      <c r="A6525" s="5">
        <f>6518</f>
      </c>
      <c r="B6525" s="5" t="s">
        <v>6533</v>
      </c>
      <c r="C6525" s="5">
        <v>104</v>
      </c>
      <c r="D6525" s="5">
        <v>0.1</v>
      </c>
      <c r="E6525" s="5">
        <v>104.1</v>
      </c>
      <c r="F6525" s="5">
        <v>207.1</v>
      </c>
      <c r="G6525" s="5">
        <v>103.3</v>
      </c>
      <c r="H6525" s="5">
        <v>103.2</v>
      </c>
      <c r="I6525" s="5">
        <v>0</v>
      </c>
      <c r="J6525" s="5">
        <v>0</v>
      </c>
      <c r="K6525" s="5">
        <v>0</v>
      </c>
    </row>
    <row r="6526" spans="1:11" x14ac:dyDescent="0.25">
      <c r="A6526" s="5">
        <f>6519</f>
      </c>
      <c r="B6526" s="5" t="s">
        <v>6534</v>
      </c>
      <c r="C6526" s="5">
        <v>103.8</v>
      </c>
      <c r="D6526" s="5">
        <v>0.1</v>
      </c>
      <c r="E6526" s="5">
        <v>104</v>
      </c>
      <c r="F6526" s="5">
        <v>207.8</v>
      </c>
      <c r="G6526" s="5">
        <v>103.7</v>
      </c>
      <c r="H6526" s="5">
        <v>103.5</v>
      </c>
      <c r="I6526" s="5">
        <v>0</v>
      </c>
      <c r="J6526" s="5">
        <v>0</v>
      </c>
      <c r="K6526" s="5">
        <v>0</v>
      </c>
    </row>
    <row r="6527" spans="1:11" x14ac:dyDescent="0.25">
      <c r="A6527" s="5">
        <f>6520</f>
      </c>
      <c r="B6527" s="5" t="s">
        <v>6535</v>
      </c>
      <c r="C6527" s="5">
        <v>103.8</v>
      </c>
      <c r="D6527" s="5">
        <v>0.1</v>
      </c>
      <c r="E6527" s="5">
        <v>104</v>
      </c>
      <c r="F6527" s="5">
        <v>207.8</v>
      </c>
      <c r="G6527" s="5">
        <v>103.7</v>
      </c>
      <c r="H6527" s="5">
        <v>103.5</v>
      </c>
      <c r="I6527" s="5">
        <v>0</v>
      </c>
      <c r="J6527" s="5">
        <v>0</v>
      </c>
      <c r="K6527" s="5">
        <v>0</v>
      </c>
    </row>
    <row r="6528" spans="1:11" x14ac:dyDescent="0.25">
      <c r="A6528" s="5">
        <f>6521</f>
      </c>
      <c r="B6528" s="5" t="s">
        <v>6536</v>
      </c>
      <c r="C6528" s="5">
        <v>103.8</v>
      </c>
      <c r="D6528" s="5">
        <v>0.1</v>
      </c>
      <c r="E6528" s="5">
        <v>104</v>
      </c>
      <c r="F6528" s="5">
        <v>207.8</v>
      </c>
      <c r="G6528" s="5">
        <v>103.7</v>
      </c>
      <c r="H6528" s="5">
        <v>103.5</v>
      </c>
      <c r="I6528" s="5">
        <v>0</v>
      </c>
      <c r="J6528" s="5">
        <v>0</v>
      </c>
      <c r="K6528" s="5">
        <v>0</v>
      </c>
    </row>
    <row r="6529" spans="1:11" x14ac:dyDescent="0.25">
      <c r="A6529" s="5">
        <f>6522</f>
      </c>
      <c r="B6529" s="5" t="s">
        <v>6537</v>
      </c>
      <c r="C6529" s="5">
        <v>103.8</v>
      </c>
      <c r="D6529" s="5">
        <v>0.1</v>
      </c>
      <c r="E6529" s="5">
        <v>104</v>
      </c>
      <c r="F6529" s="5">
        <v>207.8</v>
      </c>
      <c r="G6529" s="5">
        <v>103.7</v>
      </c>
      <c r="H6529" s="5">
        <v>103.5</v>
      </c>
      <c r="I6529" s="5">
        <v>0</v>
      </c>
      <c r="J6529" s="5">
        <v>0</v>
      </c>
      <c r="K6529" s="5">
        <v>0</v>
      </c>
    </row>
    <row r="6530" spans="1:11" x14ac:dyDescent="0.25">
      <c r="A6530" s="5">
        <f>6523</f>
      </c>
      <c r="B6530" s="5" t="s">
        <v>6538</v>
      </c>
      <c r="C6530" s="5">
        <v>104.6</v>
      </c>
      <c r="D6530" s="5">
        <v>0.1</v>
      </c>
      <c r="E6530" s="5">
        <v>104.8</v>
      </c>
      <c r="F6530" s="5">
        <v>208.4</v>
      </c>
      <c r="G6530" s="5">
        <v>104</v>
      </c>
      <c r="H6530" s="5">
        <v>103.9</v>
      </c>
      <c r="I6530" s="5">
        <v>0</v>
      </c>
      <c r="J6530" s="5">
        <v>0</v>
      </c>
      <c r="K6530" s="5">
        <v>0</v>
      </c>
    </row>
    <row r="6531" spans="1:11" x14ac:dyDescent="0.25">
      <c r="A6531" s="5">
        <f>6524</f>
      </c>
      <c r="B6531" s="5" t="s">
        <v>6539</v>
      </c>
      <c r="C6531" s="5">
        <v>104.6</v>
      </c>
      <c r="D6531" s="5">
        <v>0.1</v>
      </c>
      <c r="E6531" s="5">
        <v>104.8</v>
      </c>
      <c r="F6531" s="5">
        <v>208.4</v>
      </c>
      <c r="G6531" s="5">
        <v>104</v>
      </c>
      <c r="H6531" s="5">
        <v>103.9</v>
      </c>
      <c r="I6531" s="5">
        <v>0</v>
      </c>
      <c r="J6531" s="5">
        <v>0</v>
      </c>
      <c r="K6531" s="5">
        <v>0</v>
      </c>
    </row>
    <row r="6532" spans="1:11" x14ac:dyDescent="0.25">
      <c r="A6532" s="5">
        <f>6525</f>
      </c>
      <c r="B6532" s="5" t="s">
        <v>6540</v>
      </c>
      <c r="C6532" s="5">
        <v>104.6</v>
      </c>
      <c r="D6532" s="5">
        <v>0.1</v>
      </c>
      <c r="E6532" s="5">
        <v>104.7</v>
      </c>
      <c r="F6532" s="5">
        <v>209.3</v>
      </c>
      <c r="G6532" s="5">
        <v>104.4</v>
      </c>
      <c r="H6532" s="5">
        <v>104.2</v>
      </c>
      <c r="I6532" s="5">
        <v>0</v>
      </c>
      <c r="J6532" s="5">
        <v>0</v>
      </c>
      <c r="K6532" s="5">
        <v>0</v>
      </c>
    </row>
    <row r="6533" spans="1:11" x14ac:dyDescent="0.25">
      <c r="A6533" s="5">
        <f>6526</f>
      </c>
      <c r="B6533" s="5" t="s">
        <v>6541</v>
      </c>
      <c r="C6533" s="5">
        <v>104.6</v>
      </c>
      <c r="D6533" s="5">
        <v>0.1</v>
      </c>
      <c r="E6533" s="5">
        <v>104.7</v>
      </c>
      <c r="F6533" s="5">
        <v>209.3</v>
      </c>
      <c r="G6533" s="5">
        <v>104.4</v>
      </c>
      <c r="H6533" s="5">
        <v>104.2</v>
      </c>
      <c r="I6533" s="5">
        <v>0</v>
      </c>
      <c r="J6533" s="5">
        <v>0</v>
      </c>
      <c r="K6533" s="5">
        <v>0</v>
      </c>
    </row>
    <row r="6534" spans="1:11" x14ac:dyDescent="0.25">
      <c r="A6534" s="5">
        <f>6527</f>
      </c>
      <c r="B6534" s="5" t="s">
        <v>6542</v>
      </c>
      <c r="C6534" s="5">
        <v>104.7</v>
      </c>
      <c r="D6534" s="5">
        <v>0.1</v>
      </c>
      <c r="E6534" s="5">
        <v>104.9</v>
      </c>
      <c r="F6534" s="5">
        <v>208.8</v>
      </c>
      <c r="G6534" s="5">
        <v>104.2</v>
      </c>
      <c r="H6534" s="5">
        <v>104.1</v>
      </c>
      <c r="I6534" s="5">
        <v>0</v>
      </c>
      <c r="J6534" s="5">
        <v>0</v>
      </c>
      <c r="K6534" s="5">
        <v>0</v>
      </c>
    </row>
    <row r="6535" spans="1:11" x14ac:dyDescent="0.25">
      <c r="A6535" s="5">
        <f>6528</f>
      </c>
      <c r="B6535" s="5" t="s">
        <v>6543</v>
      </c>
      <c r="C6535" s="5">
        <v>104.7</v>
      </c>
      <c r="D6535" s="5">
        <v>0.1</v>
      </c>
      <c r="E6535" s="5">
        <v>104.9</v>
      </c>
      <c r="F6535" s="5">
        <v>208.8</v>
      </c>
      <c r="G6535" s="5">
        <v>104.2</v>
      </c>
      <c r="H6535" s="5">
        <v>104.1</v>
      </c>
      <c r="I6535" s="5">
        <v>0</v>
      </c>
      <c r="J6535" s="5">
        <v>0</v>
      </c>
      <c r="K6535" s="5">
        <v>0</v>
      </c>
    </row>
    <row r="6536" spans="1:11" x14ac:dyDescent="0.25">
      <c r="A6536" s="5">
        <f>6529</f>
      </c>
      <c r="B6536" s="5" t="s">
        <v>6544</v>
      </c>
      <c r="C6536" s="5">
        <v>103.6</v>
      </c>
      <c r="D6536" s="5">
        <v>0.1</v>
      </c>
      <c r="E6536" s="5">
        <v>103.7</v>
      </c>
      <c r="F6536" s="5">
        <v>207.4</v>
      </c>
      <c r="G6536" s="5">
        <v>103.5</v>
      </c>
      <c r="H6536" s="5">
        <v>103.3</v>
      </c>
      <c r="I6536" s="5">
        <v>0</v>
      </c>
      <c r="J6536" s="5">
        <v>0</v>
      </c>
      <c r="K6536" s="5">
        <v>0</v>
      </c>
    </row>
    <row r="6537" spans="1:11" x14ac:dyDescent="0.25">
      <c r="A6537" s="5">
        <f>6530</f>
      </c>
      <c r="B6537" s="5" t="s">
        <v>6545</v>
      </c>
      <c r="C6537" s="5">
        <v>103.6</v>
      </c>
      <c r="D6537" s="5">
        <v>0.1</v>
      </c>
      <c r="E6537" s="5">
        <v>103.7</v>
      </c>
      <c r="F6537" s="5">
        <v>207.4</v>
      </c>
      <c r="G6537" s="5">
        <v>103.5</v>
      </c>
      <c r="H6537" s="5">
        <v>103.3</v>
      </c>
      <c r="I6537" s="5">
        <v>0</v>
      </c>
      <c r="J6537" s="5">
        <v>0</v>
      </c>
      <c r="K6537" s="5">
        <v>0</v>
      </c>
    </row>
    <row r="6538" spans="1:11" x14ac:dyDescent="0.25">
      <c r="A6538" s="5">
        <f>6531</f>
      </c>
      <c r="B6538" s="5" t="s">
        <v>6546</v>
      </c>
      <c r="C6538" s="5">
        <v>103.6</v>
      </c>
      <c r="D6538" s="5">
        <v>0.1</v>
      </c>
      <c r="E6538" s="5">
        <v>103.7</v>
      </c>
      <c r="F6538" s="5">
        <v>207.4</v>
      </c>
      <c r="G6538" s="5">
        <v>103.5</v>
      </c>
      <c r="H6538" s="5">
        <v>103.3</v>
      </c>
      <c r="I6538" s="5">
        <v>0</v>
      </c>
      <c r="J6538" s="5">
        <v>0</v>
      </c>
      <c r="K6538" s="5">
        <v>0</v>
      </c>
    </row>
    <row r="6539" spans="1:11" x14ac:dyDescent="0.25">
      <c r="A6539" s="5">
        <f>6532</f>
      </c>
      <c r="B6539" s="5" t="s">
        <v>6547</v>
      </c>
      <c r="C6539" s="5">
        <v>103.6</v>
      </c>
      <c r="D6539" s="5">
        <v>0.1</v>
      </c>
      <c r="E6539" s="5">
        <v>103.7</v>
      </c>
      <c r="F6539" s="5">
        <v>207.4</v>
      </c>
      <c r="G6539" s="5">
        <v>103.5</v>
      </c>
      <c r="H6539" s="5">
        <v>103.3</v>
      </c>
      <c r="I6539" s="5">
        <v>0</v>
      </c>
      <c r="J6539" s="5">
        <v>0</v>
      </c>
      <c r="K6539" s="5">
        <v>0</v>
      </c>
    </row>
    <row r="6540" spans="1:11" x14ac:dyDescent="0.25">
      <c r="A6540" s="5">
        <f>6533</f>
      </c>
      <c r="B6540" s="5" t="s">
        <v>6548</v>
      </c>
      <c r="C6540" s="5">
        <v>102.4</v>
      </c>
      <c r="D6540" s="5">
        <v>0.1</v>
      </c>
      <c r="E6540" s="5">
        <v>102.6</v>
      </c>
      <c r="F6540" s="5">
        <v>204.5</v>
      </c>
      <c r="G6540" s="5">
        <v>102.1</v>
      </c>
      <c r="H6540" s="5">
        <v>101.9</v>
      </c>
      <c r="I6540" s="5">
        <v>0</v>
      </c>
      <c r="J6540" s="5">
        <v>0</v>
      </c>
      <c r="K6540" s="5">
        <v>0</v>
      </c>
    </row>
    <row r="6541" spans="1:11" x14ac:dyDescent="0.25">
      <c r="A6541" s="5">
        <f>6534</f>
      </c>
      <c r="B6541" s="5" t="s">
        <v>6549</v>
      </c>
      <c r="C6541" s="5">
        <v>102.4</v>
      </c>
      <c r="D6541" s="5">
        <v>0.1</v>
      </c>
      <c r="E6541" s="5">
        <v>102.6</v>
      </c>
      <c r="F6541" s="5">
        <v>204.5</v>
      </c>
      <c r="G6541" s="5">
        <v>102.1</v>
      </c>
      <c r="H6541" s="5">
        <v>101.9</v>
      </c>
      <c r="I6541" s="5">
        <v>0</v>
      </c>
      <c r="J6541" s="5">
        <v>0</v>
      </c>
      <c r="K6541" s="5">
        <v>0</v>
      </c>
    </row>
    <row r="6542" spans="1:11" x14ac:dyDescent="0.25">
      <c r="A6542" s="5">
        <f>6535</f>
      </c>
      <c r="B6542" s="5" t="s">
        <v>6550</v>
      </c>
      <c r="C6542" s="5">
        <v>103.4</v>
      </c>
      <c r="D6542" s="5">
        <v>0.1</v>
      </c>
      <c r="E6542" s="5">
        <v>103.6</v>
      </c>
      <c r="F6542" s="5">
        <v>205.5</v>
      </c>
      <c r="G6542" s="5">
        <v>102.5</v>
      </c>
      <c r="H6542" s="5">
        <v>102.4</v>
      </c>
      <c r="I6542" s="5">
        <v>0</v>
      </c>
      <c r="J6542" s="5">
        <v>0</v>
      </c>
      <c r="K6542" s="5">
        <v>0</v>
      </c>
    </row>
    <row r="6543" spans="1:11" x14ac:dyDescent="0.25">
      <c r="A6543" s="5">
        <f>6536</f>
      </c>
      <c r="B6543" s="5" t="s">
        <v>6551</v>
      </c>
      <c r="C6543" s="5">
        <v>103.4</v>
      </c>
      <c r="D6543" s="5">
        <v>0.1</v>
      </c>
      <c r="E6543" s="5">
        <v>103.6</v>
      </c>
      <c r="F6543" s="5">
        <v>205.5</v>
      </c>
      <c r="G6543" s="5">
        <v>102.5</v>
      </c>
      <c r="H6543" s="5">
        <v>102.4</v>
      </c>
      <c r="I6543" s="5">
        <v>0</v>
      </c>
      <c r="J6543" s="5">
        <v>0</v>
      </c>
      <c r="K6543" s="5">
        <v>0</v>
      </c>
    </row>
    <row r="6544" spans="1:11" x14ac:dyDescent="0.25">
      <c r="A6544" s="5">
        <f>6537</f>
      </c>
      <c r="B6544" s="5" t="s">
        <v>6552</v>
      </c>
      <c r="C6544" s="5">
        <v>102.5</v>
      </c>
      <c r="D6544" s="5">
        <v>0.1</v>
      </c>
      <c r="E6544" s="5">
        <v>102.7</v>
      </c>
      <c r="F6544" s="5">
        <v>203</v>
      </c>
      <c r="G6544" s="5">
        <v>101.3</v>
      </c>
      <c r="H6544" s="5">
        <v>101.1</v>
      </c>
      <c r="I6544" s="5">
        <v>0</v>
      </c>
      <c r="J6544" s="5">
        <v>0</v>
      </c>
      <c r="K6544" s="5">
        <v>0</v>
      </c>
    </row>
    <row r="6545" spans="1:11" x14ac:dyDescent="0.25">
      <c r="A6545" s="5">
        <f>6538</f>
      </c>
      <c r="B6545" s="5" t="s">
        <v>6553</v>
      </c>
      <c r="C6545" s="5">
        <v>102.5</v>
      </c>
      <c r="D6545" s="5">
        <v>0.1</v>
      </c>
      <c r="E6545" s="5">
        <v>102.7</v>
      </c>
      <c r="F6545" s="5">
        <v>203</v>
      </c>
      <c r="G6545" s="5">
        <v>101.3</v>
      </c>
      <c r="H6545" s="5">
        <v>101.1</v>
      </c>
      <c r="I6545" s="5">
        <v>0</v>
      </c>
      <c r="J6545" s="5">
        <v>0</v>
      </c>
      <c r="K6545" s="5">
        <v>0</v>
      </c>
    </row>
    <row r="6546" spans="1:11" x14ac:dyDescent="0.25">
      <c r="A6546" s="5">
        <f>6539</f>
      </c>
      <c r="B6546" s="5" t="s">
        <v>6554</v>
      </c>
      <c r="C6546" s="5">
        <v>103.9</v>
      </c>
      <c r="D6546" s="5">
        <v>0.1</v>
      </c>
      <c r="E6546" s="5">
        <v>104</v>
      </c>
      <c r="F6546" s="5">
        <v>206</v>
      </c>
      <c r="G6546" s="5">
        <v>102.8</v>
      </c>
      <c r="H6546" s="5">
        <v>102.6</v>
      </c>
      <c r="I6546" s="5">
        <v>0</v>
      </c>
      <c r="J6546" s="5">
        <v>0</v>
      </c>
      <c r="K6546" s="5">
        <v>0</v>
      </c>
    </row>
    <row r="6547" spans="1:11" x14ac:dyDescent="0.25">
      <c r="A6547" s="5">
        <f>6540</f>
      </c>
      <c r="B6547" s="5" t="s">
        <v>6555</v>
      </c>
      <c r="C6547" s="5">
        <v>103.9</v>
      </c>
      <c r="D6547" s="5">
        <v>0.1</v>
      </c>
      <c r="E6547" s="5">
        <v>104</v>
      </c>
      <c r="F6547" s="5">
        <v>206</v>
      </c>
      <c r="G6547" s="5">
        <v>102.8</v>
      </c>
      <c r="H6547" s="5">
        <v>102.6</v>
      </c>
      <c r="I6547" s="5">
        <v>0</v>
      </c>
      <c r="J6547" s="5">
        <v>0</v>
      </c>
      <c r="K6547" s="5">
        <v>0</v>
      </c>
    </row>
    <row r="6548" spans="1:11" x14ac:dyDescent="0.25">
      <c r="A6548" s="5">
        <f>6541</f>
      </c>
      <c r="B6548" s="5" t="s">
        <v>6556</v>
      </c>
      <c r="C6548" s="5">
        <v>103.9</v>
      </c>
      <c r="D6548" s="5">
        <v>0.1</v>
      </c>
      <c r="E6548" s="5">
        <v>104</v>
      </c>
      <c r="F6548" s="5">
        <v>206</v>
      </c>
      <c r="G6548" s="5">
        <v>102.8</v>
      </c>
      <c r="H6548" s="5">
        <v>102.6</v>
      </c>
      <c r="I6548" s="5">
        <v>0</v>
      </c>
      <c r="J6548" s="5">
        <v>0</v>
      </c>
      <c r="K6548" s="5">
        <v>0</v>
      </c>
    </row>
    <row r="6549" spans="1:11" x14ac:dyDescent="0.25">
      <c r="A6549" s="5">
        <f>6542</f>
      </c>
      <c r="B6549" s="5" t="s">
        <v>6557</v>
      </c>
      <c r="C6549" s="5">
        <v>103.6</v>
      </c>
      <c r="D6549" s="5">
        <v>0.1</v>
      </c>
      <c r="E6549" s="5">
        <v>103.7</v>
      </c>
      <c r="F6549" s="5">
        <v>206.7</v>
      </c>
      <c r="G6549" s="5">
        <v>103.1</v>
      </c>
      <c r="H6549" s="5">
        <v>103</v>
      </c>
      <c r="I6549" s="5">
        <v>0</v>
      </c>
      <c r="J6549" s="5">
        <v>0</v>
      </c>
      <c r="K6549" s="5">
        <v>0</v>
      </c>
    </row>
    <row r="6550" spans="1:11" x14ac:dyDescent="0.25">
      <c r="A6550" s="5">
        <f>6543</f>
      </c>
      <c r="B6550" s="5" t="s">
        <v>6558</v>
      </c>
      <c r="C6550" s="5">
        <v>103.6</v>
      </c>
      <c r="D6550" s="5">
        <v>0.1</v>
      </c>
      <c r="E6550" s="5">
        <v>103.7</v>
      </c>
      <c r="F6550" s="5">
        <v>206.7</v>
      </c>
      <c r="G6550" s="5">
        <v>103.1</v>
      </c>
      <c r="H6550" s="5">
        <v>103</v>
      </c>
      <c r="I6550" s="5">
        <v>0</v>
      </c>
      <c r="J6550" s="5">
        <v>0</v>
      </c>
      <c r="K6550" s="5">
        <v>0</v>
      </c>
    </row>
    <row r="6551" spans="1:11" x14ac:dyDescent="0.25">
      <c r="A6551" s="5">
        <f>6544</f>
      </c>
      <c r="B6551" s="5" t="s">
        <v>6559</v>
      </c>
      <c r="C6551" s="5">
        <v>103.1</v>
      </c>
      <c r="D6551" s="5">
        <v>0.1</v>
      </c>
      <c r="E6551" s="5">
        <v>103.3</v>
      </c>
      <c r="F6551" s="5">
        <v>205.4</v>
      </c>
      <c r="G6551" s="5">
        <v>102.5</v>
      </c>
      <c r="H6551" s="5">
        <v>102.3</v>
      </c>
      <c r="I6551" s="5">
        <v>0</v>
      </c>
      <c r="J6551" s="5">
        <v>0</v>
      </c>
      <c r="K6551" s="5">
        <v>0</v>
      </c>
    </row>
    <row r="6552" spans="1:11" x14ac:dyDescent="0.25">
      <c r="A6552" s="5">
        <f>6545</f>
      </c>
      <c r="B6552" s="5" t="s">
        <v>6560</v>
      </c>
      <c r="C6552" s="5">
        <v>103.1</v>
      </c>
      <c r="D6552" s="5">
        <v>0.1</v>
      </c>
      <c r="E6552" s="5">
        <v>103.3</v>
      </c>
      <c r="F6552" s="5">
        <v>205.4</v>
      </c>
      <c r="G6552" s="5">
        <v>102.5</v>
      </c>
      <c r="H6552" s="5">
        <v>102.3</v>
      </c>
      <c r="I6552" s="5">
        <v>0</v>
      </c>
      <c r="J6552" s="5">
        <v>0</v>
      </c>
      <c r="K6552" s="5">
        <v>0</v>
      </c>
    </row>
    <row r="6553" spans="1:11" x14ac:dyDescent="0.25">
      <c r="A6553" s="5">
        <f>6546</f>
      </c>
      <c r="B6553" s="5" t="s">
        <v>6561</v>
      </c>
      <c r="C6553" s="5">
        <v>102.9</v>
      </c>
      <c r="D6553" s="5">
        <v>0.1</v>
      </c>
      <c r="E6553" s="5">
        <v>103</v>
      </c>
      <c r="F6553" s="5">
        <v>205.4</v>
      </c>
      <c r="G6553" s="5">
        <v>102.5</v>
      </c>
      <c r="H6553" s="5">
        <v>102.3</v>
      </c>
      <c r="I6553" s="5">
        <v>0</v>
      </c>
      <c r="J6553" s="5">
        <v>0</v>
      </c>
      <c r="K6553" s="5">
        <v>0</v>
      </c>
    </row>
    <row r="6554" spans="1:11" x14ac:dyDescent="0.25">
      <c r="A6554" s="5">
        <f>6547</f>
      </c>
      <c r="B6554" s="5" t="s">
        <v>6562</v>
      </c>
      <c r="C6554" s="5">
        <v>102.9</v>
      </c>
      <c r="D6554" s="5">
        <v>0.1</v>
      </c>
      <c r="E6554" s="5">
        <v>103</v>
      </c>
      <c r="F6554" s="5">
        <v>205.4</v>
      </c>
      <c r="G6554" s="5">
        <v>102.5</v>
      </c>
      <c r="H6554" s="5">
        <v>102.3</v>
      </c>
      <c r="I6554" s="5">
        <v>0</v>
      </c>
      <c r="J6554" s="5">
        <v>0</v>
      </c>
      <c r="K6554" s="5">
        <v>0</v>
      </c>
    </row>
    <row r="6555" spans="1:11" x14ac:dyDescent="0.25">
      <c r="A6555" s="5">
        <f>6548</f>
      </c>
      <c r="B6555" s="5" t="s">
        <v>6563</v>
      </c>
      <c r="C6555" s="5">
        <v>101.8</v>
      </c>
      <c r="D6555" s="5">
        <v>0.1</v>
      </c>
      <c r="E6555" s="5">
        <v>101.9</v>
      </c>
      <c r="F6555" s="5">
        <v>203.5</v>
      </c>
      <c r="G6555" s="5">
        <v>101.5</v>
      </c>
      <c r="H6555" s="5">
        <v>101.4</v>
      </c>
      <c r="I6555" s="5">
        <v>0</v>
      </c>
      <c r="J6555" s="5">
        <v>0</v>
      </c>
      <c r="K6555" s="5">
        <v>0</v>
      </c>
    </row>
    <row r="6556" spans="1:11" x14ac:dyDescent="0.25">
      <c r="A6556" s="5">
        <f>6549</f>
      </c>
      <c r="B6556" s="5" t="s">
        <v>6564</v>
      </c>
      <c r="C6556" s="5">
        <v>101.8</v>
      </c>
      <c r="D6556" s="5">
        <v>0.1</v>
      </c>
      <c r="E6556" s="5">
        <v>101.9</v>
      </c>
      <c r="F6556" s="5">
        <v>203.5</v>
      </c>
      <c r="G6556" s="5">
        <v>101.5</v>
      </c>
      <c r="H6556" s="5">
        <v>101.4</v>
      </c>
      <c r="I6556" s="5">
        <v>0</v>
      </c>
      <c r="J6556" s="5">
        <v>0</v>
      </c>
      <c r="K6556" s="5">
        <v>0</v>
      </c>
    </row>
    <row r="6557" spans="1:11" x14ac:dyDescent="0.25">
      <c r="A6557" s="5">
        <f>6550</f>
      </c>
      <c r="B6557" s="5" t="s">
        <v>6565</v>
      </c>
      <c r="C6557" s="5">
        <v>101.8</v>
      </c>
      <c r="D6557" s="5">
        <v>0.1</v>
      </c>
      <c r="E6557" s="5">
        <v>101.9</v>
      </c>
      <c r="F6557" s="5">
        <v>203.5</v>
      </c>
      <c r="G6557" s="5">
        <v>101.5</v>
      </c>
      <c r="H6557" s="5">
        <v>101.4</v>
      </c>
      <c r="I6557" s="5">
        <v>0</v>
      </c>
      <c r="J6557" s="5">
        <v>0</v>
      </c>
      <c r="K6557" s="5">
        <v>0</v>
      </c>
    </row>
    <row r="6558" spans="1:11" x14ac:dyDescent="0.25">
      <c r="A6558" s="5">
        <f>6551</f>
      </c>
      <c r="B6558" s="5" t="s">
        <v>6566</v>
      </c>
      <c r="C6558" s="5">
        <v>101.8</v>
      </c>
      <c r="D6558" s="5">
        <v>0.1</v>
      </c>
      <c r="E6558" s="5">
        <v>101.9</v>
      </c>
      <c r="F6558" s="5">
        <v>203.5</v>
      </c>
      <c r="G6558" s="5">
        <v>101.5</v>
      </c>
      <c r="H6558" s="5">
        <v>101.4</v>
      </c>
      <c r="I6558" s="5">
        <v>0</v>
      </c>
      <c r="J6558" s="5">
        <v>0</v>
      </c>
      <c r="K6558" s="5">
        <v>0</v>
      </c>
    </row>
    <row r="6559" spans="1:11" x14ac:dyDescent="0.25">
      <c r="A6559" s="5">
        <f>6552</f>
      </c>
      <c r="B6559" s="5" t="s">
        <v>6567</v>
      </c>
      <c r="C6559" s="5">
        <v>102.1</v>
      </c>
      <c r="D6559" s="5">
        <v>0.1</v>
      </c>
      <c r="E6559" s="5">
        <v>102.3</v>
      </c>
      <c r="F6559" s="5">
        <v>203.8</v>
      </c>
      <c r="G6559" s="5">
        <v>101.7</v>
      </c>
      <c r="H6559" s="5">
        <v>101.6</v>
      </c>
      <c r="I6559" s="5">
        <v>0</v>
      </c>
      <c r="J6559" s="5">
        <v>0</v>
      </c>
      <c r="K6559" s="5">
        <v>0</v>
      </c>
    </row>
    <row r="6560" spans="1:11" x14ac:dyDescent="0.25">
      <c r="A6560" s="5">
        <f>6553</f>
      </c>
      <c r="B6560" s="5" t="s">
        <v>6568</v>
      </c>
      <c r="C6560" s="5">
        <v>102.1</v>
      </c>
      <c r="D6560" s="5">
        <v>0.1</v>
      </c>
      <c r="E6560" s="5">
        <v>102.3</v>
      </c>
      <c r="F6560" s="5">
        <v>203.8</v>
      </c>
      <c r="G6560" s="5">
        <v>101.7</v>
      </c>
      <c r="H6560" s="5">
        <v>101.6</v>
      </c>
      <c r="I6560" s="5">
        <v>0</v>
      </c>
      <c r="J6560" s="5">
        <v>0</v>
      </c>
      <c r="K6560" s="5">
        <v>0</v>
      </c>
    </row>
    <row r="6561" spans="1:11" x14ac:dyDescent="0.25">
      <c r="A6561" s="5">
        <f>6554</f>
      </c>
      <c r="B6561" s="5" t="s">
        <v>6569</v>
      </c>
      <c r="C6561" s="5">
        <v>102.4</v>
      </c>
      <c r="D6561" s="5">
        <v>0.1</v>
      </c>
      <c r="E6561" s="5">
        <v>102.5</v>
      </c>
      <c r="F6561" s="5">
        <v>204.9</v>
      </c>
      <c r="G6561" s="5">
        <v>102.2</v>
      </c>
      <c r="H6561" s="5">
        <v>101.6</v>
      </c>
      <c r="I6561" s="5">
        <v>0</v>
      </c>
      <c r="J6561" s="5">
        <v>0</v>
      </c>
      <c r="K6561" s="5">
        <v>0</v>
      </c>
    </row>
    <row r="6562" spans="1:11" x14ac:dyDescent="0.25">
      <c r="A6562" s="5">
        <f>6555</f>
      </c>
      <c r="B6562" s="5" t="s">
        <v>6570</v>
      </c>
      <c r="C6562" s="5">
        <v>102.4</v>
      </c>
      <c r="D6562" s="5">
        <v>0.1</v>
      </c>
      <c r="E6562" s="5">
        <v>102.5</v>
      </c>
      <c r="F6562" s="5">
        <v>204.9</v>
      </c>
      <c r="G6562" s="5">
        <v>102.2</v>
      </c>
      <c r="H6562" s="5">
        <v>102.1</v>
      </c>
      <c r="I6562" s="5">
        <v>0</v>
      </c>
      <c r="J6562" s="5">
        <v>0</v>
      </c>
      <c r="K6562" s="5">
        <v>0</v>
      </c>
    </row>
    <row r="6563" spans="1:11" x14ac:dyDescent="0.25">
      <c r="A6563" s="5">
        <f>6556</f>
      </c>
      <c r="B6563" s="5" t="s">
        <v>6571</v>
      </c>
      <c r="C6563" s="5">
        <v>102.4</v>
      </c>
      <c r="D6563" s="5">
        <v>0.1</v>
      </c>
      <c r="E6563" s="5">
        <v>102.5</v>
      </c>
      <c r="F6563" s="5">
        <v>204.7</v>
      </c>
      <c r="G6563" s="5">
        <v>102.2</v>
      </c>
      <c r="H6563" s="5">
        <v>102.1</v>
      </c>
      <c r="I6563" s="5">
        <v>0</v>
      </c>
      <c r="J6563" s="5">
        <v>0</v>
      </c>
      <c r="K6563" s="5">
        <v>0</v>
      </c>
    </row>
    <row r="6564" spans="1:11" x14ac:dyDescent="0.25">
      <c r="A6564" s="5">
        <f>6557</f>
      </c>
      <c r="B6564" s="5" t="s">
        <v>6572</v>
      </c>
      <c r="C6564" s="5">
        <v>102.4</v>
      </c>
      <c r="D6564" s="5">
        <v>0.1</v>
      </c>
      <c r="E6564" s="5">
        <v>102.5</v>
      </c>
      <c r="F6564" s="5">
        <v>204.7</v>
      </c>
      <c r="G6564" s="5">
        <v>102.1</v>
      </c>
      <c r="H6564" s="5">
        <v>101.9</v>
      </c>
      <c r="I6564" s="5">
        <v>0</v>
      </c>
      <c r="J6564" s="5">
        <v>0</v>
      </c>
      <c r="K6564" s="5">
        <v>0</v>
      </c>
    </row>
    <row r="6565" spans="1:11" x14ac:dyDescent="0.25">
      <c r="A6565" s="5">
        <f>6558</f>
      </c>
      <c r="B6565" s="5" t="s">
        <v>6573</v>
      </c>
      <c r="C6565" s="5">
        <v>102.4</v>
      </c>
      <c r="D6565" s="5">
        <v>0.1</v>
      </c>
      <c r="E6565" s="5">
        <v>102.5</v>
      </c>
      <c r="F6565" s="5">
        <v>204.7</v>
      </c>
      <c r="G6565" s="5">
        <v>102.1</v>
      </c>
      <c r="H6565" s="5">
        <v>101.9</v>
      </c>
      <c r="I6565" s="5">
        <v>0</v>
      </c>
      <c r="J6565" s="5">
        <v>0</v>
      </c>
      <c r="K6565" s="5">
        <v>0</v>
      </c>
    </row>
    <row r="6566" spans="1:11" x14ac:dyDescent="0.25">
      <c r="A6566" s="5">
        <f>6559</f>
      </c>
      <c r="B6566" s="5" t="s">
        <v>6574</v>
      </c>
      <c r="C6566" s="5">
        <v>102.4</v>
      </c>
      <c r="D6566" s="5">
        <v>0.1</v>
      </c>
      <c r="E6566" s="5">
        <v>102.4</v>
      </c>
      <c r="F6566" s="5">
        <v>204.3</v>
      </c>
      <c r="G6566" s="5">
        <v>101.9</v>
      </c>
      <c r="H6566" s="5">
        <v>101.8</v>
      </c>
      <c r="I6566" s="5">
        <v>0</v>
      </c>
      <c r="J6566" s="5">
        <v>0</v>
      </c>
      <c r="K6566" s="5">
        <v>0</v>
      </c>
    </row>
    <row r="6567" spans="1:11" x14ac:dyDescent="0.25">
      <c r="A6567" s="5">
        <f>6560</f>
      </c>
      <c r="B6567" s="5" t="s">
        <v>6575</v>
      </c>
      <c r="C6567" s="5">
        <v>102.4</v>
      </c>
      <c r="D6567" s="5">
        <v>0.1</v>
      </c>
      <c r="E6567" s="5">
        <v>102.4</v>
      </c>
      <c r="F6567" s="5">
        <v>204.3</v>
      </c>
      <c r="G6567" s="5">
        <v>101.9</v>
      </c>
      <c r="H6567" s="5">
        <v>101.8</v>
      </c>
      <c r="I6567" s="5">
        <v>0</v>
      </c>
      <c r="J6567" s="5">
        <v>0</v>
      </c>
      <c r="K6567" s="5">
        <v>0</v>
      </c>
    </row>
    <row r="6568" spans="1:11" x14ac:dyDescent="0.25">
      <c r="A6568" s="5">
        <f>6561</f>
      </c>
      <c r="B6568" s="5" t="s">
        <v>6576</v>
      </c>
      <c r="C6568" s="5">
        <v>102.4</v>
      </c>
      <c r="D6568" s="5">
        <v>0.1</v>
      </c>
      <c r="E6568" s="5">
        <v>102.4</v>
      </c>
      <c r="F6568" s="5">
        <v>204.3</v>
      </c>
      <c r="G6568" s="5">
        <v>101.9</v>
      </c>
      <c r="H6568" s="5">
        <v>101.8</v>
      </c>
      <c r="I6568" s="5">
        <v>0</v>
      </c>
      <c r="J6568" s="5">
        <v>0</v>
      </c>
      <c r="K6568" s="5">
        <v>0</v>
      </c>
    </row>
    <row r="6569" spans="1:11" x14ac:dyDescent="0.25">
      <c r="A6569" s="5">
        <f>6562</f>
      </c>
      <c r="B6569" s="5" t="s">
        <v>6577</v>
      </c>
      <c r="C6569" s="5">
        <v>102.4</v>
      </c>
      <c r="D6569" s="5">
        <v>0.1</v>
      </c>
      <c r="E6569" s="5">
        <v>102.4</v>
      </c>
      <c r="F6569" s="5">
        <v>204.3</v>
      </c>
      <c r="G6569" s="5">
        <v>101.9</v>
      </c>
      <c r="H6569" s="5">
        <v>101.8</v>
      </c>
      <c r="I6569" s="5">
        <v>0</v>
      </c>
      <c r="J6569" s="5">
        <v>0</v>
      </c>
      <c r="K6569" s="5">
        <v>0</v>
      </c>
    </row>
    <row r="6570" spans="1:11" x14ac:dyDescent="0.25">
      <c r="A6570" s="5">
        <f>6563</f>
      </c>
      <c r="B6570" s="5" t="s">
        <v>6578</v>
      </c>
      <c r="C6570" s="5">
        <v>101.9</v>
      </c>
      <c r="D6570" s="5">
        <v>0.1</v>
      </c>
      <c r="E6570" s="5">
        <v>102.1</v>
      </c>
      <c r="F6570" s="5">
        <v>203.6</v>
      </c>
      <c r="G6570" s="5">
        <v>101.6</v>
      </c>
      <c r="H6570" s="5">
        <v>101.5</v>
      </c>
      <c r="I6570" s="5">
        <v>0</v>
      </c>
      <c r="J6570" s="5">
        <v>0</v>
      </c>
      <c r="K6570" s="5">
        <v>0</v>
      </c>
    </row>
    <row r="6571" spans="1:11" x14ac:dyDescent="0.25">
      <c r="A6571" s="5">
        <f>6564</f>
      </c>
      <c r="B6571" s="5" t="s">
        <v>6579</v>
      </c>
      <c r="C6571" s="5">
        <v>101.9</v>
      </c>
      <c r="D6571" s="5">
        <v>0.1</v>
      </c>
      <c r="E6571" s="5">
        <v>102.1</v>
      </c>
      <c r="F6571" s="5">
        <v>203.6</v>
      </c>
      <c r="G6571" s="5">
        <v>101.6</v>
      </c>
      <c r="H6571" s="5">
        <v>101.5</v>
      </c>
      <c r="I6571" s="5">
        <v>0</v>
      </c>
      <c r="J6571" s="5">
        <v>0</v>
      </c>
      <c r="K6571" s="5">
        <v>0</v>
      </c>
    </row>
    <row r="6572" spans="1:11" x14ac:dyDescent="0.25">
      <c r="A6572" s="5">
        <f>6565</f>
      </c>
      <c r="B6572" s="5" t="s">
        <v>6580</v>
      </c>
      <c r="C6572" s="5">
        <v>101.7</v>
      </c>
      <c r="D6572" s="5">
        <v>0.1</v>
      </c>
      <c r="E6572" s="5">
        <v>101.8</v>
      </c>
      <c r="F6572" s="5">
        <v>203.3</v>
      </c>
      <c r="G6572" s="5">
        <v>101.4</v>
      </c>
      <c r="H6572" s="5">
        <v>101.3</v>
      </c>
      <c r="I6572" s="5">
        <v>0</v>
      </c>
      <c r="J6572" s="5">
        <v>0</v>
      </c>
      <c r="K6572" s="5">
        <v>0</v>
      </c>
    </row>
    <row r="6573" spans="1:11" x14ac:dyDescent="0.25">
      <c r="A6573" s="5">
        <f>6566</f>
      </c>
      <c r="B6573" s="5" t="s">
        <v>6581</v>
      </c>
      <c r="C6573" s="5">
        <v>101.7</v>
      </c>
      <c r="D6573" s="5">
        <v>0.1</v>
      </c>
      <c r="E6573" s="5">
        <v>101.8</v>
      </c>
      <c r="F6573" s="5">
        <v>203.3</v>
      </c>
      <c r="G6573" s="5">
        <v>101.4</v>
      </c>
      <c r="H6573" s="5">
        <v>101.3</v>
      </c>
      <c r="I6573" s="5">
        <v>0</v>
      </c>
      <c r="J6573" s="5">
        <v>0</v>
      </c>
      <c r="K6573" s="5">
        <v>0</v>
      </c>
    </row>
    <row r="6574" spans="1:11" x14ac:dyDescent="0.25">
      <c r="A6574" s="5">
        <f>6567</f>
      </c>
      <c r="B6574" s="5" t="s">
        <v>6582</v>
      </c>
      <c r="C6574" s="5">
        <v>101.6</v>
      </c>
      <c r="D6574" s="5">
        <v>0.1</v>
      </c>
      <c r="E6574" s="5">
        <v>101.8</v>
      </c>
      <c r="F6574" s="5">
        <v>203.2</v>
      </c>
      <c r="G6574" s="5">
        <v>101.4</v>
      </c>
      <c r="H6574" s="5">
        <v>101.3</v>
      </c>
      <c r="I6574" s="5">
        <v>0</v>
      </c>
      <c r="J6574" s="5">
        <v>0</v>
      </c>
      <c r="K6574" s="5">
        <v>0</v>
      </c>
    </row>
    <row r="6575" spans="1:11" x14ac:dyDescent="0.25">
      <c r="A6575" s="5">
        <f>6568</f>
      </c>
      <c r="B6575" s="5" t="s">
        <v>6583</v>
      </c>
      <c r="C6575" s="5">
        <v>101.6</v>
      </c>
      <c r="D6575" s="5">
        <v>0.1</v>
      </c>
      <c r="E6575" s="5">
        <v>101.8</v>
      </c>
      <c r="F6575" s="5">
        <v>203.2</v>
      </c>
      <c r="G6575" s="5">
        <v>101.4</v>
      </c>
      <c r="H6575" s="5">
        <v>101.3</v>
      </c>
      <c r="I6575" s="5">
        <v>0</v>
      </c>
      <c r="J6575" s="5">
        <v>0</v>
      </c>
      <c r="K6575" s="5">
        <v>0</v>
      </c>
    </row>
    <row r="6576" spans="1:11" x14ac:dyDescent="0.25">
      <c r="A6576" s="5">
        <f>6569</f>
      </c>
      <c r="B6576" s="5" t="s">
        <v>6584</v>
      </c>
      <c r="C6576" s="5">
        <v>101.7</v>
      </c>
      <c r="D6576" s="5">
        <v>0.1</v>
      </c>
      <c r="E6576" s="5">
        <v>101.8</v>
      </c>
      <c r="F6576" s="5">
        <v>203.8</v>
      </c>
      <c r="G6576" s="5">
        <v>101.6</v>
      </c>
      <c r="H6576" s="5">
        <v>101.5</v>
      </c>
      <c r="I6576" s="5">
        <v>0</v>
      </c>
      <c r="J6576" s="5">
        <v>0</v>
      </c>
      <c r="K6576" s="5">
        <v>0</v>
      </c>
    </row>
    <row r="6577" spans="1:11" x14ac:dyDescent="0.25">
      <c r="A6577" s="5">
        <f>6570</f>
      </c>
      <c r="B6577" s="5" t="s">
        <v>6585</v>
      </c>
      <c r="C6577" s="5">
        <v>101.7</v>
      </c>
      <c r="D6577" s="5">
        <v>0.1</v>
      </c>
      <c r="E6577" s="5">
        <v>101.8</v>
      </c>
      <c r="F6577" s="5">
        <v>203.8</v>
      </c>
      <c r="G6577" s="5">
        <v>101.6</v>
      </c>
      <c r="H6577" s="5">
        <v>101.5</v>
      </c>
      <c r="I6577" s="5">
        <v>0</v>
      </c>
      <c r="J6577" s="5">
        <v>0</v>
      </c>
      <c r="K6577" s="5">
        <v>0</v>
      </c>
    </row>
    <row r="6578" spans="1:11" x14ac:dyDescent="0.25">
      <c r="A6578" s="5">
        <f>6571</f>
      </c>
      <c r="B6578" s="5" t="s">
        <v>6586</v>
      </c>
      <c r="C6578" s="5">
        <v>101.7</v>
      </c>
      <c r="D6578" s="5">
        <v>0.1</v>
      </c>
      <c r="E6578" s="5">
        <v>101.8</v>
      </c>
      <c r="F6578" s="5">
        <v>203.8</v>
      </c>
      <c r="G6578" s="5">
        <v>101.6</v>
      </c>
      <c r="H6578" s="5">
        <v>101.5</v>
      </c>
      <c r="I6578" s="5">
        <v>0</v>
      </c>
      <c r="J6578" s="5">
        <v>0</v>
      </c>
      <c r="K6578" s="5">
        <v>0</v>
      </c>
    </row>
    <row r="6579" spans="1:11" x14ac:dyDescent="0.25">
      <c r="A6579" s="5">
        <f>6572</f>
      </c>
      <c r="B6579" s="5" t="s">
        <v>6587</v>
      </c>
      <c r="C6579" s="5">
        <v>102.4</v>
      </c>
      <c r="D6579" s="5">
        <v>0.1</v>
      </c>
      <c r="E6579" s="5">
        <v>102.5</v>
      </c>
      <c r="F6579" s="5">
        <v>204.5</v>
      </c>
      <c r="G6579" s="5">
        <v>102</v>
      </c>
      <c r="H6579" s="5">
        <v>101.9</v>
      </c>
      <c r="I6579" s="5">
        <v>0</v>
      </c>
      <c r="J6579" s="5">
        <v>0</v>
      </c>
      <c r="K6579" s="5">
        <v>0</v>
      </c>
    </row>
    <row r="6580" spans="1:11" x14ac:dyDescent="0.25">
      <c r="A6580" s="5">
        <f>6573</f>
      </c>
      <c r="B6580" s="5" t="s">
        <v>6588</v>
      </c>
      <c r="C6580" s="5">
        <v>102.4</v>
      </c>
      <c r="D6580" s="5">
        <v>0.1</v>
      </c>
      <c r="E6580" s="5">
        <v>102.5</v>
      </c>
      <c r="F6580" s="5">
        <v>204.5</v>
      </c>
      <c r="G6580" s="5">
        <v>102</v>
      </c>
      <c r="H6580" s="5">
        <v>101.9</v>
      </c>
      <c r="I6580" s="5">
        <v>0</v>
      </c>
      <c r="J6580" s="5">
        <v>0</v>
      </c>
      <c r="K6580" s="5">
        <v>0</v>
      </c>
    </row>
    <row r="6581" spans="1:11" x14ac:dyDescent="0.25">
      <c r="A6581" s="5">
        <f>6574</f>
      </c>
      <c r="B6581" s="5" t="s">
        <v>6589</v>
      </c>
      <c r="C6581" s="5">
        <v>102.4</v>
      </c>
      <c r="D6581" s="5">
        <v>0.1</v>
      </c>
      <c r="E6581" s="5">
        <v>102.6</v>
      </c>
      <c r="F6581" s="5">
        <v>204.4</v>
      </c>
      <c r="G6581" s="5">
        <v>101.9</v>
      </c>
      <c r="H6581" s="5">
        <v>101.8</v>
      </c>
      <c r="I6581" s="5">
        <v>0</v>
      </c>
      <c r="J6581" s="5">
        <v>0</v>
      </c>
      <c r="K6581" s="5">
        <v>0</v>
      </c>
    </row>
    <row r="6582" spans="1:11" x14ac:dyDescent="0.25">
      <c r="A6582" s="5">
        <f>6575</f>
      </c>
      <c r="B6582" s="5" t="s">
        <v>6590</v>
      </c>
      <c r="C6582" s="5">
        <v>102.4</v>
      </c>
      <c r="D6582" s="5">
        <v>0.1</v>
      </c>
      <c r="E6582" s="5">
        <v>102.6</v>
      </c>
      <c r="F6582" s="5">
        <v>204.4</v>
      </c>
      <c r="G6582" s="5">
        <v>101.9</v>
      </c>
      <c r="H6582" s="5">
        <v>101.8</v>
      </c>
      <c r="I6582" s="5">
        <v>0</v>
      </c>
      <c r="J6582" s="5">
        <v>0</v>
      </c>
      <c r="K6582" s="5">
        <v>0</v>
      </c>
    </row>
    <row r="6583" spans="1:11" x14ac:dyDescent="0.25">
      <c r="A6583" s="5">
        <f>6576</f>
      </c>
      <c r="B6583" s="5" t="s">
        <v>6591</v>
      </c>
      <c r="C6583" s="5">
        <v>102.5</v>
      </c>
      <c r="D6583" s="5">
        <v>0.1</v>
      </c>
      <c r="E6583" s="5">
        <v>102.7</v>
      </c>
      <c r="F6583" s="5">
        <v>204.3</v>
      </c>
      <c r="G6583" s="5">
        <v>102</v>
      </c>
      <c r="H6583" s="5">
        <v>101.8</v>
      </c>
      <c r="I6583" s="5">
        <v>0</v>
      </c>
      <c r="J6583" s="5">
        <v>0</v>
      </c>
      <c r="K6583" s="5">
        <v>0</v>
      </c>
    </row>
    <row r="6584" spans="1:11" x14ac:dyDescent="0.25">
      <c r="A6584" s="5">
        <f>6577</f>
      </c>
      <c r="B6584" s="5" t="s">
        <v>6592</v>
      </c>
      <c r="C6584" s="5">
        <v>102.5</v>
      </c>
      <c r="D6584" s="5">
        <v>0.1</v>
      </c>
      <c r="E6584" s="5">
        <v>102.7</v>
      </c>
      <c r="F6584" s="5">
        <v>204.3</v>
      </c>
      <c r="G6584" s="5">
        <v>102</v>
      </c>
      <c r="H6584" s="5">
        <v>101.8</v>
      </c>
      <c r="I6584" s="5">
        <v>0</v>
      </c>
      <c r="J6584" s="5">
        <v>0</v>
      </c>
      <c r="K6584" s="5">
        <v>0</v>
      </c>
    </row>
    <row r="6585" spans="1:11" x14ac:dyDescent="0.25">
      <c r="A6585" s="5">
        <f>6578</f>
      </c>
      <c r="B6585" s="5" t="s">
        <v>6593</v>
      </c>
      <c r="C6585" s="5">
        <v>102.1</v>
      </c>
      <c r="D6585" s="5">
        <v>0.1</v>
      </c>
      <c r="E6585" s="5">
        <v>102.2</v>
      </c>
      <c r="F6585" s="5">
        <v>204</v>
      </c>
      <c r="G6585" s="5">
        <v>101.7</v>
      </c>
      <c r="H6585" s="5">
        <v>101.6</v>
      </c>
      <c r="I6585" s="5">
        <v>0</v>
      </c>
      <c r="J6585" s="5">
        <v>0</v>
      </c>
      <c r="K6585" s="5">
        <v>0</v>
      </c>
    </row>
    <row r="6586" spans="1:11" x14ac:dyDescent="0.25">
      <c r="A6586" s="5">
        <f>6579</f>
      </c>
      <c r="B6586" s="5" t="s">
        <v>6594</v>
      </c>
      <c r="C6586" s="5">
        <v>102.1</v>
      </c>
      <c r="D6586" s="5">
        <v>0.1</v>
      </c>
      <c r="E6586" s="5">
        <v>102.2</v>
      </c>
      <c r="F6586" s="5">
        <v>204</v>
      </c>
      <c r="G6586" s="5">
        <v>101.7</v>
      </c>
      <c r="H6586" s="5">
        <v>101.6</v>
      </c>
      <c r="I6586" s="5">
        <v>0</v>
      </c>
      <c r="J6586" s="5">
        <v>0</v>
      </c>
      <c r="K6586" s="5">
        <v>0</v>
      </c>
    </row>
    <row r="6587" spans="1:11" x14ac:dyDescent="0.25">
      <c r="A6587" s="5">
        <f>6580</f>
      </c>
      <c r="B6587" s="5" t="s">
        <v>6595</v>
      </c>
      <c r="C6587" s="5">
        <v>102.1</v>
      </c>
      <c r="D6587" s="5">
        <v>0.1</v>
      </c>
      <c r="E6587" s="5">
        <v>102.2</v>
      </c>
      <c r="F6587" s="5">
        <v>204</v>
      </c>
      <c r="G6587" s="5">
        <v>101.7</v>
      </c>
      <c r="H6587" s="5">
        <v>101.6</v>
      </c>
      <c r="I6587" s="5">
        <v>0</v>
      </c>
      <c r="J6587" s="5">
        <v>0</v>
      </c>
      <c r="K6587" s="5">
        <v>0</v>
      </c>
    </row>
    <row r="6588" spans="1:11" x14ac:dyDescent="0.25">
      <c r="A6588" s="5">
        <f>6581</f>
      </c>
      <c r="B6588" s="5" t="s">
        <v>6596</v>
      </c>
      <c r="C6588" s="5">
        <v>102.1</v>
      </c>
      <c r="D6588" s="5">
        <v>0.1</v>
      </c>
      <c r="E6588" s="5">
        <v>102.2</v>
      </c>
      <c r="F6588" s="5">
        <v>204</v>
      </c>
      <c r="G6588" s="5">
        <v>101.7</v>
      </c>
      <c r="H6588" s="5">
        <v>101.6</v>
      </c>
      <c r="I6588" s="5">
        <v>0</v>
      </c>
      <c r="J6588" s="5">
        <v>0</v>
      </c>
      <c r="K6588" s="5">
        <v>0</v>
      </c>
    </row>
    <row r="6589" spans="1:11" x14ac:dyDescent="0.25">
      <c r="A6589" s="5">
        <f>6582</f>
      </c>
      <c r="B6589" s="5" t="s">
        <v>6597</v>
      </c>
      <c r="C6589" s="5">
        <v>103.5</v>
      </c>
      <c r="D6589" s="5">
        <v>0.1</v>
      </c>
      <c r="E6589" s="5">
        <v>103.7</v>
      </c>
      <c r="F6589" s="5">
        <v>206.2</v>
      </c>
      <c r="G6589" s="5">
        <v>102.8</v>
      </c>
      <c r="H6589" s="5">
        <v>102.7</v>
      </c>
      <c r="I6589" s="5">
        <v>0</v>
      </c>
      <c r="J6589" s="5">
        <v>0</v>
      </c>
      <c r="K6589" s="5">
        <v>0</v>
      </c>
    </row>
    <row r="6590" spans="1:11" x14ac:dyDescent="0.25">
      <c r="A6590" s="5">
        <f>6583</f>
      </c>
      <c r="B6590" s="5" t="s">
        <v>6598</v>
      </c>
      <c r="C6590" s="5">
        <v>103.5</v>
      </c>
      <c r="D6590" s="5">
        <v>0.1</v>
      </c>
      <c r="E6590" s="5">
        <v>103.7</v>
      </c>
      <c r="F6590" s="5">
        <v>206.2</v>
      </c>
      <c r="G6590" s="5">
        <v>102.8</v>
      </c>
      <c r="H6590" s="5">
        <v>102.7</v>
      </c>
      <c r="I6590" s="5">
        <v>0</v>
      </c>
      <c r="J6590" s="5">
        <v>0</v>
      </c>
      <c r="K6590" s="5">
        <v>0</v>
      </c>
    </row>
    <row r="6591" spans="1:11" x14ac:dyDescent="0.25">
      <c r="A6591" s="5">
        <f>6584</f>
      </c>
      <c r="B6591" s="5" t="s">
        <v>6599</v>
      </c>
      <c r="C6591" s="5">
        <v>103.4</v>
      </c>
      <c r="D6591" s="5">
        <v>0.1</v>
      </c>
      <c r="E6591" s="5">
        <v>103.6</v>
      </c>
      <c r="F6591" s="5">
        <v>206.4</v>
      </c>
      <c r="G6591" s="5">
        <v>103</v>
      </c>
      <c r="H6591" s="5">
        <v>102.9</v>
      </c>
      <c r="I6591" s="5">
        <v>0</v>
      </c>
      <c r="J6591" s="5">
        <v>0</v>
      </c>
      <c r="K6591" s="5">
        <v>0</v>
      </c>
    </row>
    <row r="6592" spans="1:11" x14ac:dyDescent="0.25">
      <c r="A6592" s="5">
        <f>6585</f>
      </c>
      <c r="B6592" s="5" t="s">
        <v>6600</v>
      </c>
      <c r="C6592" s="5">
        <v>103.4</v>
      </c>
      <c r="D6592" s="5">
        <v>0.1</v>
      </c>
      <c r="E6592" s="5">
        <v>103.6</v>
      </c>
      <c r="F6592" s="5">
        <v>206.4</v>
      </c>
      <c r="G6592" s="5">
        <v>103</v>
      </c>
      <c r="H6592" s="5">
        <v>102.9</v>
      </c>
      <c r="I6592" s="5">
        <v>0</v>
      </c>
      <c r="J6592" s="5">
        <v>0</v>
      </c>
      <c r="K6592" s="5">
        <v>0</v>
      </c>
    </row>
    <row r="6593" spans="1:11" x14ac:dyDescent="0.25">
      <c r="A6593" s="5">
        <f>6586</f>
      </c>
      <c r="B6593" s="5" t="s">
        <v>6601</v>
      </c>
      <c r="C6593" s="5">
        <v>103.7</v>
      </c>
      <c r="D6593" s="5">
        <v>0.1</v>
      </c>
      <c r="E6593" s="5">
        <v>103.9</v>
      </c>
      <c r="F6593" s="5">
        <v>206.8</v>
      </c>
      <c r="G6593" s="5">
        <v>103.2</v>
      </c>
      <c r="H6593" s="5">
        <v>103.1</v>
      </c>
      <c r="I6593" s="5">
        <v>0</v>
      </c>
      <c r="J6593" s="5">
        <v>0</v>
      </c>
      <c r="K6593" s="5">
        <v>0</v>
      </c>
    </row>
    <row r="6594" spans="1:11" x14ac:dyDescent="0.25">
      <c r="A6594" s="5">
        <f>6587</f>
      </c>
      <c r="B6594" s="5" t="s">
        <v>6602</v>
      </c>
      <c r="C6594" s="5">
        <v>103.7</v>
      </c>
      <c r="D6594" s="5">
        <v>0.1</v>
      </c>
      <c r="E6594" s="5">
        <v>103.9</v>
      </c>
      <c r="F6594" s="5">
        <v>206.8</v>
      </c>
      <c r="G6594" s="5">
        <v>103.2</v>
      </c>
      <c r="H6594" s="5">
        <v>103.1</v>
      </c>
      <c r="I6594" s="5">
        <v>0</v>
      </c>
      <c r="J6594" s="5">
        <v>0</v>
      </c>
      <c r="K6594" s="5">
        <v>0</v>
      </c>
    </row>
    <row r="6595" spans="1:11" x14ac:dyDescent="0.25">
      <c r="A6595" s="5">
        <f>6588</f>
      </c>
      <c r="B6595" s="5" t="s">
        <v>6603</v>
      </c>
      <c r="C6595" s="5">
        <v>102.5</v>
      </c>
      <c r="D6595" s="5">
        <v>0.1</v>
      </c>
      <c r="E6595" s="5">
        <v>102.6</v>
      </c>
      <c r="F6595" s="5">
        <v>205.5</v>
      </c>
      <c r="G6595" s="5">
        <v>102.6</v>
      </c>
      <c r="H6595" s="5">
        <v>102.4</v>
      </c>
      <c r="I6595" s="5">
        <v>0</v>
      </c>
      <c r="J6595" s="5">
        <v>0</v>
      </c>
      <c r="K6595" s="5">
        <v>0</v>
      </c>
    </row>
    <row r="6596" spans="1:11" x14ac:dyDescent="0.25">
      <c r="A6596" s="5">
        <f>6589</f>
      </c>
      <c r="B6596" s="5" t="s">
        <v>6604</v>
      </c>
      <c r="C6596" s="5">
        <v>102.5</v>
      </c>
      <c r="D6596" s="5">
        <v>0.1</v>
      </c>
      <c r="E6596" s="5">
        <v>102.6</v>
      </c>
      <c r="F6596" s="5">
        <v>205.5</v>
      </c>
      <c r="G6596" s="5">
        <v>102.6</v>
      </c>
      <c r="H6596" s="5">
        <v>102.4</v>
      </c>
      <c r="I6596" s="5">
        <v>0</v>
      </c>
      <c r="J6596" s="5">
        <v>0</v>
      </c>
      <c r="K6596" s="5">
        <v>0</v>
      </c>
    </row>
    <row r="6597" spans="1:11" x14ac:dyDescent="0.25">
      <c r="A6597" s="5">
        <f>6590</f>
      </c>
      <c r="B6597" s="5" t="s">
        <v>6605</v>
      </c>
      <c r="C6597" s="5">
        <v>102.5</v>
      </c>
      <c r="D6597" s="5">
        <v>0.1</v>
      </c>
      <c r="E6597" s="5">
        <v>102.6</v>
      </c>
      <c r="F6597" s="5">
        <v>205.5</v>
      </c>
      <c r="G6597" s="5">
        <v>102.6</v>
      </c>
      <c r="H6597" s="5">
        <v>102.4</v>
      </c>
      <c r="I6597" s="5">
        <v>0</v>
      </c>
      <c r="J6597" s="5">
        <v>0</v>
      </c>
      <c r="K6597" s="5">
        <v>0</v>
      </c>
    </row>
    <row r="6598" spans="1:11" x14ac:dyDescent="0.25">
      <c r="A6598" s="5">
        <f>6591</f>
      </c>
      <c r="B6598" s="5" t="s">
        <v>6606</v>
      </c>
      <c r="C6598" s="5">
        <v>103</v>
      </c>
      <c r="D6598" s="5">
        <v>0.1</v>
      </c>
      <c r="E6598" s="5">
        <v>103.1</v>
      </c>
      <c r="F6598" s="5">
        <v>205.4</v>
      </c>
      <c r="G6598" s="5">
        <v>102.5</v>
      </c>
      <c r="H6598" s="5">
        <v>102.3</v>
      </c>
      <c r="I6598" s="5">
        <v>0</v>
      </c>
      <c r="J6598" s="5">
        <v>0</v>
      </c>
      <c r="K6598" s="5">
        <v>0</v>
      </c>
    </row>
    <row r="6599" spans="1:11" x14ac:dyDescent="0.25">
      <c r="A6599" s="5">
        <f>6592</f>
      </c>
      <c r="B6599" s="5" t="s">
        <v>6607</v>
      </c>
      <c r="C6599" s="5">
        <v>103</v>
      </c>
      <c r="D6599" s="5">
        <v>0.1</v>
      </c>
      <c r="E6599" s="5">
        <v>103.1</v>
      </c>
      <c r="F6599" s="5">
        <v>205.4</v>
      </c>
      <c r="G6599" s="5">
        <v>102.5</v>
      </c>
      <c r="H6599" s="5">
        <v>102.3</v>
      </c>
      <c r="I6599" s="5">
        <v>0</v>
      </c>
      <c r="J6599" s="5">
        <v>0</v>
      </c>
      <c r="K6599" s="5">
        <v>0</v>
      </c>
    </row>
    <row r="6600" spans="1:11" x14ac:dyDescent="0.25">
      <c r="A6600" s="5">
        <f>6593</f>
      </c>
      <c r="B6600" s="5" t="s">
        <v>6608</v>
      </c>
      <c r="C6600" s="5">
        <v>103.1</v>
      </c>
      <c r="D6600" s="5">
        <v>0.1</v>
      </c>
      <c r="E6600" s="5">
        <v>103.3</v>
      </c>
      <c r="F6600" s="5">
        <v>206.5</v>
      </c>
      <c r="G6600" s="5">
        <v>103.2</v>
      </c>
      <c r="H6600" s="5">
        <v>103</v>
      </c>
      <c r="I6600" s="5">
        <v>0</v>
      </c>
      <c r="J6600" s="5">
        <v>0</v>
      </c>
      <c r="K6600" s="5">
        <v>0</v>
      </c>
    </row>
    <row r="6601" spans="1:11" x14ac:dyDescent="0.25">
      <c r="A6601" s="5">
        <f>6594</f>
      </c>
      <c r="B6601" s="5" t="s">
        <v>6609</v>
      </c>
      <c r="C6601" s="5">
        <v>103.1</v>
      </c>
      <c r="D6601" s="5">
        <v>0.1</v>
      </c>
      <c r="E6601" s="5">
        <v>103.3</v>
      </c>
      <c r="F6601" s="5">
        <v>206.5</v>
      </c>
      <c r="G6601" s="5">
        <v>103.2</v>
      </c>
      <c r="H6601" s="5">
        <v>103</v>
      </c>
      <c r="I6601" s="5">
        <v>0</v>
      </c>
      <c r="J6601" s="5">
        <v>0</v>
      </c>
      <c r="K6601" s="5">
        <v>0</v>
      </c>
    </row>
    <row r="6602" spans="1:11" x14ac:dyDescent="0.25">
      <c r="A6602" s="5">
        <f>6595</f>
      </c>
      <c r="B6602" s="5" t="s">
        <v>6610</v>
      </c>
      <c r="C6602" s="5">
        <v>102.8</v>
      </c>
      <c r="D6602" s="5">
        <v>0.1</v>
      </c>
      <c r="E6602" s="5">
        <v>103</v>
      </c>
      <c r="F6602" s="5">
        <v>206</v>
      </c>
      <c r="G6602" s="5">
        <v>102.7</v>
      </c>
      <c r="H6602" s="5">
        <v>102.5</v>
      </c>
      <c r="I6602" s="5">
        <v>0</v>
      </c>
      <c r="J6602" s="5">
        <v>0</v>
      </c>
      <c r="K6602" s="5">
        <v>0</v>
      </c>
    </row>
    <row r="6603" spans="1:11" x14ac:dyDescent="0.25">
      <c r="A6603" s="5">
        <f>6596</f>
      </c>
      <c r="B6603" s="5" t="s">
        <v>6611</v>
      </c>
      <c r="C6603" s="5">
        <v>102.8</v>
      </c>
      <c r="D6603" s="5">
        <v>0.1</v>
      </c>
      <c r="E6603" s="5">
        <v>103</v>
      </c>
      <c r="F6603" s="5">
        <v>206</v>
      </c>
      <c r="G6603" s="5">
        <v>102.7</v>
      </c>
      <c r="H6603" s="5">
        <v>102.5</v>
      </c>
      <c r="I6603" s="5">
        <v>0</v>
      </c>
      <c r="J6603" s="5">
        <v>0</v>
      </c>
      <c r="K6603" s="5">
        <v>0</v>
      </c>
    </row>
    <row r="6604" spans="1:11" x14ac:dyDescent="0.25">
      <c r="A6604" s="5">
        <f>6597</f>
      </c>
      <c r="B6604" s="5" t="s">
        <v>6612</v>
      </c>
      <c r="C6604" s="5">
        <v>103.1</v>
      </c>
      <c r="D6604" s="5">
        <v>0.1</v>
      </c>
      <c r="E6604" s="5">
        <v>103.2</v>
      </c>
      <c r="F6604" s="5">
        <v>205.8</v>
      </c>
      <c r="G6604" s="5">
        <v>102.7</v>
      </c>
      <c r="H6604" s="5">
        <v>102.6</v>
      </c>
      <c r="I6604" s="5">
        <v>0</v>
      </c>
      <c r="J6604" s="5">
        <v>0</v>
      </c>
      <c r="K6604" s="5">
        <v>0</v>
      </c>
    </row>
    <row r="6605" spans="1:11" x14ac:dyDescent="0.25">
      <c r="A6605" s="5">
        <f>6598</f>
      </c>
      <c r="B6605" s="5" t="s">
        <v>6613</v>
      </c>
      <c r="C6605" s="5">
        <v>103.1</v>
      </c>
      <c r="D6605" s="5">
        <v>0.1</v>
      </c>
      <c r="E6605" s="5">
        <v>103.2</v>
      </c>
      <c r="F6605" s="5">
        <v>205.8</v>
      </c>
      <c r="G6605" s="5">
        <v>102.7</v>
      </c>
      <c r="H6605" s="5">
        <v>102.6</v>
      </c>
      <c r="I6605" s="5">
        <v>0</v>
      </c>
      <c r="J6605" s="5">
        <v>0</v>
      </c>
      <c r="K6605" s="5">
        <v>0</v>
      </c>
    </row>
    <row r="6606" spans="1:11" x14ac:dyDescent="0.25">
      <c r="A6606" s="5">
        <f>6599</f>
      </c>
      <c r="B6606" s="5" t="s">
        <v>6614</v>
      </c>
      <c r="C6606" s="5">
        <v>103.1</v>
      </c>
      <c r="D6606" s="5">
        <v>0.1</v>
      </c>
      <c r="E6606" s="5">
        <v>103.2</v>
      </c>
      <c r="F6606" s="5">
        <v>205.8</v>
      </c>
      <c r="G6606" s="5">
        <v>102.7</v>
      </c>
      <c r="H6606" s="5">
        <v>102.6</v>
      </c>
      <c r="I6606" s="5">
        <v>0</v>
      </c>
      <c r="J6606" s="5">
        <v>0</v>
      </c>
      <c r="K6606" s="5">
        <v>0</v>
      </c>
    </row>
    <row r="6607" spans="1:11" x14ac:dyDescent="0.25">
      <c r="A6607" s="5">
        <f>6600</f>
      </c>
      <c r="B6607" s="5" t="s">
        <v>6615</v>
      </c>
      <c r="C6607" s="5">
        <v>103.1</v>
      </c>
      <c r="D6607" s="5">
        <v>0.1</v>
      </c>
      <c r="E6607" s="5">
        <v>103.2</v>
      </c>
      <c r="F6607" s="5">
        <v>205.8</v>
      </c>
      <c r="G6607" s="5">
        <v>102.7</v>
      </c>
      <c r="H6607" s="5">
        <v>102.6</v>
      </c>
      <c r="I6607" s="5">
        <v>0</v>
      </c>
      <c r="J6607" s="5">
        <v>0</v>
      </c>
      <c r="K6607" s="5">
        <v>0</v>
      </c>
    </row>
    <row r="6608" spans="1:11" x14ac:dyDescent="0.25">
      <c r="A6608" s="5">
        <f>6601</f>
      </c>
      <c r="B6608" s="5" t="s">
        <v>6616</v>
      </c>
      <c r="C6608" s="5">
        <v>103.3</v>
      </c>
      <c r="D6608" s="5">
        <v>0.1</v>
      </c>
      <c r="E6608" s="5">
        <v>103.4</v>
      </c>
      <c r="F6608" s="5">
        <v>206.2</v>
      </c>
      <c r="G6608" s="5">
        <v>102.9</v>
      </c>
      <c r="H6608" s="5">
        <v>102.7</v>
      </c>
      <c r="I6608" s="5">
        <v>0</v>
      </c>
      <c r="J6608" s="5">
        <v>0</v>
      </c>
      <c r="K6608" s="5">
        <v>0</v>
      </c>
    </row>
    <row r="6609" spans="1:11" x14ac:dyDescent="0.25">
      <c r="A6609" s="5">
        <f>6602</f>
      </c>
      <c r="B6609" s="5" t="s">
        <v>6617</v>
      </c>
      <c r="C6609" s="5">
        <v>103.3</v>
      </c>
      <c r="D6609" s="5">
        <v>0.1</v>
      </c>
      <c r="E6609" s="5">
        <v>103.4</v>
      </c>
      <c r="F6609" s="5">
        <v>206.2</v>
      </c>
      <c r="G6609" s="5">
        <v>102.9</v>
      </c>
      <c r="H6609" s="5">
        <v>102.7</v>
      </c>
      <c r="I6609" s="5">
        <v>0</v>
      </c>
      <c r="J6609" s="5">
        <v>0</v>
      </c>
      <c r="K6609" s="5">
        <v>0</v>
      </c>
    </row>
    <row r="6610" spans="1:11" x14ac:dyDescent="0.25">
      <c r="A6610" s="5">
        <f>6603</f>
      </c>
      <c r="B6610" s="5" t="s">
        <v>6618</v>
      </c>
      <c r="C6610" s="5">
        <v>103.4</v>
      </c>
      <c r="D6610" s="5">
        <v>0.1</v>
      </c>
      <c r="E6610" s="5">
        <v>103.6</v>
      </c>
      <c r="F6610" s="5">
        <v>206.7</v>
      </c>
      <c r="G6610" s="5">
        <v>103.1</v>
      </c>
      <c r="H6610" s="5">
        <v>103</v>
      </c>
      <c r="I6610" s="5">
        <v>0</v>
      </c>
      <c r="J6610" s="5">
        <v>0</v>
      </c>
      <c r="K6610" s="5">
        <v>0</v>
      </c>
    </row>
    <row r="6611" spans="1:11" x14ac:dyDescent="0.25">
      <c r="A6611" s="5">
        <f>6604</f>
      </c>
      <c r="B6611" s="5" t="s">
        <v>6619</v>
      </c>
      <c r="C6611" s="5">
        <v>103.4</v>
      </c>
      <c r="D6611" s="5">
        <v>0.1</v>
      </c>
      <c r="E6611" s="5">
        <v>103.6</v>
      </c>
      <c r="F6611" s="5">
        <v>206.7</v>
      </c>
      <c r="G6611" s="5">
        <v>103.1</v>
      </c>
      <c r="H6611" s="5">
        <v>103</v>
      </c>
      <c r="I6611" s="5">
        <v>0</v>
      </c>
      <c r="J6611" s="5">
        <v>0</v>
      </c>
      <c r="K6611" s="5">
        <v>0</v>
      </c>
    </row>
    <row r="6612" spans="1:11" x14ac:dyDescent="0.25">
      <c r="A6612" s="5">
        <f>6605</f>
      </c>
      <c r="B6612" s="5" t="s">
        <v>6620</v>
      </c>
      <c r="C6612" s="5">
        <v>102.6</v>
      </c>
      <c r="D6612" s="5">
        <v>0.1</v>
      </c>
      <c r="E6612" s="5">
        <v>102.7</v>
      </c>
      <c r="F6612" s="5">
        <v>205.6</v>
      </c>
      <c r="G6612" s="5">
        <v>102.6</v>
      </c>
      <c r="H6612" s="5">
        <v>102.4</v>
      </c>
      <c r="I6612" s="5">
        <v>0</v>
      </c>
      <c r="J6612" s="5">
        <v>0</v>
      </c>
      <c r="K6612" s="5">
        <v>0</v>
      </c>
    </row>
    <row r="6613" spans="1:11" x14ac:dyDescent="0.25">
      <c r="A6613" s="5">
        <f>6606</f>
      </c>
      <c r="B6613" s="5" t="s">
        <v>6621</v>
      </c>
      <c r="C6613" s="5">
        <v>102.6</v>
      </c>
      <c r="D6613" s="5">
        <v>0.1</v>
      </c>
      <c r="E6613" s="5">
        <v>102.7</v>
      </c>
      <c r="F6613" s="5">
        <v>205.6</v>
      </c>
      <c r="G6613" s="5">
        <v>102.6</v>
      </c>
      <c r="H6613" s="5">
        <v>102.4</v>
      </c>
      <c r="I6613" s="5">
        <v>0</v>
      </c>
      <c r="J6613" s="5">
        <v>0</v>
      </c>
      <c r="K6613" s="5">
        <v>0</v>
      </c>
    </row>
    <row r="6614" spans="1:11" x14ac:dyDescent="0.25">
      <c r="A6614" s="5">
        <f>6607</f>
      </c>
      <c r="B6614" s="5" t="s">
        <v>6622</v>
      </c>
      <c r="C6614" s="5">
        <v>102.9</v>
      </c>
      <c r="D6614" s="5">
        <v>0.1</v>
      </c>
      <c r="E6614" s="5">
        <v>103.1</v>
      </c>
      <c r="F6614" s="5">
        <v>205.2</v>
      </c>
      <c r="G6614" s="5">
        <v>102.4</v>
      </c>
      <c r="H6614" s="5">
        <v>102.3</v>
      </c>
      <c r="I6614" s="5">
        <v>0</v>
      </c>
      <c r="J6614" s="5">
        <v>0</v>
      </c>
      <c r="K6614" s="5">
        <v>0</v>
      </c>
    </row>
    <row r="6615" spans="1:11" x14ac:dyDescent="0.25">
      <c r="A6615" s="5">
        <f>6608</f>
      </c>
      <c r="B6615" s="5" t="s">
        <v>6623</v>
      </c>
      <c r="C6615" s="5">
        <v>102.9</v>
      </c>
      <c r="D6615" s="5">
        <v>0.1</v>
      </c>
      <c r="E6615" s="5">
        <v>103.1</v>
      </c>
      <c r="F6615" s="5">
        <v>205.2</v>
      </c>
      <c r="G6615" s="5">
        <v>102.4</v>
      </c>
      <c r="H6615" s="5">
        <v>102.3</v>
      </c>
      <c r="I6615" s="5">
        <v>0</v>
      </c>
      <c r="J6615" s="5">
        <v>0</v>
      </c>
      <c r="K6615" s="5">
        <v>0</v>
      </c>
    </row>
    <row r="6616" spans="1:11" x14ac:dyDescent="0.25">
      <c r="A6616" s="5">
        <f>6609</f>
      </c>
      <c r="B6616" s="5" t="s">
        <v>6624</v>
      </c>
      <c r="C6616" s="5">
        <v>102.9</v>
      </c>
      <c r="D6616" s="5">
        <v>0.1</v>
      </c>
      <c r="E6616" s="5">
        <v>103.1</v>
      </c>
      <c r="F6616" s="5">
        <v>205.2</v>
      </c>
      <c r="G6616" s="5">
        <v>102.4</v>
      </c>
      <c r="H6616" s="5">
        <v>102.3</v>
      </c>
      <c r="I6616" s="5">
        <v>0</v>
      </c>
      <c r="J6616" s="5">
        <v>0</v>
      </c>
      <c r="K6616" s="5">
        <v>0</v>
      </c>
    </row>
    <row r="6617" spans="1:11" x14ac:dyDescent="0.25">
      <c r="A6617" s="5">
        <f>6610</f>
      </c>
      <c r="B6617" s="5" t="s">
        <v>6625</v>
      </c>
      <c r="C6617" s="5">
        <v>103</v>
      </c>
      <c r="D6617" s="5">
        <v>0.1</v>
      </c>
      <c r="E6617" s="5">
        <v>103.1</v>
      </c>
      <c r="F6617" s="5">
        <v>205.8</v>
      </c>
      <c r="G6617" s="5">
        <v>102.7</v>
      </c>
      <c r="H6617" s="5">
        <v>102.6</v>
      </c>
      <c r="I6617" s="5">
        <v>0</v>
      </c>
      <c r="J6617" s="5">
        <v>0</v>
      </c>
      <c r="K6617" s="5">
        <v>0</v>
      </c>
    </row>
    <row r="6618" spans="1:11" x14ac:dyDescent="0.25">
      <c r="A6618" s="5">
        <f>6611</f>
      </c>
      <c r="B6618" s="5" t="s">
        <v>6626</v>
      </c>
      <c r="C6618" s="5">
        <v>103</v>
      </c>
      <c r="D6618" s="5">
        <v>0.1</v>
      </c>
      <c r="E6618" s="5">
        <v>103.1</v>
      </c>
      <c r="F6618" s="5">
        <v>205.8</v>
      </c>
      <c r="G6618" s="5">
        <v>102.7</v>
      </c>
      <c r="H6618" s="5">
        <v>102.6</v>
      </c>
      <c r="I6618" s="5">
        <v>0</v>
      </c>
      <c r="J6618" s="5">
        <v>0</v>
      </c>
      <c r="K6618" s="5">
        <v>0</v>
      </c>
    </row>
    <row r="6619" spans="1:11" x14ac:dyDescent="0.25">
      <c r="A6619" s="5">
        <f>6612</f>
      </c>
      <c r="B6619" s="5" t="s">
        <v>6627</v>
      </c>
      <c r="C6619" s="5">
        <v>103.1</v>
      </c>
      <c r="D6619" s="5">
        <v>0.1</v>
      </c>
      <c r="E6619" s="5">
        <v>103.2</v>
      </c>
      <c r="F6619" s="5">
        <v>206.4</v>
      </c>
      <c r="G6619" s="5">
        <v>103</v>
      </c>
      <c r="H6619" s="5">
        <v>102.8</v>
      </c>
      <c r="I6619" s="5">
        <v>0</v>
      </c>
      <c r="J6619" s="5">
        <v>0</v>
      </c>
      <c r="K6619" s="5">
        <v>0</v>
      </c>
    </row>
    <row r="6620" spans="1:11" x14ac:dyDescent="0.25">
      <c r="A6620" s="5">
        <f>6613</f>
      </c>
      <c r="B6620" s="5" t="s">
        <v>6628</v>
      </c>
      <c r="C6620" s="5">
        <v>103.1</v>
      </c>
      <c r="D6620" s="5">
        <v>0.1</v>
      </c>
      <c r="E6620" s="5">
        <v>103.2</v>
      </c>
      <c r="F6620" s="5">
        <v>206.4</v>
      </c>
      <c r="G6620" s="5">
        <v>103</v>
      </c>
      <c r="H6620" s="5">
        <v>102.8</v>
      </c>
      <c r="I6620" s="5">
        <v>0</v>
      </c>
      <c r="J6620" s="5">
        <v>0</v>
      </c>
      <c r="K6620" s="5">
        <v>0</v>
      </c>
    </row>
    <row r="6621" spans="1:11" x14ac:dyDescent="0.25">
      <c r="A6621" s="5">
        <f>6614</f>
      </c>
      <c r="B6621" s="5" t="s">
        <v>6629</v>
      </c>
      <c r="C6621" s="5">
        <v>103.9</v>
      </c>
      <c r="D6621" s="5">
        <v>0.1</v>
      </c>
      <c r="E6621" s="5">
        <v>104</v>
      </c>
      <c r="F6621" s="5">
        <v>207.3</v>
      </c>
      <c r="G6621" s="5">
        <v>103.4</v>
      </c>
      <c r="H6621" s="5">
        <v>103.3</v>
      </c>
      <c r="I6621" s="5">
        <v>0</v>
      </c>
      <c r="J6621" s="5">
        <v>0</v>
      </c>
      <c r="K6621" s="5">
        <v>0</v>
      </c>
    </row>
    <row r="6622" spans="1:11" x14ac:dyDescent="0.25">
      <c r="A6622" s="5">
        <f>6615</f>
      </c>
      <c r="B6622" s="5" t="s">
        <v>6630</v>
      </c>
      <c r="C6622" s="5">
        <v>103.9</v>
      </c>
      <c r="D6622" s="5">
        <v>0.1</v>
      </c>
      <c r="E6622" s="5">
        <v>104</v>
      </c>
      <c r="F6622" s="5">
        <v>207.3</v>
      </c>
      <c r="G6622" s="5">
        <v>103.4</v>
      </c>
      <c r="H6622" s="5">
        <v>103.3</v>
      </c>
      <c r="I6622" s="5">
        <v>0</v>
      </c>
      <c r="J6622" s="5">
        <v>0</v>
      </c>
      <c r="K6622" s="5">
        <v>0</v>
      </c>
    </row>
    <row r="6623" spans="1:11" x14ac:dyDescent="0.25">
      <c r="A6623" s="5">
        <f>6616</f>
      </c>
      <c r="B6623" s="5" t="s">
        <v>6631</v>
      </c>
      <c r="C6623" s="5">
        <v>103.1</v>
      </c>
      <c r="D6623" s="5">
        <v>0.1</v>
      </c>
      <c r="E6623" s="5">
        <v>103.3</v>
      </c>
      <c r="F6623" s="5">
        <v>205.8</v>
      </c>
      <c r="G6623" s="5">
        <v>102.7</v>
      </c>
      <c r="H6623" s="5">
        <v>102.6</v>
      </c>
      <c r="I6623" s="5">
        <v>0</v>
      </c>
      <c r="J6623" s="5">
        <v>0</v>
      </c>
      <c r="K6623" s="5">
        <v>0</v>
      </c>
    </row>
    <row r="6624" spans="1:11" x14ac:dyDescent="0.25">
      <c r="A6624" s="5">
        <f>6617</f>
      </c>
      <c r="B6624" s="5" t="s">
        <v>6632</v>
      </c>
      <c r="C6624" s="5">
        <v>103.1</v>
      </c>
      <c r="D6624" s="5">
        <v>0.1</v>
      </c>
      <c r="E6624" s="5">
        <v>103.3</v>
      </c>
      <c r="F6624" s="5">
        <v>205.8</v>
      </c>
      <c r="G6624" s="5">
        <v>102.7</v>
      </c>
      <c r="H6624" s="5">
        <v>102.6</v>
      </c>
      <c r="I6624" s="5">
        <v>0</v>
      </c>
      <c r="J6624" s="5">
        <v>0</v>
      </c>
      <c r="K6624" s="5">
        <v>0</v>
      </c>
    </row>
    <row r="6625" spans="1:11" x14ac:dyDescent="0.25">
      <c r="A6625" s="5">
        <f>6618</f>
      </c>
      <c r="B6625" s="5" t="s">
        <v>6633</v>
      </c>
      <c r="C6625" s="5">
        <v>103.1</v>
      </c>
      <c r="D6625" s="5">
        <v>0.1</v>
      </c>
      <c r="E6625" s="5">
        <v>103.3</v>
      </c>
      <c r="F6625" s="5">
        <v>205.8</v>
      </c>
      <c r="G6625" s="5">
        <v>102.7</v>
      </c>
      <c r="H6625" s="5">
        <v>102.6</v>
      </c>
      <c r="I6625" s="5">
        <v>0</v>
      </c>
      <c r="J6625" s="5">
        <v>0</v>
      </c>
      <c r="K6625" s="5">
        <v>0</v>
      </c>
    </row>
    <row r="6626" spans="1:11" x14ac:dyDescent="0.25">
      <c r="A6626" s="5">
        <f>6619</f>
      </c>
      <c r="B6626" s="5" t="s">
        <v>6634</v>
      </c>
      <c r="C6626" s="5">
        <v>103.1</v>
      </c>
      <c r="D6626" s="5">
        <v>0.1</v>
      </c>
      <c r="E6626" s="5">
        <v>103.3</v>
      </c>
      <c r="F6626" s="5">
        <v>205.8</v>
      </c>
      <c r="G6626" s="5">
        <v>102.7</v>
      </c>
      <c r="H6626" s="5">
        <v>102.6</v>
      </c>
      <c r="I6626" s="5">
        <v>0</v>
      </c>
      <c r="J6626" s="5">
        <v>0</v>
      </c>
      <c r="K6626" s="5">
        <v>0</v>
      </c>
    </row>
    <row r="6627" spans="1:11" x14ac:dyDescent="0.25">
      <c r="A6627" s="5">
        <f>6620</f>
      </c>
      <c r="B6627" s="5" t="s">
        <v>6635</v>
      </c>
      <c r="C6627" s="5">
        <v>102.7</v>
      </c>
      <c r="D6627" s="5">
        <v>0.1</v>
      </c>
      <c r="E6627" s="5">
        <v>102.8</v>
      </c>
      <c r="F6627" s="5">
        <v>206.1</v>
      </c>
      <c r="G6627" s="5">
        <v>102.8</v>
      </c>
      <c r="H6627" s="5">
        <v>102.6</v>
      </c>
      <c r="I6627" s="5">
        <v>0</v>
      </c>
      <c r="J6627" s="5">
        <v>0</v>
      </c>
      <c r="K6627" s="5">
        <v>0</v>
      </c>
    </row>
    <row r="6628" spans="1:11" x14ac:dyDescent="0.25">
      <c r="A6628" s="5">
        <f>6621</f>
      </c>
      <c r="B6628" s="5" t="s">
        <v>6636</v>
      </c>
      <c r="C6628" s="5">
        <v>102.7</v>
      </c>
      <c r="D6628" s="5">
        <v>0.1</v>
      </c>
      <c r="E6628" s="5">
        <v>102.8</v>
      </c>
      <c r="F6628" s="5">
        <v>206.1</v>
      </c>
      <c r="G6628" s="5">
        <v>102.8</v>
      </c>
      <c r="H6628" s="5">
        <v>102.6</v>
      </c>
      <c r="I6628" s="5">
        <v>0</v>
      </c>
      <c r="J6628" s="5">
        <v>0</v>
      </c>
      <c r="K6628" s="5">
        <v>0</v>
      </c>
    </row>
    <row r="6629" spans="1:11" x14ac:dyDescent="0.25">
      <c r="A6629" s="5">
        <f>6622</f>
      </c>
      <c r="B6629" s="5" t="s">
        <v>6637</v>
      </c>
      <c r="C6629" s="5">
        <v>102.9</v>
      </c>
      <c r="D6629" s="5">
        <v>0.1</v>
      </c>
      <c r="E6629" s="5">
        <v>103.1</v>
      </c>
      <c r="F6629" s="5">
        <v>206.3</v>
      </c>
      <c r="G6629" s="5">
        <v>102.9</v>
      </c>
      <c r="H6629" s="5">
        <v>102.7</v>
      </c>
      <c r="I6629" s="5">
        <v>0</v>
      </c>
      <c r="J6629" s="5">
        <v>0</v>
      </c>
      <c r="K6629" s="5">
        <v>0</v>
      </c>
    </row>
    <row r="6630" spans="1:11" x14ac:dyDescent="0.25">
      <c r="A6630" s="5">
        <f>6623</f>
      </c>
      <c r="B6630" s="5" t="s">
        <v>6638</v>
      </c>
      <c r="C6630" s="5">
        <v>102.9</v>
      </c>
      <c r="D6630" s="5">
        <v>0.1</v>
      </c>
      <c r="E6630" s="5">
        <v>103.1</v>
      </c>
      <c r="F6630" s="5">
        <v>206.3</v>
      </c>
      <c r="G6630" s="5">
        <v>102.9</v>
      </c>
      <c r="H6630" s="5">
        <v>102.7</v>
      </c>
      <c r="I6630" s="5">
        <v>0</v>
      </c>
      <c r="J6630" s="5">
        <v>0</v>
      </c>
      <c r="K6630" s="5">
        <v>0</v>
      </c>
    </row>
    <row r="6631" spans="1:11" x14ac:dyDescent="0.25">
      <c r="A6631" s="5">
        <f>6624</f>
      </c>
      <c r="B6631" s="5" t="s">
        <v>6639</v>
      </c>
      <c r="C6631" s="5">
        <v>102.6</v>
      </c>
      <c r="D6631" s="5">
        <v>0.1</v>
      </c>
      <c r="E6631" s="5">
        <v>102.7</v>
      </c>
      <c r="F6631" s="5">
        <v>206</v>
      </c>
      <c r="G6631" s="5">
        <v>102.8</v>
      </c>
      <c r="H6631" s="5">
        <v>102.7</v>
      </c>
      <c r="I6631" s="5">
        <v>0</v>
      </c>
      <c r="J6631" s="5">
        <v>0</v>
      </c>
      <c r="K6631" s="5">
        <v>0</v>
      </c>
    </row>
    <row r="6632" spans="1:11" x14ac:dyDescent="0.25">
      <c r="A6632" s="5">
        <f>6625</f>
      </c>
      <c r="B6632" s="5" t="s">
        <v>6640</v>
      </c>
      <c r="C6632" s="5">
        <v>102.6</v>
      </c>
      <c r="D6632" s="5">
        <v>0.1</v>
      </c>
      <c r="E6632" s="5">
        <v>102.7</v>
      </c>
      <c r="F6632" s="5">
        <v>206</v>
      </c>
      <c r="G6632" s="5">
        <v>102.8</v>
      </c>
      <c r="H6632" s="5">
        <v>102.7</v>
      </c>
      <c r="I6632" s="5">
        <v>0</v>
      </c>
      <c r="J6632" s="5">
        <v>0</v>
      </c>
      <c r="K6632" s="5">
        <v>0</v>
      </c>
    </row>
    <row r="6633" spans="1:11" x14ac:dyDescent="0.25">
      <c r="A6633" s="5">
        <f>6626</f>
      </c>
      <c r="B6633" s="5" t="s">
        <v>6641</v>
      </c>
      <c r="C6633" s="5">
        <v>103.7</v>
      </c>
      <c r="D6633" s="5">
        <v>0.1</v>
      </c>
      <c r="E6633" s="5">
        <v>103.8</v>
      </c>
      <c r="F6633" s="5">
        <v>206.4</v>
      </c>
      <c r="G6633" s="5">
        <v>103</v>
      </c>
      <c r="H6633" s="5">
        <v>102.8</v>
      </c>
      <c r="I6633" s="5">
        <v>0</v>
      </c>
      <c r="J6633" s="5">
        <v>0</v>
      </c>
      <c r="K6633" s="5">
        <v>0</v>
      </c>
    </row>
    <row r="6634" spans="1:11" x14ac:dyDescent="0.25">
      <c r="A6634" s="5">
        <f>6627</f>
      </c>
      <c r="B6634" s="5" t="s">
        <v>6642</v>
      </c>
      <c r="C6634" s="5">
        <v>103.7</v>
      </c>
      <c r="D6634" s="5">
        <v>0.1</v>
      </c>
      <c r="E6634" s="5">
        <v>103.8</v>
      </c>
      <c r="F6634" s="5">
        <v>206.4</v>
      </c>
      <c r="G6634" s="5">
        <v>103</v>
      </c>
      <c r="H6634" s="5">
        <v>102.8</v>
      </c>
      <c r="I6634" s="5">
        <v>0</v>
      </c>
      <c r="J6634" s="5">
        <v>0</v>
      </c>
      <c r="K6634" s="5">
        <v>0</v>
      </c>
    </row>
    <row r="6635" spans="1:11" x14ac:dyDescent="0.25">
      <c r="A6635" s="5">
        <f>6628</f>
      </c>
      <c r="B6635" s="5" t="s">
        <v>6643</v>
      </c>
      <c r="C6635" s="5">
        <v>103.7</v>
      </c>
      <c r="D6635" s="5">
        <v>0.1</v>
      </c>
      <c r="E6635" s="5">
        <v>103.8</v>
      </c>
      <c r="F6635" s="5">
        <v>206.4</v>
      </c>
      <c r="G6635" s="5">
        <v>103</v>
      </c>
      <c r="H6635" s="5">
        <v>102.8</v>
      </c>
      <c r="I6635" s="5">
        <v>0</v>
      </c>
      <c r="J6635" s="5">
        <v>0</v>
      </c>
      <c r="K6635" s="5">
        <v>0</v>
      </c>
    </row>
    <row r="6636" spans="1:11" x14ac:dyDescent="0.25">
      <c r="A6636" s="5">
        <f>6629</f>
      </c>
      <c r="B6636" s="5" t="s">
        <v>6644</v>
      </c>
      <c r="C6636" s="5">
        <v>103.7</v>
      </c>
      <c r="D6636" s="5">
        <v>0.1</v>
      </c>
      <c r="E6636" s="5">
        <v>103.8</v>
      </c>
      <c r="F6636" s="5">
        <v>206.4</v>
      </c>
      <c r="G6636" s="5">
        <v>103</v>
      </c>
      <c r="H6636" s="5">
        <v>102.8</v>
      </c>
      <c r="I6636" s="5">
        <v>0</v>
      </c>
      <c r="J6636" s="5">
        <v>0</v>
      </c>
      <c r="K6636" s="5">
        <v>0</v>
      </c>
    </row>
    <row r="6637" spans="1:11" x14ac:dyDescent="0.25">
      <c r="A6637" s="5">
        <f>6630</f>
      </c>
      <c r="B6637" s="5" t="s">
        <v>6645</v>
      </c>
      <c r="C6637" s="5">
        <v>102.5</v>
      </c>
      <c r="D6637" s="5">
        <v>0.1</v>
      </c>
      <c r="E6637" s="5">
        <v>102.7</v>
      </c>
      <c r="F6637" s="5">
        <v>204.7</v>
      </c>
      <c r="G6637" s="5">
        <v>102.1</v>
      </c>
      <c r="H6637" s="5">
        <v>102.8</v>
      </c>
      <c r="I6637" s="5">
        <v>0</v>
      </c>
      <c r="J6637" s="5">
        <v>0</v>
      </c>
      <c r="K6637" s="5">
        <v>0</v>
      </c>
    </row>
    <row r="6638" spans="1:11" x14ac:dyDescent="0.25">
      <c r="A6638" s="5">
        <f>6631</f>
      </c>
      <c r="B6638" s="5" t="s">
        <v>6646</v>
      </c>
      <c r="C6638" s="5">
        <v>102.5</v>
      </c>
      <c r="D6638" s="5">
        <v>0.1</v>
      </c>
      <c r="E6638" s="5">
        <v>102.7</v>
      </c>
      <c r="F6638" s="5">
        <v>204.7</v>
      </c>
      <c r="G6638" s="5">
        <v>102.1</v>
      </c>
      <c r="H6638" s="5">
        <v>102</v>
      </c>
      <c r="I6638" s="5">
        <v>0</v>
      </c>
      <c r="J6638" s="5">
        <v>0</v>
      </c>
      <c r="K6638" s="5">
        <v>0</v>
      </c>
    </row>
    <row r="6639" spans="1:11" x14ac:dyDescent="0.25">
      <c r="A6639" s="5">
        <f>6632</f>
      </c>
      <c r="B6639" s="5" t="s">
        <v>6647</v>
      </c>
      <c r="C6639" s="5">
        <v>102.4</v>
      </c>
      <c r="D6639" s="5">
        <v>0.1</v>
      </c>
      <c r="E6639" s="5">
        <v>102.6</v>
      </c>
      <c r="F6639" s="5">
        <v>204.7</v>
      </c>
      <c r="G6639" s="5">
        <v>102.1</v>
      </c>
      <c r="H6639" s="5">
        <v>102</v>
      </c>
      <c r="I6639" s="5">
        <v>0</v>
      </c>
      <c r="J6639" s="5">
        <v>0</v>
      </c>
      <c r="K6639" s="5">
        <v>0</v>
      </c>
    </row>
    <row r="6640" spans="1:11" x14ac:dyDescent="0.25">
      <c r="A6640" s="5">
        <f>6633</f>
      </c>
      <c r="B6640" s="5" t="s">
        <v>6648</v>
      </c>
      <c r="C6640" s="5">
        <v>102.4</v>
      </c>
      <c r="D6640" s="5">
        <v>0.1</v>
      </c>
      <c r="E6640" s="5">
        <v>102.6</v>
      </c>
      <c r="F6640" s="5">
        <v>204.7</v>
      </c>
      <c r="G6640" s="5">
        <v>102.1</v>
      </c>
      <c r="H6640" s="5">
        <v>101.9</v>
      </c>
      <c r="I6640" s="5">
        <v>0</v>
      </c>
      <c r="J6640" s="5">
        <v>0</v>
      </c>
      <c r="K6640" s="5">
        <v>0</v>
      </c>
    </row>
    <row r="6641" spans="1:11" x14ac:dyDescent="0.25">
      <c r="A6641" s="5">
        <f>6634</f>
      </c>
      <c r="B6641" s="5" t="s">
        <v>6649</v>
      </c>
      <c r="C6641" s="5">
        <v>102.4</v>
      </c>
      <c r="D6641" s="5">
        <v>0.1</v>
      </c>
      <c r="E6641" s="5">
        <v>102.6</v>
      </c>
      <c r="F6641" s="5">
        <v>204.7</v>
      </c>
      <c r="G6641" s="5">
        <v>102.1</v>
      </c>
      <c r="H6641" s="5">
        <v>101.9</v>
      </c>
      <c r="I6641" s="5">
        <v>0</v>
      </c>
      <c r="J6641" s="5">
        <v>0</v>
      </c>
      <c r="K6641" s="5">
        <v>0</v>
      </c>
    </row>
    <row r="6642" spans="1:11" x14ac:dyDescent="0.25">
      <c r="A6642" s="5">
        <f>6635</f>
      </c>
      <c r="B6642" s="5" t="s">
        <v>6650</v>
      </c>
      <c r="C6642" s="5">
        <v>102.3</v>
      </c>
      <c r="D6642" s="5">
        <v>0.1</v>
      </c>
      <c r="E6642" s="5">
        <v>102.4</v>
      </c>
      <c r="F6642" s="5">
        <v>204.7</v>
      </c>
      <c r="G6642" s="5">
        <v>102.1</v>
      </c>
      <c r="H6642" s="5">
        <v>102</v>
      </c>
      <c r="I6642" s="5">
        <v>0</v>
      </c>
      <c r="J6642" s="5">
        <v>0</v>
      </c>
      <c r="K6642" s="5">
        <v>0</v>
      </c>
    </row>
    <row r="6643" spans="1:11" x14ac:dyDescent="0.25">
      <c r="A6643" s="5">
        <f>6636</f>
      </c>
      <c r="B6643" s="5" t="s">
        <v>6651</v>
      </c>
      <c r="C6643" s="5">
        <v>102.3</v>
      </c>
      <c r="D6643" s="5">
        <v>0.1</v>
      </c>
      <c r="E6643" s="5">
        <v>102.4</v>
      </c>
      <c r="F6643" s="5">
        <v>204.7</v>
      </c>
      <c r="G6643" s="5">
        <v>102.1</v>
      </c>
      <c r="H6643" s="5">
        <v>102</v>
      </c>
      <c r="I6643" s="5">
        <v>0</v>
      </c>
      <c r="J6643" s="5">
        <v>0</v>
      </c>
      <c r="K6643" s="5">
        <v>0</v>
      </c>
    </row>
    <row r="6644" spans="1:11" x14ac:dyDescent="0.25">
      <c r="A6644" s="5">
        <f>6637</f>
      </c>
      <c r="B6644" s="5" t="s">
        <v>6652</v>
      </c>
      <c r="C6644" s="5">
        <v>103</v>
      </c>
      <c r="D6644" s="5">
        <v>0.1</v>
      </c>
      <c r="E6644" s="5">
        <v>103.1</v>
      </c>
      <c r="F6644" s="5">
        <v>205.5</v>
      </c>
      <c r="G6644" s="5">
        <v>102.6</v>
      </c>
      <c r="H6644" s="5">
        <v>102.4</v>
      </c>
      <c r="I6644" s="5">
        <v>0</v>
      </c>
      <c r="J6644" s="5">
        <v>0</v>
      </c>
      <c r="K6644" s="5">
        <v>0</v>
      </c>
    </row>
    <row r="6645" spans="1:11" x14ac:dyDescent="0.25">
      <c r="A6645" s="5">
        <f>6638</f>
      </c>
      <c r="B6645" s="5" t="s">
        <v>6653</v>
      </c>
      <c r="C6645" s="5">
        <v>103</v>
      </c>
      <c r="D6645" s="5">
        <v>0.1</v>
      </c>
      <c r="E6645" s="5">
        <v>103.1</v>
      </c>
      <c r="F6645" s="5">
        <v>205.5</v>
      </c>
      <c r="G6645" s="5">
        <v>102.6</v>
      </c>
      <c r="H6645" s="5">
        <v>102.4</v>
      </c>
      <c r="I6645" s="5">
        <v>0</v>
      </c>
      <c r="J6645" s="5">
        <v>0</v>
      </c>
      <c r="K6645" s="5">
        <v>0</v>
      </c>
    </row>
    <row r="6646" spans="1:11" x14ac:dyDescent="0.25">
      <c r="A6646" s="5">
        <f>6639</f>
      </c>
      <c r="B6646" s="5" t="s">
        <v>6654</v>
      </c>
      <c r="C6646" s="5">
        <v>103</v>
      </c>
      <c r="D6646" s="5">
        <v>0.1</v>
      </c>
      <c r="E6646" s="5">
        <v>103.1</v>
      </c>
      <c r="F6646" s="5">
        <v>205.5</v>
      </c>
      <c r="G6646" s="5">
        <v>102.6</v>
      </c>
      <c r="H6646" s="5">
        <v>102.4</v>
      </c>
      <c r="I6646" s="5">
        <v>0</v>
      </c>
      <c r="J6646" s="5">
        <v>0</v>
      </c>
      <c r="K6646" s="5">
        <v>0</v>
      </c>
    </row>
    <row r="6647" spans="1:11" x14ac:dyDescent="0.25">
      <c r="A6647" s="5">
        <f>6640</f>
      </c>
      <c r="B6647" s="5" t="s">
        <v>6655</v>
      </c>
      <c r="C6647" s="5">
        <v>103</v>
      </c>
      <c r="D6647" s="5">
        <v>0.1</v>
      </c>
      <c r="E6647" s="5">
        <v>103.1</v>
      </c>
      <c r="F6647" s="5">
        <v>205.5</v>
      </c>
      <c r="G6647" s="5">
        <v>102.6</v>
      </c>
      <c r="H6647" s="5">
        <v>102.4</v>
      </c>
      <c r="I6647" s="5">
        <v>0</v>
      </c>
      <c r="J6647" s="5">
        <v>0</v>
      </c>
      <c r="K6647" s="5">
        <v>0</v>
      </c>
    </row>
    <row r="6648" spans="1:11" x14ac:dyDescent="0.25">
      <c r="A6648" s="5">
        <f>6641</f>
      </c>
      <c r="B6648" s="5" t="s">
        <v>6656</v>
      </c>
      <c r="C6648" s="5">
        <v>103</v>
      </c>
      <c r="D6648" s="5">
        <v>0.1</v>
      </c>
      <c r="E6648" s="5">
        <v>103.1</v>
      </c>
      <c r="F6648" s="5">
        <v>205.5</v>
      </c>
      <c r="G6648" s="5">
        <v>102.6</v>
      </c>
      <c r="H6648" s="5">
        <v>102.4</v>
      </c>
      <c r="I6648" s="5">
        <v>0</v>
      </c>
      <c r="J6648" s="5">
        <v>0</v>
      </c>
      <c r="K6648" s="5">
        <v>0</v>
      </c>
    </row>
    <row r="6649" spans="1:11" x14ac:dyDescent="0.25">
      <c r="A6649" s="5">
        <f>6642</f>
      </c>
      <c r="B6649" s="5" t="s">
        <v>6657</v>
      </c>
      <c r="C6649" s="5">
        <v>103</v>
      </c>
      <c r="D6649" s="5">
        <v>0.1</v>
      </c>
      <c r="E6649" s="5">
        <v>103.1</v>
      </c>
      <c r="F6649" s="5">
        <v>205.5</v>
      </c>
      <c r="G6649" s="5">
        <v>102.6</v>
      </c>
      <c r="H6649" s="5">
        <v>102.4</v>
      </c>
      <c r="I6649" s="5">
        <v>0</v>
      </c>
      <c r="J6649" s="5">
        <v>0</v>
      </c>
      <c r="K6649" s="5">
        <v>0</v>
      </c>
    </row>
    <row r="6650" spans="1:11" x14ac:dyDescent="0.25">
      <c r="A6650" s="5">
        <f>6643</f>
      </c>
      <c r="B6650" s="5" t="s">
        <v>6658</v>
      </c>
      <c r="C6650" s="5">
        <v>103</v>
      </c>
      <c r="D6650" s="5">
        <v>0.1</v>
      </c>
      <c r="E6650" s="5">
        <v>103.1</v>
      </c>
      <c r="F6650" s="5">
        <v>205.5</v>
      </c>
      <c r="G6650" s="5">
        <v>102.6</v>
      </c>
      <c r="H6650" s="5">
        <v>102.4</v>
      </c>
      <c r="I6650" s="5">
        <v>0</v>
      </c>
      <c r="J6650" s="5">
        <v>0</v>
      </c>
      <c r="K6650" s="5">
        <v>0</v>
      </c>
    </row>
    <row r="6651" spans="1:11" x14ac:dyDescent="0.25">
      <c r="A6651" s="5">
        <f>6644</f>
      </c>
      <c r="B6651" s="5" t="s">
        <v>6659</v>
      </c>
      <c r="C6651" s="5">
        <v>104.8</v>
      </c>
      <c r="D6651" s="5">
        <v>0.1</v>
      </c>
      <c r="E6651" s="5">
        <v>105</v>
      </c>
      <c r="F6651" s="5">
        <v>209.9</v>
      </c>
      <c r="G6651" s="5">
        <v>104.7</v>
      </c>
      <c r="H6651" s="5">
        <v>104.6</v>
      </c>
      <c r="I6651" s="5">
        <v>0</v>
      </c>
      <c r="J6651" s="5">
        <v>0</v>
      </c>
      <c r="K6651" s="5">
        <v>0</v>
      </c>
    </row>
    <row r="6652" spans="1:11" x14ac:dyDescent="0.25">
      <c r="A6652" s="5">
        <f>6645</f>
      </c>
      <c r="B6652" s="5" t="s">
        <v>6660</v>
      </c>
      <c r="C6652" s="5">
        <v>104.8</v>
      </c>
      <c r="D6652" s="5">
        <v>0.1</v>
      </c>
      <c r="E6652" s="5">
        <v>105</v>
      </c>
      <c r="F6652" s="5">
        <v>209.9</v>
      </c>
      <c r="G6652" s="5">
        <v>104.7</v>
      </c>
      <c r="H6652" s="5">
        <v>104.6</v>
      </c>
      <c r="I6652" s="5">
        <v>0</v>
      </c>
      <c r="J6652" s="5">
        <v>0</v>
      </c>
      <c r="K6652" s="5">
        <v>0</v>
      </c>
    </row>
    <row r="6653" spans="1:11" x14ac:dyDescent="0.25">
      <c r="A6653" s="5">
        <f>6646</f>
      </c>
      <c r="B6653" s="5" t="s">
        <v>6661</v>
      </c>
      <c r="C6653" s="5">
        <v>104.6</v>
      </c>
      <c r="D6653" s="5">
        <v>0.1</v>
      </c>
      <c r="E6653" s="5">
        <v>104.8</v>
      </c>
      <c r="F6653" s="5">
        <v>210</v>
      </c>
      <c r="G6653" s="5">
        <v>104.8</v>
      </c>
      <c r="H6653" s="5">
        <v>104.6</v>
      </c>
      <c r="I6653" s="5">
        <v>0</v>
      </c>
      <c r="J6653" s="5">
        <v>0</v>
      </c>
      <c r="K6653" s="5">
        <v>0</v>
      </c>
    </row>
    <row r="6654" spans="1:11" x14ac:dyDescent="0.25">
      <c r="A6654" s="5">
        <f>6647</f>
      </c>
      <c r="B6654" s="5" t="s">
        <v>6662</v>
      </c>
      <c r="C6654" s="5">
        <v>104.6</v>
      </c>
      <c r="D6654" s="5">
        <v>0.1</v>
      </c>
      <c r="E6654" s="5">
        <v>104.8</v>
      </c>
      <c r="F6654" s="5">
        <v>210</v>
      </c>
      <c r="G6654" s="5">
        <v>104.8</v>
      </c>
      <c r="H6654" s="5">
        <v>104.6</v>
      </c>
      <c r="I6654" s="5">
        <v>0</v>
      </c>
      <c r="J6654" s="5">
        <v>0</v>
      </c>
      <c r="K6654" s="5">
        <v>0</v>
      </c>
    </row>
    <row r="6655" spans="1:11" x14ac:dyDescent="0.25">
      <c r="A6655" s="5">
        <f>6648</f>
      </c>
      <c r="B6655" s="5" t="s">
        <v>6663</v>
      </c>
      <c r="C6655" s="5">
        <v>104.6</v>
      </c>
      <c r="D6655" s="5">
        <v>0.1</v>
      </c>
      <c r="E6655" s="5">
        <v>104.8</v>
      </c>
      <c r="F6655" s="5">
        <v>210</v>
      </c>
      <c r="G6655" s="5">
        <v>104.8</v>
      </c>
      <c r="H6655" s="5">
        <v>104.6</v>
      </c>
      <c r="I6655" s="5">
        <v>0</v>
      </c>
      <c r="J6655" s="5">
        <v>0</v>
      </c>
      <c r="K6655" s="5">
        <v>0</v>
      </c>
    </row>
    <row r="6656" spans="1:11" x14ac:dyDescent="0.25">
      <c r="A6656" s="5">
        <f>6649</f>
      </c>
      <c r="B6656" s="5" t="s">
        <v>6664</v>
      </c>
      <c r="C6656" s="5">
        <v>104.6</v>
      </c>
      <c r="D6656" s="5">
        <v>0.1</v>
      </c>
      <c r="E6656" s="5">
        <v>104.8</v>
      </c>
      <c r="F6656" s="5">
        <v>210</v>
      </c>
      <c r="G6656" s="5">
        <v>104.8</v>
      </c>
      <c r="H6656" s="5">
        <v>104.6</v>
      </c>
      <c r="I6656" s="5">
        <v>0</v>
      </c>
      <c r="J6656" s="5">
        <v>0</v>
      </c>
      <c r="K6656" s="5">
        <v>0</v>
      </c>
    </row>
    <row r="6657" spans="1:11" x14ac:dyDescent="0.25">
      <c r="A6657" s="5">
        <f>6650</f>
      </c>
      <c r="B6657" s="5" t="s">
        <v>6665</v>
      </c>
      <c r="C6657" s="5">
        <v>105.4</v>
      </c>
      <c r="D6657" s="5">
        <v>0.1</v>
      </c>
      <c r="E6657" s="5">
        <v>105.6</v>
      </c>
      <c r="F6657" s="5">
        <v>210.2</v>
      </c>
      <c r="G6657" s="5">
        <v>104.9</v>
      </c>
      <c r="H6657" s="5">
        <v>104.8</v>
      </c>
      <c r="I6657" s="5">
        <v>0</v>
      </c>
      <c r="J6657" s="5">
        <v>0</v>
      </c>
      <c r="K6657" s="5">
        <v>0</v>
      </c>
    </row>
    <row r="6658" spans="1:11" x14ac:dyDescent="0.25">
      <c r="A6658" s="5">
        <f>6651</f>
      </c>
      <c r="B6658" s="5" t="s">
        <v>6666</v>
      </c>
      <c r="C6658" s="5">
        <v>105.4</v>
      </c>
      <c r="D6658" s="5">
        <v>0.1</v>
      </c>
      <c r="E6658" s="5">
        <v>105.6</v>
      </c>
      <c r="F6658" s="5">
        <v>210.2</v>
      </c>
      <c r="G6658" s="5">
        <v>104.9</v>
      </c>
      <c r="H6658" s="5">
        <v>104.8</v>
      </c>
      <c r="I6658" s="5">
        <v>0</v>
      </c>
      <c r="J6658" s="5">
        <v>0</v>
      </c>
      <c r="K6658" s="5">
        <v>0</v>
      </c>
    </row>
    <row r="6659" spans="1:11" x14ac:dyDescent="0.25">
      <c r="A6659" s="5">
        <f>6652</f>
      </c>
      <c r="B6659" s="5" t="s">
        <v>6667</v>
      </c>
      <c r="C6659" s="5">
        <v>105.2</v>
      </c>
      <c r="D6659" s="5">
        <v>0.1</v>
      </c>
      <c r="E6659" s="5">
        <v>105.3</v>
      </c>
      <c r="F6659" s="5">
        <v>209.6</v>
      </c>
      <c r="G6659" s="5">
        <v>104.6</v>
      </c>
      <c r="H6659" s="5">
        <v>104.4</v>
      </c>
      <c r="I6659" s="5">
        <v>0</v>
      </c>
      <c r="J6659" s="5">
        <v>0</v>
      </c>
      <c r="K6659" s="5">
        <v>0</v>
      </c>
    </row>
    <row r="6660" spans="1:11" x14ac:dyDescent="0.25">
      <c r="A6660" s="5">
        <f>6653</f>
      </c>
      <c r="B6660" s="5" t="s">
        <v>6668</v>
      </c>
      <c r="C6660" s="5">
        <v>105.2</v>
      </c>
      <c r="D6660" s="5">
        <v>0.1</v>
      </c>
      <c r="E6660" s="5">
        <v>105.3</v>
      </c>
      <c r="F6660" s="5">
        <v>209.6</v>
      </c>
      <c r="G6660" s="5">
        <v>104.6</v>
      </c>
      <c r="H6660" s="5">
        <v>104.4</v>
      </c>
      <c r="I6660" s="5">
        <v>0</v>
      </c>
      <c r="J6660" s="5">
        <v>0</v>
      </c>
      <c r="K6660" s="5">
        <v>0</v>
      </c>
    </row>
    <row r="6661" spans="1:11" x14ac:dyDescent="0.25">
      <c r="A6661" s="5">
        <f>6654</f>
      </c>
      <c r="B6661" s="5" t="s">
        <v>6669</v>
      </c>
      <c r="C6661" s="5">
        <v>105</v>
      </c>
      <c r="D6661" s="5">
        <v>0.1</v>
      </c>
      <c r="E6661" s="5">
        <v>105.2</v>
      </c>
      <c r="F6661" s="5">
        <v>209.9</v>
      </c>
      <c r="G6661" s="5">
        <v>104.7</v>
      </c>
      <c r="H6661" s="5">
        <v>104.5</v>
      </c>
      <c r="I6661" s="5">
        <v>0</v>
      </c>
      <c r="J6661" s="5">
        <v>0</v>
      </c>
      <c r="K6661" s="5">
        <v>0</v>
      </c>
    </row>
    <row r="6662" spans="1:11" x14ac:dyDescent="0.25">
      <c r="A6662" s="5">
        <f>6655</f>
      </c>
      <c r="B6662" s="5" t="s">
        <v>6670</v>
      </c>
      <c r="C6662" s="5">
        <v>105</v>
      </c>
      <c r="D6662" s="5">
        <v>0.1</v>
      </c>
      <c r="E6662" s="5">
        <v>105.2</v>
      </c>
      <c r="F6662" s="5">
        <v>209.9</v>
      </c>
      <c r="G6662" s="5">
        <v>104.7</v>
      </c>
      <c r="H6662" s="5">
        <v>104.5</v>
      </c>
      <c r="I6662" s="5">
        <v>0</v>
      </c>
      <c r="J6662" s="5">
        <v>0</v>
      </c>
      <c r="K6662" s="5">
        <v>0</v>
      </c>
    </row>
    <row r="6663" spans="1:11" x14ac:dyDescent="0.25">
      <c r="A6663" s="5">
        <f>6656</f>
      </c>
      <c r="B6663" s="5" t="s">
        <v>6671</v>
      </c>
      <c r="C6663" s="5">
        <v>104.7</v>
      </c>
      <c r="D6663" s="5">
        <v>0.1</v>
      </c>
      <c r="E6663" s="5">
        <v>104.8</v>
      </c>
      <c r="F6663" s="5">
        <v>209.4</v>
      </c>
      <c r="G6663" s="5">
        <v>104.5</v>
      </c>
      <c r="H6663" s="5">
        <v>104.3</v>
      </c>
      <c r="I6663" s="5">
        <v>0</v>
      </c>
      <c r="J6663" s="5">
        <v>0</v>
      </c>
      <c r="K6663" s="5">
        <v>0</v>
      </c>
    </row>
    <row r="6664" spans="1:11" x14ac:dyDescent="0.25">
      <c r="A6664" s="5">
        <f>6657</f>
      </c>
      <c r="B6664" s="5" t="s">
        <v>6672</v>
      </c>
      <c r="C6664" s="5">
        <v>104.7</v>
      </c>
      <c r="D6664" s="5">
        <v>0.1</v>
      </c>
      <c r="E6664" s="5">
        <v>104.8</v>
      </c>
      <c r="F6664" s="5">
        <v>209.4</v>
      </c>
      <c r="G6664" s="5">
        <v>104.5</v>
      </c>
      <c r="H6664" s="5">
        <v>104.3</v>
      </c>
      <c r="I6664" s="5">
        <v>0</v>
      </c>
      <c r="J6664" s="5">
        <v>0</v>
      </c>
      <c r="K6664" s="5">
        <v>0</v>
      </c>
    </row>
    <row r="6665" spans="1:11" x14ac:dyDescent="0.25">
      <c r="A6665" s="5">
        <f>6658</f>
      </c>
      <c r="B6665" s="5" t="s">
        <v>6673</v>
      </c>
      <c r="C6665" s="5">
        <v>104.3</v>
      </c>
      <c r="D6665" s="5">
        <v>0.1</v>
      </c>
      <c r="E6665" s="5">
        <v>104.4</v>
      </c>
      <c r="F6665" s="5">
        <v>208.7</v>
      </c>
      <c r="G6665" s="5">
        <v>104.1</v>
      </c>
      <c r="H6665" s="5">
        <v>104</v>
      </c>
      <c r="I6665" s="5">
        <v>0</v>
      </c>
      <c r="J6665" s="5">
        <v>0</v>
      </c>
      <c r="K6665" s="5">
        <v>0</v>
      </c>
    </row>
    <row r="6666" spans="1:11" x14ac:dyDescent="0.25">
      <c r="A6666" s="5">
        <f>6659</f>
      </c>
      <c r="B6666" s="5" t="s">
        <v>6674</v>
      </c>
      <c r="C6666" s="5">
        <v>104.3</v>
      </c>
      <c r="D6666" s="5">
        <v>0.1</v>
      </c>
      <c r="E6666" s="5">
        <v>104.4</v>
      </c>
      <c r="F6666" s="5">
        <v>208.7</v>
      </c>
      <c r="G6666" s="5">
        <v>104.1</v>
      </c>
      <c r="H6666" s="5">
        <v>104</v>
      </c>
      <c r="I6666" s="5">
        <v>0</v>
      </c>
      <c r="J6666" s="5">
        <v>0</v>
      </c>
      <c r="K6666" s="5">
        <v>0</v>
      </c>
    </row>
    <row r="6667" spans="1:11" x14ac:dyDescent="0.25">
      <c r="A6667" s="5">
        <f>6660</f>
      </c>
      <c r="B6667" s="5" t="s">
        <v>6675</v>
      </c>
      <c r="C6667" s="5">
        <v>103.8</v>
      </c>
      <c r="D6667" s="5">
        <v>0.1</v>
      </c>
      <c r="E6667" s="5">
        <v>104</v>
      </c>
      <c r="F6667" s="5">
        <v>208.7</v>
      </c>
      <c r="G6667" s="5">
        <v>104</v>
      </c>
      <c r="H6667" s="5">
        <v>103.8</v>
      </c>
      <c r="I6667" s="5">
        <v>0</v>
      </c>
      <c r="J6667" s="5">
        <v>0</v>
      </c>
      <c r="K6667" s="5">
        <v>0</v>
      </c>
    </row>
    <row r="6668" spans="1:11" x14ac:dyDescent="0.25">
      <c r="A6668" s="5">
        <f>6661</f>
      </c>
      <c r="B6668" s="5" t="s">
        <v>6676</v>
      </c>
      <c r="C6668" s="5">
        <v>103.8</v>
      </c>
      <c r="D6668" s="5">
        <v>0.1</v>
      </c>
      <c r="E6668" s="5">
        <v>104</v>
      </c>
      <c r="F6668" s="5">
        <v>208.7</v>
      </c>
      <c r="G6668" s="5">
        <v>104</v>
      </c>
      <c r="H6668" s="5">
        <v>103.8</v>
      </c>
      <c r="I6668" s="5">
        <v>0</v>
      </c>
      <c r="J6668" s="5">
        <v>0</v>
      </c>
      <c r="K6668" s="5">
        <v>0</v>
      </c>
    </row>
    <row r="6669" spans="1:11" x14ac:dyDescent="0.25">
      <c r="A6669" s="5">
        <f>6662</f>
      </c>
      <c r="B6669" s="5" t="s">
        <v>6677</v>
      </c>
      <c r="C6669" s="5">
        <v>105.1</v>
      </c>
      <c r="D6669" s="5">
        <v>0.1</v>
      </c>
      <c r="E6669" s="5">
        <v>105.3</v>
      </c>
      <c r="F6669" s="5">
        <v>209.5</v>
      </c>
      <c r="G6669" s="5">
        <v>104.5</v>
      </c>
      <c r="H6669" s="5">
        <v>104.3</v>
      </c>
      <c r="I6669" s="5">
        <v>0</v>
      </c>
      <c r="J6669" s="5">
        <v>0</v>
      </c>
      <c r="K6669" s="5">
        <v>0</v>
      </c>
    </row>
    <row r="6670" spans="1:11" x14ac:dyDescent="0.25">
      <c r="A6670" s="5">
        <f>6663</f>
      </c>
      <c r="B6670" s="5" t="s">
        <v>6678</v>
      </c>
      <c r="C6670" s="5">
        <v>105.1</v>
      </c>
      <c r="D6670" s="5">
        <v>0.1</v>
      </c>
      <c r="E6670" s="5">
        <v>105.3</v>
      </c>
      <c r="F6670" s="5">
        <v>209.5</v>
      </c>
      <c r="G6670" s="5">
        <v>104.5</v>
      </c>
      <c r="H6670" s="5">
        <v>104.3</v>
      </c>
      <c r="I6670" s="5">
        <v>0</v>
      </c>
      <c r="J6670" s="5">
        <v>0</v>
      </c>
      <c r="K6670" s="5">
        <v>0</v>
      </c>
    </row>
    <row r="6671" spans="1:11" x14ac:dyDescent="0.25">
      <c r="A6671" s="5">
        <f>6664</f>
      </c>
      <c r="B6671" s="5" t="s">
        <v>6679</v>
      </c>
      <c r="C6671" s="5">
        <v>105</v>
      </c>
      <c r="D6671" s="5">
        <v>0.1</v>
      </c>
      <c r="E6671" s="5">
        <v>105.1</v>
      </c>
      <c r="F6671" s="5">
        <v>209.2</v>
      </c>
      <c r="G6671" s="5">
        <v>104.4</v>
      </c>
      <c r="H6671" s="5">
        <v>104.2</v>
      </c>
      <c r="I6671" s="5">
        <v>0</v>
      </c>
      <c r="J6671" s="5">
        <v>0</v>
      </c>
      <c r="K6671" s="5">
        <v>0</v>
      </c>
    </row>
    <row r="6672" spans="1:11" x14ac:dyDescent="0.25">
      <c r="A6672" s="5">
        <f>6665</f>
      </c>
      <c r="B6672" s="5" t="s">
        <v>6680</v>
      </c>
      <c r="C6672" s="5">
        <v>105</v>
      </c>
      <c r="D6672" s="5">
        <v>0.1</v>
      </c>
      <c r="E6672" s="5">
        <v>105.1</v>
      </c>
      <c r="F6672" s="5">
        <v>209.2</v>
      </c>
      <c r="G6672" s="5">
        <v>104.4</v>
      </c>
      <c r="H6672" s="5">
        <v>104.2</v>
      </c>
      <c r="I6672" s="5">
        <v>0</v>
      </c>
      <c r="J6672" s="5">
        <v>0</v>
      </c>
      <c r="K6672" s="5">
        <v>0</v>
      </c>
    </row>
    <row r="6673" spans="1:11" x14ac:dyDescent="0.25">
      <c r="A6673" s="5">
        <f>6666</f>
      </c>
      <c r="B6673" s="5" t="s">
        <v>6681</v>
      </c>
      <c r="C6673" s="5">
        <v>105</v>
      </c>
      <c r="D6673" s="5">
        <v>0.1</v>
      </c>
      <c r="E6673" s="5">
        <v>105.1</v>
      </c>
      <c r="F6673" s="5">
        <v>209.2</v>
      </c>
      <c r="G6673" s="5">
        <v>104.4</v>
      </c>
      <c r="H6673" s="5">
        <v>104.2</v>
      </c>
      <c r="I6673" s="5">
        <v>0</v>
      </c>
      <c r="J6673" s="5">
        <v>0</v>
      </c>
      <c r="K6673" s="5">
        <v>0</v>
      </c>
    </row>
    <row r="6674" spans="1:11" x14ac:dyDescent="0.25">
      <c r="A6674" s="5">
        <f>6667</f>
      </c>
      <c r="B6674" s="5" t="s">
        <v>6682</v>
      </c>
      <c r="C6674" s="5">
        <v>105</v>
      </c>
      <c r="D6674" s="5">
        <v>0.1</v>
      </c>
      <c r="E6674" s="5">
        <v>105.1</v>
      </c>
      <c r="F6674" s="5">
        <v>209.2</v>
      </c>
      <c r="G6674" s="5">
        <v>104.4</v>
      </c>
      <c r="H6674" s="5">
        <v>104.2</v>
      </c>
      <c r="I6674" s="5">
        <v>0</v>
      </c>
      <c r="J6674" s="5">
        <v>0</v>
      </c>
      <c r="K6674" s="5">
        <v>0</v>
      </c>
    </row>
    <row r="6675" spans="1:11" x14ac:dyDescent="0.25">
      <c r="A6675" s="5">
        <f>6668</f>
      </c>
      <c r="B6675" s="5" t="s">
        <v>6683</v>
      </c>
      <c r="C6675" s="5">
        <v>104.1</v>
      </c>
      <c r="D6675" s="5">
        <v>0.1</v>
      </c>
      <c r="E6675" s="5">
        <v>104.3</v>
      </c>
      <c r="F6675" s="5">
        <v>208.1</v>
      </c>
      <c r="G6675" s="5">
        <v>103.8</v>
      </c>
      <c r="H6675" s="5">
        <v>103.6</v>
      </c>
      <c r="I6675" s="5">
        <v>0</v>
      </c>
      <c r="J6675" s="5">
        <v>0</v>
      </c>
      <c r="K6675" s="5">
        <v>0</v>
      </c>
    </row>
    <row r="6676" spans="1:11" x14ac:dyDescent="0.25">
      <c r="A6676" s="5">
        <f>6669</f>
      </c>
      <c r="B6676" s="5" t="s">
        <v>6684</v>
      </c>
      <c r="C6676" s="5">
        <v>104.1</v>
      </c>
      <c r="D6676" s="5">
        <v>0.1</v>
      </c>
      <c r="E6676" s="5">
        <v>104.3</v>
      </c>
      <c r="F6676" s="5">
        <v>208.1</v>
      </c>
      <c r="G6676" s="5">
        <v>103.8</v>
      </c>
      <c r="H6676" s="5">
        <v>103.6</v>
      </c>
      <c r="I6676" s="5">
        <v>0</v>
      </c>
      <c r="J6676" s="5">
        <v>0</v>
      </c>
      <c r="K6676" s="5">
        <v>0</v>
      </c>
    </row>
    <row r="6677" spans="1:11" x14ac:dyDescent="0.25">
      <c r="A6677" s="5">
        <f>6670</f>
      </c>
      <c r="B6677" s="5" t="s">
        <v>6685</v>
      </c>
      <c r="C6677" s="5">
        <v>104.6</v>
      </c>
      <c r="D6677" s="5">
        <v>0.1</v>
      </c>
      <c r="E6677" s="5">
        <v>104.8</v>
      </c>
      <c r="F6677" s="5">
        <v>208.8</v>
      </c>
      <c r="G6677" s="5">
        <v>104.2</v>
      </c>
      <c r="H6677" s="5">
        <v>104</v>
      </c>
      <c r="I6677" s="5">
        <v>0</v>
      </c>
      <c r="J6677" s="5">
        <v>0</v>
      </c>
      <c r="K6677" s="5">
        <v>0</v>
      </c>
    </row>
    <row r="6678" spans="1:11" x14ac:dyDescent="0.25">
      <c r="A6678" s="5">
        <f>6671</f>
      </c>
      <c r="B6678" s="5" t="s">
        <v>6686</v>
      </c>
      <c r="C6678" s="5">
        <v>104.6</v>
      </c>
      <c r="D6678" s="5">
        <v>0.1</v>
      </c>
      <c r="E6678" s="5">
        <v>104.8</v>
      </c>
      <c r="F6678" s="5">
        <v>208.8</v>
      </c>
      <c r="G6678" s="5">
        <v>104.2</v>
      </c>
      <c r="H6678" s="5">
        <v>104</v>
      </c>
      <c r="I6678" s="5">
        <v>0</v>
      </c>
      <c r="J6678" s="5">
        <v>0</v>
      </c>
      <c r="K6678" s="5">
        <v>0</v>
      </c>
    </row>
    <row r="6679" spans="1:11" x14ac:dyDescent="0.25">
      <c r="A6679" s="5">
        <f>6672</f>
      </c>
      <c r="B6679" s="5" t="s">
        <v>6687</v>
      </c>
      <c r="C6679" s="5">
        <v>104.7</v>
      </c>
      <c r="D6679" s="5">
        <v>0.1</v>
      </c>
      <c r="E6679" s="5">
        <v>104.9</v>
      </c>
      <c r="F6679" s="5">
        <v>209.2</v>
      </c>
      <c r="G6679" s="5">
        <v>104.4</v>
      </c>
      <c r="H6679" s="5">
        <v>104.3</v>
      </c>
      <c r="I6679" s="5">
        <v>0</v>
      </c>
      <c r="J6679" s="5">
        <v>0</v>
      </c>
      <c r="K6679" s="5">
        <v>0</v>
      </c>
    </row>
    <row r="6680" spans="1:11" x14ac:dyDescent="0.25">
      <c r="A6680" s="5">
        <f>6673</f>
      </c>
      <c r="B6680" s="5" t="s">
        <v>6688</v>
      </c>
      <c r="C6680" s="5">
        <v>104.7</v>
      </c>
      <c r="D6680" s="5">
        <v>0.1</v>
      </c>
      <c r="E6680" s="5">
        <v>104.9</v>
      </c>
      <c r="F6680" s="5">
        <v>209.2</v>
      </c>
      <c r="G6680" s="5">
        <v>104.4</v>
      </c>
      <c r="H6680" s="5">
        <v>104.3</v>
      </c>
      <c r="I6680" s="5">
        <v>0</v>
      </c>
      <c r="J6680" s="5">
        <v>0</v>
      </c>
      <c r="K6680" s="5">
        <v>0</v>
      </c>
    </row>
    <row r="6681" spans="1:11" x14ac:dyDescent="0.25">
      <c r="A6681" s="5">
        <f>6674</f>
      </c>
      <c r="B6681" s="5" t="s">
        <v>6689</v>
      </c>
      <c r="C6681" s="5">
        <v>104.6</v>
      </c>
      <c r="D6681" s="5">
        <v>0.1</v>
      </c>
      <c r="E6681" s="5">
        <v>104.8</v>
      </c>
      <c r="F6681" s="5">
        <v>209.3</v>
      </c>
      <c r="G6681" s="5">
        <v>104.4</v>
      </c>
      <c r="H6681" s="5">
        <v>104.3</v>
      </c>
      <c r="I6681" s="5">
        <v>0</v>
      </c>
      <c r="J6681" s="5">
        <v>0</v>
      </c>
      <c r="K6681" s="5">
        <v>0</v>
      </c>
    </row>
    <row r="6682" spans="1:11" x14ac:dyDescent="0.25">
      <c r="A6682" s="5">
        <f>6675</f>
      </c>
      <c r="B6682" s="5" t="s">
        <v>6690</v>
      </c>
      <c r="C6682" s="5">
        <v>104.6</v>
      </c>
      <c r="D6682" s="5">
        <v>0.1</v>
      </c>
      <c r="E6682" s="5">
        <v>104.8</v>
      </c>
      <c r="F6682" s="5">
        <v>209.3</v>
      </c>
      <c r="G6682" s="5">
        <v>104.4</v>
      </c>
      <c r="H6682" s="5">
        <v>104.3</v>
      </c>
      <c r="I6682" s="5">
        <v>0</v>
      </c>
      <c r="J6682" s="5">
        <v>0</v>
      </c>
      <c r="K6682" s="5">
        <v>0</v>
      </c>
    </row>
    <row r="6683" spans="1:11" x14ac:dyDescent="0.25">
      <c r="A6683" s="5">
        <f>6676</f>
      </c>
      <c r="B6683" s="5" t="s">
        <v>6691</v>
      </c>
      <c r="C6683" s="5">
        <v>104.6</v>
      </c>
      <c r="D6683" s="5">
        <v>0.1</v>
      </c>
      <c r="E6683" s="5">
        <v>104.8</v>
      </c>
      <c r="F6683" s="5">
        <v>209.3</v>
      </c>
      <c r="G6683" s="5">
        <v>104.4</v>
      </c>
      <c r="H6683" s="5">
        <v>104.3</v>
      </c>
      <c r="I6683" s="5">
        <v>0</v>
      </c>
      <c r="J6683" s="5">
        <v>0</v>
      </c>
      <c r="K6683" s="5">
        <v>0</v>
      </c>
    </row>
    <row r="6684" spans="1:11" x14ac:dyDescent="0.25">
      <c r="A6684" s="5">
        <f>6677</f>
      </c>
      <c r="B6684" s="5" t="s">
        <v>6692</v>
      </c>
      <c r="C6684" s="5">
        <v>104.6</v>
      </c>
      <c r="D6684" s="5">
        <v>0.1</v>
      </c>
      <c r="E6684" s="5">
        <v>104.8</v>
      </c>
      <c r="F6684" s="5">
        <v>208.6</v>
      </c>
      <c r="G6684" s="5">
        <v>104</v>
      </c>
      <c r="H6684" s="5">
        <v>103.8</v>
      </c>
      <c r="I6684" s="5">
        <v>0</v>
      </c>
      <c r="J6684" s="5">
        <v>0</v>
      </c>
      <c r="K6684" s="5">
        <v>0</v>
      </c>
    </row>
    <row r="6685" spans="1:11" x14ac:dyDescent="0.25">
      <c r="A6685" s="5">
        <f>6678</f>
      </c>
      <c r="B6685" s="5" t="s">
        <v>6693</v>
      </c>
      <c r="C6685" s="5">
        <v>103.8</v>
      </c>
      <c r="D6685" s="5">
        <v>0.1</v>
      </c>
      <c r="E6685" s="5">
        <v>104</v>
      </c>
      <c r="F6685" s="5">
        <v>208.6</v>
      </c>
      <c r="G6685" s="5">
        <v>104</v>
      </c>
      <c r="H6685" s="5">
        <v>103.8</v>
      </c>
      <c r="I6685" s="5">
        <v>0</v>
      </c>
      <c r="J6685" s="5">
        <v>0</v>
      </c>
      <c r="K6685" s="5">
        <v>0</v>
      </c>
    </row>
    <row r="6686" spans="1:11" x14ac:dyDescent="0.25">
      <c r="A6686" s="5">
        <f>6679</f>
      </c>
      <c r="B6686" s="5" t="s">
        <v>6694</v>
      </c>
      <c r="C6686" s="5">
        <v>103.8</v>
      </c>
      <c r="D6686" s="5">
        <v>0.1</v>
      </c>
      <c r="E6686" s="5">
        <v>104</v>
      </c>
      <c r="F6686" s="5">
        <v>208.6</v>
      </c>
      <c r="G6686" s="5">
        <v>104</v>
      </c>
      <c r="H6686" s="5">
        <v>103.9</v>
      </c>
      <c r="I6686" s="5">
        <v>0</v>
      </c>
      <c r="J6686" s="5">
        <v>0</v>
      </c>
      <c r="K6686" s="5">
        <v>0</v>
      </c>
    </row>
    <row r="6687" spans="1:11" x14ac:dyDescent="0.25">
      <c r="A6687" s="5">
        <f>6680</f>
      </c>
      <c r="B6687" s="5" t="s">
        <v>6695</v>
      </c>
      <c r="C6687" s="5">
        <v>103.7</v>
      </c>
      <c r="D6687" s="5">
        <v>0.1</v>
      </c>
      <c r="E6687" s="5">
        <v>103.9</v>
      </c>
      <c r="F6687" s="5">
        <v>208.6</v>
      </c>
      <c r="G6687" s="5">
        <v>104</v>
      </c>
      <c r="H6687" s="5">
        <v>103.9</v>
      </c>
      <c r="I6687" s="5">
        <v>0</v>
      </c>
      <c r="J6687" s="5">
        <v>0</v>
      </c>
      <c r="K6687" s="5">
        <v>0</v>
      </c>
    </row>
    <row r="6688" spans="1:11" x14ac:dyDescent="0.25">
      <c r="A6688" s="5">
        <f>6681</f>
      </c>
      <c r="B6688" s="5" t="s">
        <v>6696</v>
      </c>
      <c r="C6688" s="5">
        <v>103.7</v>
      </c>
      <c r="D6688" s="5">
        <v>0.1</v>
      </c>
      <c r="E6688" s="5">
        <v>103.9</v>
      </c>
      <c r="F6688" s="5">
        <v>208.6</v>
      </c>
      <c r="G6688" s="5">
        <v>104</v>
      </c>
      <c r="H6688" s="5">
        <v>104.2</v>
      </c>
      <c r="I6688" s="5">
        <v>0</v>
      </c>
      <c r="J6688" s="5">
        <v>0</v>
      </c>
      <c r="K6688" s="5">
        <v>0</v>
      </c>
    </row>
    <row r="6689" spans="1:11" x14ac:dyDescent="0.25">
      <c r="A6689" s="5">
        <f>6682</f>
      </c>
      <c r="B6689" s="5" t="s">
        <v>6697</v>
      </c>
      <c r="C6689" s="5">
        <v>104.6</v>
      </c>
      <c r="D6689" s="5">
        <v>0.1</v>
      </c>
      <c r="E6689" s="5">
        <v>104.7</v>
      </c>
      <c r="F6689" s="5">
        <v>209.2</v>
      </c>
      <c r="G6689" s="5">
        <v>104.4</v>
      </c>
      <c r="H6689" s="5">
        <v>104.2</v>
      </c>
      <c r="I6689" s="5">
        <v>0</v>
      </c>
      <c r="J6689" s="5">
        <v>0</v>
      </c>
      <c r="K6689" s="5">
        <v>0</v>
      </c>
    </row>
    <row r="6690" spans="1:11" x14ac:dyDescent="0.25">
      <c r="A6690" s="5">
        <f>6683</f>
      </c>
      <c r="B6690" s="5" t="s">
        <v>6698</v>
      </c>
      <c r="C6690" s="5">
        <v>104.6</v>
      </c>
      <c r="D6690" s="5">
        <v>0.1</v>
      </c>
      <c r="E6690" s="5">
        <v>104.7</v>
      </c>
      <c r="F6690" s="5">
        <v>209.2</v>
      </c>
      <c r="G6690" s="5">
        <v>104.4</v>
      </c>
      <c r="H6690" s="5">
        <v>104.2</v>
      </c>
      <c r="I6690" s="5">
        <v>0</v>
      </c>
      <c r="J6690" s="5">
        <v>0</v>
      </c>
      <c r="K6690" s="5">
        <v>0</v>
      </c>
    </row>
    <row r="6691" spans="1:11" x14ac:dyDescent="0.25">
      <c r="A6691" s="5">
        <f>6684</f>
      </c>
      <c r="B6691" s="5" t="s">
        <v>6699</v>
      </c>
      <c r="C6691" s="5">
        <v>104.9</v>
      </c>
      <c r="D6691" s="5">
        <v>0.1</v>
      </c>
      <c r="E6691" s="5">
        <v>105</v>
      </c>
      <c r="F6691" s="5">
        <v>209.1</v>
      </c>
      <c r="G6691" s="5">
        <v>104.4</v>
      </c>
      <c r="H6691" s="5">
        <v>104.2</v>
      </c>
      <c r="I6691" s="5">
        <v>0</v>
      </c>
      <c r="J6691" s="5">
        <v>0</v>
      </c>
      <c r="K6691" s="5">
        <v>0</v>
      </c>
    </row>
    <row r="6692" spans="1:11" x14ac:dyDescent="0.25">
      <c r="A6692" s="5">
        <f>6685</f>
      </c>
      <c r="B6692" s="5" t="s">
        <v>6700</v>
      </c>
      <c r="C6692" s="5">
        <v>104.9</v>
      </c>
      <c r="D6692" s="5">
        <v>0.1</v>
      </c>
      <c r="E6692" s="5">
        <v>105</v>
      </c>
      <c r="F6692" s="5">
        <v>209.1</v>
      </c>
      <c r="G6692" s="5">
        <v>104.4</v>
      </c>
      <c r="H6692" s="5">
        <v>104.2</v>
      </c>
      <c r="I6692" s="5">
        <v>0</v>
      </c>
      <c r="J6692" s="5">
        <v>0</v>
      </c>
      <c r="K6692" s="5">
        <v>0</v>
      </c>
    </row>
    <row r="6693" spans="1:11" x14ac:dyDescent="0.25">
      <c r="A6693" s="5">
        <f>6686</f>
      </c>
      <c r="B6693" s="5" t="s">
        <v>6701</v>
      </c>
      <c r="C6693" s="5">
        <v>104.9</v>
      </c>
      <c r="D6693" s="5">
        <v>0.1</v>
      </c>
      <c r="E6693" s="5">
        <v>105</v>
      </c>
      <c r="F6693" s="5">
        <v>209.1</v>
      </c>
      <c r="G6693" s="5">
        <v>104.4</v>
      </c>
      <c r="H6693" s="5">
        <v>104.2</v>
      </c>
      <c r="I6693" s="5">
        <v>0</v>
      </c>
      <c r="J6693" s="5">
        <v>0</v>
      </c>
      <c r="K6693" s="5">
        <v>0</v>
      </c>
    </row>
    <row r="6694" spans="1:11" x14ac:dyDescent="0.25">
      <c r="A6694" s="5">
        <f>6687</f>
      </c>
      <c r="B6694" s="5" t="s">
        <v>6702</v>
      </c>
      <c r="C6694" s="5">
        <v>105</v>
      </c>
      <c r="D6694" s="5">
        <v>0.1</v>
      </c>
      <c r="E6694" s="5">
        <v>105.1</v>
      </c>
      <c r="F6694" s="5">
        <v>209.3</v>
      </c>
      <c r="G6694" s="5">
        <v>104.5</v>
      </c>
      <c r="H6694" s="5">
        <v>104.3</v>
      </c>
      <c r="I6694" s="5">
        <v>0</v>
      </c>
      <c r="J6694" s="5">
        <v>0</v>
      </c>
      <c r="K6694" s="5">
        <v>0</v>
      </c>
    </row>
    <row r="6695" spans="1:11" x14ac:dyDescent="0.25">
      <c r="A6695" s="5">
        <f>6688</f>
      </c>
      <c r="B6695" s="5" t="s">
        <v>6703</v>
      </c>
      <c r="C6695" s="5">
        <v>105</v>
      </c>
      <c r="D6695" s="5">
        <v>0.1</v>
      </c>
      <c r="E6695" s="5">
        <v>105.1</v>
      </c>
      <c r="F6695" s="5">
        <v>209.3</v>
      </c>
      <c r="G6695" s="5">
        <v>104.5</v>
      </c>
      <c r="H6695" s="5">
        <v>104.3</v>
      </c>
      <c r="I6695" s="5">
        <v>0</v>
      </c>
      <c r="J6695" s="5">
        <v>0</v>
      </c>
      <c r="K6695" s="5">
        <v>0</v>
      </c>
    </row>
    <row r="6696" spans="1:11" x14ac:dyDescent="0.25">
      <c r="A6696" s="5">
        <f>6689</f>
      </c>
      <c r="B6696" s="5" t="s">
        <v>6704</v>
      </c>
      <c r="C6696" s="5">
        <v>104.3</v>
      </c>
      <c r="D6696" s="5">
        <v>0.1</v>
      </c>
      <c r="E6696" s="5">
        <v>104.4</v>
      </c>
      <c r="F6696" s="5">
        <v>208.4</v>
      </c>
      <c r="G6696" s="5">
        <v>104</v>
      </c>
      <c r="H6696" s="5">
        <v>103.8</v>
      </c>
      <c r="I6696" s="5">
        <v>0</v>
      </c>
      <c r="J6696" s="5">
        <v>0</v>
      </c>
      <c r="K6696" s="5">
        <v>0</v>
      </c>
    </row>
    <row r="6697" spans="1:11" x14ac:dyDescent="0.25">
      <c r="A6697" s="5">
        <f>6690</f>
      </c>
      <c r="B6697" s="5" t="s">
        <v>6705</v>
      </c>
      <c r="C6697" s="5">
        <v>104.3</v>
      </c>
      <c r="D6697" s="5">
        <v>0.1</v>
      </c>
      <c r="E6697" s="5">
        <v>104.4</v>
      </c>
      <c r="F6697" s="5">
        <v>208.4</v>
      </c>
      <c r="G6697" s="5">
        <v>104</v>
      </c>
      <c r="H6697" s="5">
        <v>103.8</v>
      </c>
      <c r="I6697" s="5">
        <v>0</v>
      </c>
      <c r="J6697" s="5">
        <v>0</v>
      </c>
      <c r="K6697" s="5">
        <v>0</v>
      </c>
    </row>
    <row r="6698" spans="1:11" x14ac:dyDescent="0.25">
      <c r="A6698" s="5">
        <f>6691</f>
      </c>
      <c r="B6698" s="5" t="s">
        <v>6706</v>
      </c>
      <c r="C6698" s="5">
        <v>104.6</v>
      </c>
      <c r="D6698" s="5">
        <v>0.1</v>
      </c>
      <c r="E6698" s="5">
        <v>104.7</v>
      </c>
      <c r="F6698" s="5">
        <v>208.9</v>
      </c>
      <c r="G6698" s="5">
        <v>104.2</v>
      </c>
      <c r="H6698" s="5">
        <v>104.1</v>
      </c>
      <c r="I6698" s="5">
        <v>0</v>
      </c>
      <c r="J6698" s="5">
        <v>0</v>
      </c>
      <c r="K6698" s="5">
        <v>0</v>
      </c>
    </row>
    <row r="6699" spans="1:11" x14ac:dyDescent="0.25">
      <c r="A6699" s="5">
        <f>6692</f>
      </c>
      <c r="B6699" s="5" t="s">
        <v>6707</v>
      </c>
      <c r="C6699" s="5">
        <v>104.6</v>
      </c>
      <c r="D6699" s="5">
        <v>0.1</v>
      </c>
      <c r="E6699" s="5">
        <v>104.7</v>
      </c>
      <c r="F6699" s="5">
        <v>208.9</v>
      </c>
      <c r="G6699" s="5">
        <v>104.2</v>
      </c>
      <c r="H6699" s="5">
        <v>104.1</v>
      </c>
      <c r="I6699" s="5">
        <v>0</v>
      </c>
      <c r="J6699" s="5">
        <v>0</v>
      </c>
      <c r="K6699" s="5">
        <v>0</v>
      </c>
    </row>
    <row r="6700" spans="1:11" x14ac:dyDescent="0.25">
      <c r="A6700" s="5">
        <f>6693</f>
      </c>
      <c r="B6700" s="5" t="s">
        <v>6708</v>
      </c>
      <c r="C6700" s="5">
        <v>103.5</v>
      </c>
      <c r="D6700" s="5">
        <v>0.1</v>
      </c>
      <c r="E6700" s="5">
        <v>103.6</v>
      </c>
      <c r="F6700" s="5">
        <v>206.6</v>
      </c>
      <c r="G6700" s="5">
        <v>103.1</v>
      </c>
      <c r="H6700" s="5">
        <v>102.9</v>
      </c>
      <c r="I6700" s="5">
        <v>0</v>
      </c>
      <c r="J6700" s="5">
        <v>0</v>
      </c>
      <c r="K6700" s="5">
        <v>0</v>
      </c>
    </row>
    <row r="6701" spans="1:11" x14ac:dyDescent="0.25">
      <c r="A6701" s="5">
        <f>6694</f>
      </c>
      <c r="B6701" s="5" t="s">
        <v>6709</v>
      </c>
      <c r="C6701" s="5">
        <v>103.5</v>
      </c>
      <c r="D6701" s="5">
        <v>0.1</v>
      </c>
      <c r="E6701" s="5">
        <v>103.6</v>
      </c>
      <c r="F6701" s="5">
        <v>206.6</v>
      </c>
      <c r="G6701" s="5">
        <v>103.1</v>
      </c>
      <c r="H6701" s="5">
        <v>102.9</v>
      </c>
      <c r="I6701" s="5">
        <v>0</v>
      </c>
      <c r="J6701" s="5">
        <v>0</v>
      </c>
      <c r="K6701" s="5">
        <v>0</v>
      </c>
    </row>
    <row r="6702" spans="1:11" x14ac:dyDescent="0.25">
      <c r="A6702" s="5">
        <f>6695</f>
      </c>
      <c r="B6702" s="5" t="s">
        <v>6710</v>
      </c>
      <c r="C6702" s="5">
        <v>103.5</v>
      </c>
      <c r="D6702" s="5">
        <v>0.1</v>
      </c>
      <c r="E6702" s="5">
        <v>103.6</v>
      </c>
      <c r="F6702" s="5">
        <v>206.6</v>
      </c>
      <c r="G6702" s="5">
        <v>103.1</v>
      </c>
      <c r="H6702" s="5">
        <v>102.9</v>
      </c>
      <c r="I6702" s="5">
        <v>0</v>
      </c>
      <c r="J6702" s="5">
        <v>0</v>
      </c>
      <c r="K6702" s="5">
        <v>0</v>
      </c>
    </row>
    <row r="6703" spans="1:11" x14ac:dyDescent="0.25">
      <c r="A6703" s="5">
        <f>6696</f>
      </c>
      <c r="B6703" s="5" t="s">
        <v>6711</v>
      </c>
      <c r="C6703" s="5">
        <v>103.5</v>
      </c>
      <c r="D6703" s="5">
        <v>0.1</v>
      </c>
      <c r="E6703" s="5">
        <v>103.6</v>
      </c>
      <c r="F6703" s="5">
        <v>206.6</v>
      </c>
      <c r="G6703" s="5">
        <v>103.1</v>
      </c>
      <c r="H6703" s="5">
        <v>102.9</v>
      </c>
      <c r="I6703" s="5">
        <v>0</v>
      </c>
      <c r="J6703" s="5">
        <v>0</v>
      </c>
      <c r="K6703" s="5">
        <v>0</v>
      </c>
    </row>
    <row r="6704" spans="1:11" x14ac:dyDescent="0.25">
      <c r="A6704" s="5">
        <f>6697</f>
      </c>
      <c r="B6704" s="5" t="s">
        <v>6712</v>
      </c>
      <c r="C6704" s="5">
        <v>104.5</v>
      </c>
      <c r="D6704" s="5">
        <v>0.1</v>
      </c>
      <c r="E6704" s="5">
        <v>103.6</v>
      </c>
      <c r="F6704" s="5">
        <v>206.6</v>
      </c>
      <c r="G6704" s="5">
        <v>103.1</v>
      </c>
      <c r="H6704" s="5">
        <v>102.9</v>
      </c>
      <c r="I6704" s="5">
        <v>0</v>
      </c>
      <c r="J6704" s="5">
        <v>0</v>
      </c>
      <c r="K6704" s="5">
        <v>0</v>
      </c>
    </row>
    <row r="6705" spans="1:11" x14ac:dyDescent="0.25">
      <c r="A6705" s="5">
        <f>6698</f>
      </c>
      <c r="B6705" s="5" t="s">
        <v>6713</v>
      </c>
      <c r="C6705" s="5">
        <v>104.5</v>
      </c>
      <c r="D6705" s="5">
        <v>0.1</v>
      </c>
      <c r="E6705" s="5">
        <v>104.6</v>
      </c>
      <c r="F6705" s="5">
        <v>208.3</v>
      </c>
      <c r="G6705" s="5">
        <v>103.9</v>
      </c>
      <c r="H6705" s="5">
        <v>103.8</v>
      </c>
      <c r="I6705" s="5">
        <v>0</v>
      </c>
      <c r="J6705" s="5">
        <v>0</v>
      </c>
      <c r="K6705" s="5">
        <v>0</v>
      </c>
    </row>
    <row r="6706" spans="1:11" x14ac:dyDescent="0.25">
      <c r="A6706" s="5">
        <f>6699</f>
      </c>
      <c r="B6706" s="5" t="s">
        <v>6714</v>
      </c>
      <c r="C6706" s="5">
        <v>104.5</v>
      </c>
      <c r="D6706" s="5">
        <v>0.1</v>
      </c>
      <c r="E6706" s="5">
        <v>104.6</v>
      </c>
      <c r="F6706" s="5">
        <v>208.3</v>
      </c>
      <c r="G6706" s="5">
        <v>103.9</v>
      </c>
      <c r="H6706" s="5">
        <v>103.8</v>
      </c>
      <c r="I6706" s="5">
        <v>0</v>
      </c>
      <c r="J6706" s="5">
        <v>0</v>
      </c>
      <c r="K6706" s="5">
        <v>0</v>
      </c>
    </row>
    <row r="6707" spans="1:11" x14ac:dyDescent="0.25">
      <c r="A6707" s="5">
        <f>6700</f>
      </c>
      <c r="B6707" s="5" t="s">
        <v>6715</v>
      </c>
      <c r="C6707" s="5">
        <v>104.2</v>
      </c>
      <c r="D6707" s="5">
        <v>0.1</v>
      </c>
      <c r="E6707" s="5">
        <v>104.3</v>
      </c>
      <c r="F6707" s="5">
        <v>207.3</v>
      </c>
      <c r="G6707" s="5">
        <v>103.4</v>
      </c>
      <c r="H6707" s="5">
        <v>103.3</v>
      </c>
      <c r="I6707" s="5">
        <v>0</v>
      </c>
      <c r="J6707" s="5">
        <v>0</v>
      </c>
      <c r="K6707" s="5">
        <v>0</v>
      </c>
    </row>
    <row r="6708" spans="1:11" x14ac:dyDescent="0.25">
      <c r="A6708" s="5">
        <f>6701</f>
      </c>
      <c r="B6708" s="5" t="s">
        <v>6716</v>
      </c>
      <c r="C6708" s="5">
        <v>104.2</v>
      </c>
      <c r="D6708" s="5">
        <v>0.1</v>
      </c>
      <c r="E6708" s="5">
        <v>104.3</v>
      </c>
      <c r="F6708" s="5">
        <v>207.3</v>
      </c>
      <c r="G6708" s="5">
        <v>103.4</v>
      </c>
      <c r="H6708" s="5">
        <v>103.3</v>
      </c>
      <c r="I6708" s="5">
        <v>0</v>
      </c>
      <c r="J6708" s="5">
        <v>0</v>
      </c>
      <c r="K6708" s="5">
        <v>0</v>
      </c>
    </row>
    <row r="6709" spans="1:11" x14ac:dyDescent="0.25">
      <c r="A6709" s="5">
        <f>6702</f>
      </c>
      <c r="B6709" s="5" t="s">
        <v>6717</v>
      </c>
      <c r="C6709" s="5">
        <v>104.4</v>
      </c>
      <c r="D6709" s="5">
        <v>0.1</v>
      </c>
      <c r="E6709" s="5">
        <v>104.6</v>
      </c>
      <c r="F6709" s="5">
        <v>209.4</v>
      </c>
      <c r="G6709" s="5">
        <v>104.4</v>
      </c>
      <c r="H6709" s="5">
        <v>104.2</v>
      </c>
      <c r="I6709" s="5">
        <v>0</v>
      </c>
      <c r="J6709" s="5">
        <v>0</v>
      </c>
      <c r="K6709" s="5">
        <v>0</v>
      </c>
    </row>
    <row r="6710" spans="1:11" x14ac:dyDescent="0.25">
      <c r="A6710" s="5">
        <f>6703</f>
      </c>
      <c r="B6710" s="5" t="s">
        <v>6718</v>
      </c>
      <c r="C6710" s="5">
        <v>104.4</v>
      </c>
      <c r="D6710" s="5">
        <v>0.1</v>
      </c>
      <c r="E6710" s="5">
        <v>104.6</v>
      </c>
      <c r="F6710" s="5">
        <v>209.4</v>
      </c>
      <c r="G6710" s="5">
        <v>104.4</v>
      </c>
      <c r="H6710" s="5">
        <v>104.2</v>
      </c>
      <c r="I6710" s="5">
        <v>0</v>
      </c>
      <c r="J6710" s="5">
        <v>0</v>
      </c>
      <c r="K6710" s="5">
        <v>0</v>
      </c>
    </row>
    <row r="6711" spans="1:11" x14ac:dyDescent="0.25">
      <c r="A6711" s="5">
        <f>6704</f>
      </c>
      <c r="B6711" s="5" t="s">
        <v>6719</v>
      </c>
      <c r="C6711" s="5">
        <v>103.9</v>
      </c>
      <c r="D6711" s="5">
        <v>0.1</v>
      </c>
      <c r="E6711" s="5">
        <v>104</v>
      </c>
      <c r="F6711" s="5">
        <v>208.3</v>
      </c>
      <c r="G6711" s="5">
        <v>103.9</v>
      </c>
      <c r="H6711" s="5">
        <v>103.8</v>
      </c>
      <c r="I6711" s="5">
        <v>0</v>
      </c>
      <c r="J6711" s="5">
        <v>0</v>
      </c>
      <c r="K6711" s="5">
        <v>0</v>
      </c>
    </row>
    <row r="6712" spans="1:11" x14ac:dyDescent="0.25">
      <c r="A6712" s="5">
        <f>6705</f>
      </c>
      <c r="B6712" s="5" t="s">
        <v>6720</v>
      </c>
      <c r="C6712" s="5">
        <v>103.9</v>
      </c>
      <c r="D6712" s="5">
        <v>0.1</v>
      </c>
      <c r="E6712" s="5">
        <v>104</v>
      </c>
      <c r="F6712" s="5">
        <v>208.3</v>
      </c>
      <c r="G6712" s="5">
        <v>103.9</v>
      </c>
      <c r="H6712" s="5">
        <v>103.8</v>
      </c>
      <c r="I6712" s="5">
        <v>0</v>
      </c>
      <c r="J6712" s="5">
        <v>0</v>
      </c>
      <c r="K6712" s="5">
        <v>0</v>
      </c>
    </row>
    <row r="6713" spans="1:11" x14ac:dyDescent="0.25">
      <c r="A6713" s="5">
        <f>6706</f>
      </c>
      <c r="B6713" s="5" t="s">
        <v>6721</v>
      </c>
      <c r="C6713" s="5">
        <v>103.9</v>
      </c>
      <c r="D6713" s="5">
        <v>0.1</v>
      </c>
      <c r="E6713" s="5">
        <v>104</v>
      </c>
      <c r="F6713" s="5">
        <v>208.3</v>
      </c>
      <c r="G6713" s="5">
        <v>103.9</v>
      </c>
      <c r="H6713" s="5">
        <v>103.8</v>
      </c>
      <c r="I6713" s="5">
        <v>0</v>
      </c>
      <c r="J6713" s="5">
        <v>0</v>
      </c>
      <c r="K6713" s="5">
        <v>0</v>
      </c>
    </row>
    <row r="6714" spans="1:11" x14ac:dyDescent="0.25">
      <c r="A6714" s="5">
        <f>6707</f>
      </c>
      <c r="B6714" s="5" t="s">
        <v>6722</v>
      </c>
      <c r="C6714" s="5">
        <v>103.9</v>
      </c>
      <c r="D6714" s="5">
        <v>0.1</v>
      </c>
      <c r="E6714" s="5">
        <v>104</v>
      </c>
      <c r="F6714" s="5">
        <v>207</v>
      </c>
      <c r="G6714" s="5">
        <v>103.2</v>
      </c>
      <c r="H6714" s="5">
        <v>103.1</v>
      </c>
      <c r="I6714" s="5">
        <v>0</v>
      </c>
      <c r="J6714" s="5">
        <v>0</v>
      </c>
      <c r="K6714" s="5">
        <v>0</v>
      </c>
    </row>
    <row r="6715" spans="1:11" x14ac:dyDescent="0.25">
      <c r="A6715" s="5">
        <f>6708</f>
      </c>
      <c r="B6715" s="5" t="s">
        <v>6723</v>
      </c>
      <c r="C6715" s="5">
        <v>103.9</v>
      </c>
      <c r="D6715" s="5">
        <v>0.1</v>
      </c>
      <c r="E6715" s="5">
        <v>104</v>
      </c>
      <c r="F6715" s="5">
        <v>207</v>
      </c>
      <c r="G6715" s="5">
        <v>103.2</v>
      </c>
      <c r="H6715" s="5">
        <v>103.1</v>
      </c>
      <c r="I6715" s="5">
        <v>0</v>
      </c>
      <c r="J6715" s="5">
        <v>0</v>
      </c>
      <c r="K6715" s="5">
        <v>0</v>
      </c>
    </row>
    <row r="6716" spans="1:11" x14ac:dyDescent="0.25">
      <c r="A6716" s="5">
        <f>6709</f>
      </c>
      <c r="B6716" s="5" t="s">
        <v>6724</v>
      </c>
      <c r="C6716" s="5">
        <v>103.9</v>
      </c>
      <c r="D6716" s="5">
        <v>0.1</v>
      </c>
      <c r="E6716" s="5">
        <v>104.4</v>
      </c>
      <c r="F6716" s="5">
        <v>207.7</v>
      </c>
      <c r="G6716" s="5">
        <v>103.7</v>
      </c>
      <c r="H6716" s="5">
        <v>103.5</v>
      </c>
      <c r="I6716" s="5">
        <v>0</v>
      </c>
      <c r="J6716" s="5">
        <v>0</v>
      </c>
      <c r="K6716" s="5">
        <v>0</v>
      </c>
    </row>
    <row r="6717" spans="1:11" x14ac:dyDescent="0.25">
      <c r="A6717" s="5">
        <f>6710</f>
      </c>
      <c r="B6717" s="5" t="s">
        <v>6725</v>
      </c>
      <c r="C6717" s="5">
        <v>104.3</v>
      </c>
      <c r="D6717" s="5">
        <v>0.1</v>
      </c>
      <c r="E6717" s="5">
        <v>104.4</v>
      </c>
      <c r="F6717" s="5">
        <v>207.7</v>
      </c>
      <c r="G6717" s="5">
        <v>103.7</v>
      </c>
      <c r="H6717" s="5">
        <v>103.5</v>
      </c>
      <c r="I6717" s="5">
        <v>0</v>
      </c>
      <c r="J6717" s="5">
        <v>0</v>
      </c>
      <c r="K6717" s="5">
        <v>0</v>
      </c>
    </row>
    <row r="6718" spans="1:11" x14ac:dyDescent="0.25">
      <c r="A6718" s="5">
        <f>6711</f>
      </c>
      <c r="B6718" s="5" t="s">
        <v>6726</v>
      </c>
      <c r="C6718" s="5">
        <v>104.3</v>
      </c>
      <c r="D6718" s="5">
        <v>0.1</v>
      </c>
      <c r="E6718" s="5">
        <v>104.1</v>
      </c>
      <c r="F6718" s="5">
        <v>207.7</v>
      </c>
      <c r="G6718" s="5">
        <v>103.6</v>
      </c>
      <c r="H6718" s="5">
        <v>103.5</v>
      </c>
      <c r="I6718" s="5">
        <v>0</v>
      </c>
      <c r="J6718" s="5">
        <v>0</v>
      </c>
      <c r="K6718" s="5">
        <v>0</v>
      </c>
    </row>
    <row r="6719" spans="1:11" x14ac:dyDescent="0.25">
      <c r="A6719" s="5">
        <f>6712</f>
      </c>
      <c r="B6719" s="5" t="s">
        <v>6727</v>
      </c>
      <c r="C6719" s="5">
        <v>104</v>
      </c>
      <c r="D6719" s="5">
        <v>0.1</v>
      </c>
      <c r="E6719" s="5">
        <v>104.1</v>
      </c>
      <c r="F6719" s="5">
        <v>207.7</v>
      </c>
      <c r="G6719" s="5">
        <v>103.6</v>
      </c>
      <c r="H6719" s="5">
        <v>103.5</v>
      </c>
      <c r="I6719" s="5">
        <v>0</v>
      </c>
      <c r="J6719" s="5">
        <v>0</v>
      </c>
      <c r="K6719" s="5">
        <v>0</v>
      </c>
    </row>
    <row r="6720" spans="1:11" x14ac:dyDescent="0.25">
      <c r="A6720" s="5">
        <f>6713</f>
      </c>
      <c r="B6720" s="5" t="s">
        <v>6728</v>
      </c>
      <c r="C6720" s="5">
        <v>104</v>
      </c>
      <c r="D6720" s="5">
        <v>0.1</v>
      </c>
      <c r="E6720" s="5">
        <v>102.6</v>
      </c>
      <c r="F6720" s="5">
        <v>205.1</v>
      </c>
      <c r="G6720" s="5">
        <v>102.3</v>
      </c>
      <c r="H6720" s="5">
        <v>102.2</v>
      </c>
      <c r="I6720" s="5">
        <v>0</v>
      </c>
      <c r="J6720" s="5">
        <v>0</v>
      </c>
      <c r="K6720" s="5">
        <v>0</v>
      </c>
    </row>
    <row r="6721" spans="1:11" x14ac:dyDescent="0.25">
      <c r="A6721" s="5">
        <f>6714</f>
      </c>
      <c r="B6721" s="5" t="s">
        <v>6729</v>
      </c>
      <c r="C6721" s="5">
        <v>102.4</v>
      </c>
      <c r="D6721" s="5">
        <v>0.1</v>
      </c>
      <c r="E6721" s="5">
        <v>102.6</v>
      </c>
      <c r="F6721" s="5">
        <v>205.1</v>
      </c>
      <c r="G6721" s="5">
        <v>102.3</v>
      </c>
      <c r="H6721" s="5">
        <v>102.2</v>
      </c>
      <c r="I6721" s="5">
        <v>0</v>
      </c>
      <c r="J6721" s="5">
        <v>0</v>
      </c>
      <c r="K6721" s="5">
        <v>0</v>
      </c>
    </row>
    <row r="6722" spans="1:11" x14ac:dyDescent="0.25">
      <c r="A6722" s="5">
        <f>6715</f>
      </c>
      <c r="B6722" s="5" t="s">
        <v>6730</v>
      </c>
      <c r="C6722" s="5">
        <v>102.4</v>
      </c>
      <c r="D6722" s="5">
        <v>0.1</v>
      </c>
      <c r="E6722" s="5">
        <v>102.6</v>
      </c>
      <c r="F6722" s="5">
        <v>205.1</v>
      </c>
      <c r="G6722" s="5">
        <v>102.3</v>
      </c>
      <c r="H6722" s="5">
        <v>102.2</v>
      </c>
      <c r="I6722" s="5">
        <v>0</v>
      </c>
      <c r="J6722" s="5">
        <v>0</v>
      </c>
      <c r="K6722" s="5">
        <v>0</v>
      </c>
    </row>
    <row r="6723" spans="1:11" x14ac:dyDescent="0.25">
      <c r="A6723" s="5">
        <f>6716</f>
      </c>
      <c r="B6723" s="5" t="s">
        <v>6731</v>
      </c>
      <c r="C6723" s="5">
        <v>102.4</v>
      </c>
      <c r="D6723" s="5">
        <v>0.1</v>
      </c>
      <c r="E6723" s="5">
        <v>102.6</v>
      </c>
      <c r="F6723" s="5">
        <v>205.1</v>
      </c>
      <c r="G6723" s="5">
        <v>102.3</v>
      </c>
      <c r="H6723" s="5">
        <v>102.2</v>
      </c>
      <c r="I6723" s="5">
        <v>0</v>
      </c>
      <c r="J6723" s="5">
        <v>0</v>
      </c>
      <c r="K6723" s="5">
        <v>0</v>
      </c>
    </row>
    <row r="6724" spans="1:11" x14ac:dyDescent="0.25">
      <c r="A6724" s="5">
        <f>6717</f>
      </c>
      <c r="B6724" s="5" t="s">
        <v>6732</v>
      </c>
      <c r="C6724" s="5">
        <v>101.5</v>
      </c>
      <c r="D6724" s="5">
        <v>0.1</v>
      </c>
      <c r="E6724" s="5">
        <v>101.7</v>
      </c>
      <c r="F6724" s="5">
        <v>202.4</v>
      </c>
      <c r="G6724" s="5">
        <v>101</v>
      </c>
      <c r="H6724" s="5">
        <v>100.8</v>
      </c>
      <c r="I6724" s="5">
        <v>0</v>
      </c>
      <c r="J6724" s="5">
        <v>0</v>
      </c>
      <c r="K6724" s="5">
        <v>0</v>
      </c>
    </row>
    <row r="6725" spans="1:11" x14ac:dyDescent="0.25">
      <c r="A6725" s="5">
        <f>6718</f>
      </c>
      <c r="B6725" s="5" t="s">
        <v>6733</v>
      </c>
      <c r="C6725" s="5">
        <v>101.5</v>
      </c>
      <c r="D6725" s="5">
        <v>0.1</v>
      </c>
      <c r="E6725" s="5">
        <v>101.7</v>
      </c>
      <c r="F6725" s="5">
        <v>202.4</v>
      </c>
      <c r="G6725" s="5">
        <v>101</v>
      </c>
      <c r="H6725" s="5">
        <v>100.8</v>
      </c>
      <c r="I6725" s="5">
        <v>0</v>
      </c>
      <c r="J6725" s="5">
        <v>0</v>
      </c>
      <c r="K6725" s="5">
        <v>0</v>
      </c>
    </row>
    <row r="6726" spans="1:11" x14ac:dyDescent="0.25">
      <c r="A6726" s="5">
        <f>6719</f>
      </c>
      <c r="B6726" s="5" t="s">
        <v>6734</v>
      </c>
      <c r="C6726" s="5">
        <v>101.3</v>
      </c>
      <c r="D6726" s="5">
        <v>0.1</v>
      </c>
      <c r="E6726" s="5">
        <v>101.5</v>
      </c>
      <c r="F6726" s="5">
        <v>201.8</v>
      </c>
      <c r="G6726" s="5">
        <v>100.5</v>
      </c>
      <c r="H6726" s="5">
        <v>100.5</v>
      </c>
      <c r="I6726" s="5">
        <v>0</v>
      </c>
      <c r="J6726" s="5">
        <v>0</v>
      </c>
      <c r="K6726" s="5">
        <v>0</v>
      </c>
    </row>
    <row r="6727" spans="1:11" x14ac:dyDescent="0.25">
      <c r="A6727" s="5">
        <f>6720</f>
      </c>
      <c r="B6727" s="5" t="s">
        <v>6735</v>
      </c>
      <c r="C6727" s="5">
        <v>101.3</v>
      </c>
      <c r="D6727" s="5">
        <v>0.1</v>
      </c>
      <c r="E6727" s="5">
        <v>101.5</v>
      </c>
      <c r="F6727" s="5">
        <v>201.8</v>
      </c>
      <c r="G6727" s="5">
        <v>100.5</v>
      </c>
      <c r="H6727" s="5">
        <v>100.5</v>
      </c>
      <c r="I6727" s="5">
        <v>0</v>
      </c>
      <c r="J6727" s="5">
        <v>0</v>
      </c>
      <c r="K6727" s="5">
        <v>0</v>
      </c>
    </row>
    <row r="6728" spans="1:11" x14ac:dyDescent="0.25">
      <c r="A6728" s="5">
        <f>6721</f>
      </c>
      <c r="B6728" s="5" t="s">
        <v>6736</v>
      </c>
      <c r="C6728" s="5">
        <v>101.2</v>
      </c>
      <c r="D6728" s="5">
        <v>0.1</v>
      </c>
      <c r="E6728" s="5">
        <v>101.4</v>
      </c>
      <c r="F6728" s="5">
        <v>202.3</v>
      </c>
      <c r="G6728" s="5">
        <v>101</v>
      </c>
      <c r="H6728" s="5">
        <v>100.9</v>
      </c>
      <c r="I6728" s="5">
        <v>0</v>
      </c>
      <c r="J6728" s="5">
        <v>0</v>
      </c>
      <c r="K6728" s="5">
        <v>0</v>
      </c>
    </row>
    <row r="6729" spans="1:11" x14ac:dyDescent="0.25">
      <c r="A6729" s="5">
        <f>6722</f>
      </c>
      <c r="B6729" s="5" t="s">
        <v>6737</v>
      </c>
      <c r="C6729" s="5">
        <v>101.2</v>
      </c>
      <c r="D6729" s="5">
        <v>0.1</v>
      </c>
      <c r="E6729" s="5">
        <v>101.4</v>
      </c>
      <c r="F6729" s="5">
        <v>202.3</v>
      </c>
      <c r="G6729" s="5">
        <v>101</v>
      </c>
      <c r="H6729" s="5">
        <v>100.9</v>
      </c>
      <c r="I6729" s="5">
        <v>0</v>
      </c>
      <c r="J6729" s="5">
        <v>0</v>
      </c>
      <c r="K6729" s="5">
        <v>0</v>
      </c>
    </row>
    <row r="6730" spans="1:11" x14ac:dyDescent="0.25">
      <c r="A6730" s="5">
        <f>6723</f>
      </c>
      <c r="B6730" s="5" t="s">
        <v>6738</v>
      </c>
      <c r="C6730" s="5">
        <v>101.4</v>
      </c>
      <c r="D6730" s="5">
        <v>0.1</v>
      </c>
      <c r="E6730" s="5">
        <v>101.5</v>
      </c>
      <c r="F6730" s="5">
        <v>203</v>
      </c>
      <c r="G6730" s="5">
        <v>101.3</v>
      </c>
      <c r="H6730" s="5">
        <v>101.1</v>
      </c>
      <c r="I6730" s="5">
        <v>0</v>
      </c>
      <c r="J6730" s="5">
        <v>0</v>
      </c>
      <c r="K6730" s="5">
        <v>0</v>
      </c>
    </row>
    <row r="6731" spans="1:11" x14ac:dyDescent="0.25">
      <c r="A6731" s="5">
        <f>6724</f>
      </c>
      <c r="B6731" s="5" t="s">
        <v>6739</v>
      </c>
      <c r="C6731" s="5">
        <v>101.4</v>
      </c>
      <c r="D6731" s="5">
        <v>0.1</v>
      </c>
      <c r="E6731" s="5">
        <v>101.5</v>
      </c>
      <c r="F6731" s="5">
        <v>203</v>
      </c>
      <c r="G6731" s="5">
        <v>101.3</v>
      </c>
      <c r="H6731" s="5">
        <v>101.1</v>
      </c>
      <c r="I6731" s="5">
        <v>0</v>
      </c>
      <c r="J6731" s="5">
        <v>0</v>
      </c>
      <c r="K6731" s="5">
        <v>0</v>
      </c>
    </row>
    <row r="6732" spans="1:11" x14ac:dyDescent="0.25">
      <c r="A6732" s="5">
        <f>6725</f>
      </c>
      <c r="B6732" s="5" t="s">
        <v>6740</v>
      </c>
      <c r="C6732" s="5">
        <v>101.4</v>
      </c>
      <c r="D6732" s="5">
        <v>0.1</v>
      </c>
      <c r="E6732" s="5">
        <v>101.5</v>
      </c>
      <c r="F6732" s="5">
        <v>203</v>
      </c>
      <c r="G6732" s="5">
        <v>101.3</v>
      </c>
      <c r="H6732" s="5">
        <v>101.1</v>
      </c>
      <c r="I6732" s="5">
        <v>0</v>
      </c>
      <c r="J6732" s="5">
        <v>0</v>
      </c>
      <c r="K6732" s="5">
        <v>0</v>
      </c>
    </row>
    <row r="6733" spans="1:11" x14ac:dyDescent="0.25">
      <c r="A6733" s="5">
        <f>6726</f>
      </c>
      <c r="B6733" s="5" t="s">
        <v>6741</v>
      </c>
      <c r="C6733" s="5">
        <v>101.4</v>
      </c>
      <c r="D6733" s="5">
        <v>0.1</v>
      </c>
      <c r="E6733" s="5">
        <v>101.5</v>
      </c>
      <c r="F6733" s="5">
        <v>203</v>
      </c>
      <c r="G6733" s="5">
        <v>101.3</v>
      </c>
      <c r="H6733" s="5">
        <v>101.1</v>
      </c>
      <c r="I6733" s="5">
        <v>0</v>
      </c>
      <c r="J6733" s="5">
        <v>0</v>
      </c>
      <c r="K6733" s="5">
        <v>0</v>
      </c>
    </row>
    <row r="6734" spans="1:11" x14ac:dyDescent="0.25">
      <c r="A6734" s="5">
        <f>6727</f>
      </c>
      <c r="B6734" s="5" t="s">
        <v>6742</v>
      </c>
      <c r="C6734" s="5">
        <v>101.2</v>
      </c>
      <c r="D6734" s="5">
        <v>0.1</v>
      </c>
      <c r="E6734" s="5">
        <v>101.4</v>
      </c>
      <c r="F6734" s="5">
        <v>202.8</v>
      </c>
      <c r="G6734" s="5">
        <v>101.2</v>
      </c>
      <c r="H6734" s="5">
        <v>101.1</v>
      </c>
      <c r="I6734" s="5">
        <v>0</v>
      </c>
      <c r="J6734" s="5">
        <v>0</v>
      </c>
      <c r="K6734" s="5">
        <v>0</v>
      </c>
    </row>
    <row r="6735" spans="1:11" x14ac:dyDescent="0.25">
      <c r="A6735" s="5">
        <f>6728</f>
      </c>
      <c r="B6735" s="5" t="s">
        <v>6743</v>
      </c>
      <c r="C6735" s="5">
        <v>101.2</v>
      </c>
      <c r="D6735" s="5">
        <v>0.1</v>
      </c>
      <c r="E6735" s="5">
        <v>101.4</v>
      </c>
      <c r="F6735" s="5">
        <v>202.8</v>
      </c>
      <c r="G6735" s="5">
        <v>101.2</v>
      </c>
      <c r="H6735" s="5">
        <v>101.1</v>
      </c>
      <c r="I6735" s="5">
        <v>0</v>
      </c>
      <c r="J6735" s="5">
        <v>0</v>
      </c>
      <c r="K6735" s="5">
        <v>0</v>
      </c>
    </row>
    <row r="6736" spans="1:11" x14ac:dyDescent="0.25">
      <c r="A6736" s="5">
        <f>6729</f>
      </c>
      <c r="B6736" s="5" t="s">
        <v>6744</v>
      </c>
      <c r="C6736" s="5">
        <v>100.6</v>
      </c>
      <c r="D6736" s="5">
        <v>0.1</v>
      </c>
      <c r="E6736" s="5">
        <v>100.8</v>
      </c>
      <c r="F6736" s="5">
        <v>200.9</v>
      </c>
      <c r="G6736" s="5">
        <v>100.3</v>
      </c>
      <c r="H6736" s="5">
        <v>100.2</v>
      </c>
      <c r="I6736" s="5">
        <v>0</v>
      </c>
      <c r="J6736" s="5">
        <v>0</v>
      </c>
      <c r="K6736" s="5">
        <v>0</v>
      </c>
    </row>
    <row r="6737" spans="1:11" x14ac:dyDescent="0.25">
      <c r="A6737" s="5">
        <f>6730</f>
      </c>
      <c r="B6737" s="5" t="s">
        <v>6745</v>
      </c>
      <c r="C6737" s="5">
        <v>100.6</v>
      </c>
      <c r="D6737" s="5">
        <v>0.1</v>
      </c>
      <c r="E6737" s="5">
        <v>100.8</v>
      </c>
      <c r="F6737" s="5">
        <v>200.9</v>
      </c>
      <c r="G6737" s="5">
        <v>100.3</v>
      </c>
      <c r="H6737" s="5">
        <v>100.2</v>
      </c>
      <c r="I6737" s="5">
        <v>0</v>
      </c>
      <c r="J6737" s="5">
        <v>0</v>
      </c>
      <c r="K6737" s="5">
        <v>0</v>
      </c>
    </row>
    <row r="6738" spans="1:11" x14ac:dyDescent="0.25">
      <c r="A6738" s="5">
        <f>6731</f>
      </c>
      <c r="B6738" s="5" t="s">
        <v>6746</v>
      </c>
      <c r="C6738" s="5">
        <v>101.8</v>
      </c>
      <c r="D6738" s="5">
        <v>0.1</v>
      </c>
      <c r="E6738" s="5">
        <v>101.9</v>
      </c>
      <c r="F6738" s="5">
        <v>203.8</v>
      </c>
      <c r="G6738" s="5">
        <v>101.6</v>
      </c>
      <c r="H6738" s="5">
        <v>101.5</v>
      </c>
      <c r="I6738" s="5">
        <v>0</v>
      </c>
      <c r="J6738" s="5">
        <v>0</v>
      </c>
      <c r="K6738" s="5">
        <v>0</v>
      </c>
    </row>
    <row r="6739" spans="1:11" x14ac:dyDescent="0.25">
      <c r="A6739" s="5">
        <f>6732</f>
      </c>
      <c r="B6739" s="5" t="s">
        <v>6747</v>
      </c>
      <c r="C6739" s="5">
        <v>101.8</v>
      </c>
      <c r="D6739" s="5">
        <v>0.1</v>
      </c>
      <c r="E6739" s="5">
        <v>101.9</v>
      </c>
      <c r="F6739" s="5">
        <v>203.8</v>
      </c>
      <c r="G6739" s="5">
        <v>101.6</v>
      </c>
      <c r="H6739" s="5">
        <v>101.5</v>
      </c>
      <c r="I6739" s="5">
        <v>0</v>
      </c>
      <c r="J6739" s="5">
        <v>0</v>
      </c>
      <c r="K6739" s="5">
        <v>0</v>
      </c>
    </row>
    <row r="6740" spans="1:11" x14ac:dyDescent="0.25">
      <c r="A6740" s="5">
        <f>6733</f>
      </c>
      <c r="B6740" s="5" t="s">
        <v>6748</v>
      </c>
      <c r="C6740" s="5">
        <v>101.6</v>
      </c>
      <c r="D6740" s="5">
        <v>0.1</v>
      </c>
      <c r="E6740" s="5">
        <v>101.8</v>
      </c>
      <c r="F6740" s="5">
        <v>203.2</v>
      </c>
      <c r="G6740" s="5">
        <v>101.4</v>
      </c>
      <c r="H6740" s="5">
        <v>101.2</v>
      </c>
      <c r="I6740" s="5">
        <v>0</v>
      </c>
      <c r="J6740" s="5">
        <v>0</v>
      </c>
      <c r="K6740" s="5">
        <v>0</v>
      </c>
    </row>
    <row r="6741" spans="1:11" x14ac:dyDescent="0.25">
      <c r="A6741" s="5">
        <f>6734</f>
      </c>
      <c r="B6741" s="5" t="s">
        <v>6749</v>
      </c>
      <c r="C6741" s="5">
        <v>101.6</v>
      </c>
      <c r="D6741" s="5">
        <v>0.1</v>
      </c>
      <c r="E6741" s="5">
        <v>101.8</v>
      </c>
      <c r="F6741" s="5">
        <v>203.2</v>
      </c>
      <c r="G6741" s="5">
        <v>101.4</v>
      </c>
      <c r="H6741" s="5">
        <v>101.2</v>
      </c>
      <c r="I6741" s="5">
        <v>0</v>
      </c>
      <c r="J6741" s="5">
        <v>0</v>
      </c>
      <c r="K6741" s="5">
        <v>0</v>
      </c>
    </row>
    <row r="6742" spans="1:11" x14ac:dyDescent="0.25">
      <c r="A6742" s="5">
        <f>6735</f>
      </c>
      <c r="B6742" s="5" t="s">
        <v>6750</v>
      </c>
      <c r="C6742" s="5">
        <v>101.6</v>
      </c>
      <c r="D6742" s="5">
        <v>0.1</v>
      </c>
      <c r="E6742" s="5">
        <v>101.8</v>
      </c>
      <c r="F6742" s="5">
        <v>203.2</v>
      </c>
      <c r="G6742" s="5">
        <v>101.4</v>
      </c>
      <c r="H6742" s="5">
        <v>101.2</v>
      </c>
      <c r="I6742" s="5">
        <v>0</v>
      </c>
      <c r="J6742" s="5">
        <v>0</v>
      </c>
      <c r="K6742" s="5">
        <v>0</v>
      </c>
    </row>
    <row r="6743" spans="1:11" x14ac:dyDescent="0.25">
      <c r="A6743" s="5">
        <f>6736</f>
      </c>
      <c r="B6743" s="5" t="s">
        <v>6751</v>
      </c>
      <c r="C6743" s="5">
        <v>101.6</v>
      </c>
      <c r="D6743" s="5">
        <v>0.1</v>
      </c>
      <c r="E6743" s="5">
        <v>101.8</v>
      </c>
      <c r="F6743" s="5">
        <v>203.2</v>
      </c>
      <c r="G6743" s="5">
        <v>101.4</v>
      </c>
      <c r="H6743" s="5">
        <v>101.2</v>
      </c>
      <c r="I6743" s="5">
        <v>0</v>
      </c>
      <c r="J6743" s="5">
        <v>0</v>
      </c>
      <c r="K6743" s="5">
        <v>0</v>
      </c>
    </row>
    <row r="6744" spans="1:11" x14ac:dyDescent="0.25">
      <c r="A6744" s="5">
        <f>6737</f>
      </c>
      <c r="B6744" s="5" t="s">
        <v>6752</v>
      </c>
      <c r="C6744" s="5">
        <v>101.3</v>
      </c>
      <c r="D6744" s="5">
        <v>0.1</v>
      </c>
      <c r="E6744" s="5">
        <v>101.5</v>
      </c>
      <c r="F6744" s="5">
        <v>203.2</v>
      </c>
      <c r="G6744" s="5">
        <v>101.3</v>
      </c>
      <c r="H6744" s="5">
        <v>101.2</v>
      </c>
      <c r="I6744" s="5">
        <v>0</v>
      </c>
      <c r="J6744" s="5">
        <v>0</v>
      </c>
      <c r="K6744" s="5">
        <v>0</v>
      </c>
    </row>
    <row r="6745" spans="1:11" x14ac:dyDescent="0.25">
      <c r="A6745" s="5">
        <f>6738</f>
      </c>
      <c r="B6745" s="5" t="s">
        <v>6753</v>
      </c>
      <c r="C6745" s="5">
        <v>101.3</v>
      </c>
      <c r="D6745" s="5">
        <v>0.1</v>
      </c>
      <c r="E6745" s="5">
        <v>101.5</v>
      </c>
      <c r="F6745" s="5">
        <v>203.2</v>
      </c>
      <c r="G6745" s="5">
        <v>101.3</v>
      </c>
      <c r="H6745" s="5">
        <v>101.2</v>
      </c>
      <c r="I6745" s="5">
        <v>0</v>
      </c>
      <c r="J6745" s="5">
        <v>0</v>
      </c>
      <c r="K6745" s="5">
        <v>0</v>
      </c>
    </row>
    <row r="6746" spans="1:11" x14ac:dyDescent="0.25">
      <c r="A6746" s="5">
        <f>6739</f>
      </c>
      <c r="B6746" s="5" t="s">
        <v>6754</v>
      </c>
      <c r="C6746" s="5">
        <v>101.4</v>
      </c>
      <c r="D6746" s="5">
        <v>0.1</v>
      </c>
      <c r="E6746" s="5">
        <v>101.5</v>
      </c>
      <c r="F6746" s="5">
        <v>202.9</v>
      </c>
      <c r="G6746" s="5">
        <v>101.2</v>
      </c>
      <c r="H6746" s="5">
        <v>101.1</v>
      </c>
      <c r="I6746" s="5">
        <v>0</v>
      </c>
      <c r="J6746" s="5">
        <v>0</v>
      </c>
      <c r="K6746" s="5">
        <v>0</v>
      </c>
    </row>
    <row r="6747" spans="1:11" x14ac:dyDescent="0.25">
      <c r="A6747" s="5">
        <f>6740</f>
      </c>
      <c r="B6747" s="5" t="s">
        <v>6755</v>
      </c>
      <c r="C6747" s="5">
        <v>101.4</v>
      </c>
      <c r="D6747" s="5">
        <v>0.1</v>
      </c>
      <c r="E6747" s="5">
        <v>101.5</v>
      </c>
      <c r="F6747" s="5">
        <v>202.9</v>
      </c>
      <c r="G6747" s="5">
        <v>101.2</v>
      </c>
      <c r="H6747" s="5">
        <v>101.1</v>
      </c>
      <c r="I6747" s="5">
        <v>0</v>
      </c>
      <c r="J6747" s="5">
        <v>0</v>
      </c>
      <c r="K6747" s="5">
        <v>0</v>
      </c>
    </row>
    <row r="6748" spans="1:11" x14ac:dyDescent="0.25">
      <c r="A6748" s="5">
        <f>6741</f>
      </c>
      <c r="B6748" s="5" t="s">
        <v>6756</v>
      </c>
      <c r="C6748" s="5">
        <v>101.4</v>
      </c>
      <c r="D6748" s="5">
        <v>0.1</v>
      </c>
      <c r="E6748" s="5">
        <v>101.5</v>
      </c>
      <c r="F6748" s="5">
        <v>202.9</v>
      </c>
      <c r="G6748" s="5">
        <v>101.2</v>
      </c>
      <c r="H6748" s="5">
        <v>101.1</v>
      </c>
      <c r="I6748" s="5">
        <v>0</v>
      </c>
      <c r="J6748" s="5">
        <v>0</v>
      </c>
      <c r="K6748" s="5">
        <v>0</v>
      </c>
    </row>
    <row r="6749" spans="1:11" x14ac:dyDescent="0.25">
      <c r="A6749" s="5">
        <f>6742</f>
      </c>
      <c r="B6749" s="5" t="s">
        <v>6757</v>
      </c>
      <c r="C6749" s="5">
        <v>101.4</v>
      </c>
      <c r="D6749" s="5">
        <v>0.1</v>
      </c>
      <c r="E6749" s="5">
        <v>101.5</v>
      </c>
      <c r="F6749" s="5">
        <v>202.9</v>
      </c>
      <c r="G6749" s="5">
        <v>101.2</v>
      </c>
      <c r="H6749" s="5">
        <v>101.1</v>
      </c>
      <c r="I6749" s="5">
        <v>0</v>
      </c>
      <c r="J6749" s="5">
        <v>0</v>
      </c>
      <c r="K6749" s="5">
        <v>0</v>
      </c>
    </row>
    <row r="6750" spans="1:11" x14ac:dyDescent="0.25">
      <c r="A6750" s="5">
        <f>6743</f>
      </c>
      <c r="B6750" s="5" t="s">
        <v>6758</v>
      </c>
      <c r="C6750" s="5">
        <v>101.8</v>
      </c>
      <c r="D6750" s="5">
        <v>0.1</v>
      </c>
      <c r="E6750" s="5">
        <v>102</v>
      </c>
      <c r="F6750" s="5">
        <v>203.8</v>
      </c>
      <c r="G6750" s="5">
        <v>101.7</v>
      </c>
      <c r="H6750" s="5">
        <v>101.5</v>
      </c>
      <c r="I6750" s="5">
        <v>0</v>
      </c>
      <c r="J6750" s="5">
        <v>0</v>
      </c>
      <c r="K6750" s="5">
        <v>0</v>
      </c>
    </row>
    <row r="6751" spans="1:11" x14ac:dyDescent="0.25">
      <c r="A6751" s="5">
        <f>6744</f>
      </c>
      <c r="B6751" s="5" t="s">
        <v>6759</v>
      </c>
      <c r="C6751" s="5">
        <v>101.8</v>
      </c>
      <c r="D6751" s="5">
        <v>0.1</v>
      </c>
      <c r="E6751" s="5">
        <v>102</v>
      </c>
      <c r="F6751" s="5">
        <v>203.8</v>
      </c>
      <c r="G6751" s="5">
        <v>101.7</v>
      </c>
      <c r="H6751" s="5">
        <v>101.5</v>
      </c>
      <c r="I6751" s="5">
        <v>0</v>
      </c>
      <c r="J6751" s="5">
        <v>0</v>
      </c>
      <c r="K6751" s="5">
        <v>0</v>
      </c>
    </row>
    <row r="6752" spans="1:11" x14ac:dyDescent="0.25">
      <c r="A6752" s="5">
        <f>6745</f>
      </c>
      <c r="B6752" s="5" t="s">
        <v>6760</v>
      </c>
      <c r="C6752" s="5">
        <v>101.8</v>
      </c>
      <c r="D6752" s="5">
        <v>0.1</v>
      </c>
      <c r="E6752" s="5">
        <v>102</v>
      </c>
      <c r="F6752" s="5">
        <v>203.8</v>
      </c>
      <c r="G6752" s="5">
        <v>101.7</v>
      </c>
      <c r="H6752" s="5">
        <v>101.5</v>
      </c>
      <c r="I6752" s="5">
        <v>0</v>
      </c>
      <c r="J6752" s="5">
        <v>0</v>
      </c>
      <c r="K6752" s="5">
        <v>0</v>
      </c>
    </row>
    <row r="6753" spans="1:11" x14ac:dyDescent="0.25">
      <c r="A6753" s="5">
        <f>6746</f>
      </c>
      <c r="B6753" s="5" t="s">
        <v>6761</v>
      </c>
      <c r="C6753" s="5">
        <v>101.8</v>
      </c>
      <c r="D6753" s="5">
        <v>0.1</v>
      </c>
      <c r="E6753" s="5">
        <v>102</v>
      </c>
      <c r="F6753" s="5">
        <v>203.8</v>
      </c>
      <c r="G6753" s="5">
        <v>101.7</v>
      </c>
      <c r="H6753" s="5">
        <v>101.5</v>
      </c>
      <c r="I6753" s="5">
        <v>0</v>
      </c>
      <c r="J6753" s="5">
        <v>0</v>
      </c>
      <c r="K6753" s="5">
        <v>0</v>
      </c>
    </row>
    <row r="6754" spans="1:11" x14ac:dyDescent="0.25">
      <c r="A6754" s="5">
        <f>6747</f>
      </c>
      <c r="B6754" s="5" t="s">
        <v>6762</v>
      </c>
      <c r="C6754" s="5">
        <v>100.8</v>
      </c>
      <c r="D6754" s="5">
        <v>0.1</v>
      </c>
      <c r="E6754" s="5">
        <v>101</v>
      </c>
      <c r="F6754" s="5">
        <v>201.4</v>
      </c>
      <c r="G6754" s="5">
        <v>100.5</v>
      </c>
      <c r="H6754" s="5">
        <v>100.3</v>
      </c>
      <c r="I6754" s="5">
        <v>0</v>
      </c>
      <c r="J6754" s="5">
        <v>0</v>
      </c>
      <c r="K6754" s="5">
        <v>0</v>
      </c>
    </row>
    <row r="6755" spans="1:11" x14ac:dyDescent="0.25">
      <c r="A6755" s="5">
        <f>6748</f>
      </c>
      <c r="B6755" s="5" t="s">
        <v>6763</v>
      </c>
      <c r="C6755" s="5">
        <v>100.8</v>
      </c>
      <c r="D6755" s="5">
        <v>0.1</v>
      </c>
      <c r="E6755" s="5">
        <v>101</v>
      </c>
      <c r="F6755" s="5">
        <v>201.4</v>
      </c>
      <c r="G6755" s="5">
        <v>100.5</v>
      </c>
      <c r="H6755" s="5">
        <v>100.3</v>
      </c>
      <c r="I6755" s="5">
        <v>0</v>
      </c>
      <c r="J6755" s="5">
        <v>0</v>
      </c>
      <c r="K6755" s="5">
        <v>0</v>
      </c>
    </row>
    <row r="6756" spans="1:11" x14ac:dyDescent="0.25">
      <c r="A6756" s="5">
        <f>6749</f>
      </c>
      <c r="B6756" s="5" t="s">
        <v>6764</v>
      </c>
      <c r="C6756" s="5">
        <v>101.8</v>
      </c>
      <c r="D6756" s="5">
        <v>0.1</v>
      </c>
      <c r="E6756" s="5">
        <v>101.9</v>
      </c>
      <c r="F6756" s="5">
        <v>202</v>
      </c>
      <c r="G6756" s="5">
        <v>100.8</v>
      </c>
      <c r="H6756" s="5">
        <v>100.7</v>
      </c>
      <c r="I6756" s="5">
        <v>0</v>
      </c>
      <c r="J6756" s="5">
        <v>0</v>
      </c>
      <c r="K6756" s="5">
        <v>0</v>
      </c>
    </row>
    <row r="6757" spans="1:11" x14ac:dyDescent="0.25">
      <c r="A6757" s="5">
        <f>6750</f>
      </c>
      <c r="B6757" s="5" t="s">
        <v>6765</v>
      </c>
      <c r="C6757" s="5">
        <v>101.8</v>
      </c>
      <c r="D6757" s="5">
        <v>0.1</v>
      </c>
      <c r="E6757" s="5">
        <v>101.9</v>
      </c>
      <c r="F6757" s="5">
        <v>202</v>
      </c>
      <c r="G6757" s="5">
        <v>100.8</v>
      </c>
      <c r="H6757" s="5">
        <v>100.7</v>
      </c>
      <c r="I6757" s="5">
        <v>0</v>
      </c>
      <c r="J6757" s="5">
        <v>0</v>
      </c>
      <c r="K6757" s="5">
        <v>0</v>
      </c>
    </row>
    <row r="6758" spans="1:11" x14ac:dyDescent="0.25">
      <c r="A6758" s="5">
        <f>6751</f>
      </c>
      <c r="B6758" s="5" t="s">
        <v>6766</v>
      </c>
      <c r="C6758" s="5">
        <v>101.3</v>
      </c>
      <c r="D6758" s="5">
        <v>0.1</v>
      </c>
      <c r="E6758" s="5">
        <v>101.5</v>
      </c>
      <c r="F6758" s="5">
        <v>202.3</v>
      </c>
      <c r="G6758" s="5">
        <v>100.9</v>
      </c>
      <c r="H6758" s="5">
        <v>100.8</v>
      </c>
      <c r="I6758" s="5">
        <v>0</v>
      </c>
      <c r="J6758" s="5">
        <v>0</v>
      </c>
      <c r="K6758" s="5">
        <v>0</v>
      </c>
    </row>
    <row r="6759" spans="1:11" x14ac:dyDescent="0.25">
      <c r="A6759" s="5">
        <f>6752</f>
      </c>
      <c r="B6759" s="5" t="s">
        <v>6767</v>
      </c>
      <c r="C6759" s="5">
        <v>101.3</v>
      </c>
      <c r="D6759" s="5">
        <v>0.1</v>
      </c>
      <c r="E6759" s="5">
        <v>101.5</v>
      </c>
      <c r="F6759" s="5">
        <v>202.3</v>
      </c>
      <c r="G6759" s="5">
        <v>100.9</v>
      </c>
      <c r="H6759" s="5">
        <v>100.8</v>
      </c>
      <c r="I6759" s="5">
        <v>0</v>
      </c>
      <c r="J6759" s="5">
        <v>0</v>
      </c>
      <c r="K6759" s="5">
        <v>0</v>
      </c>
    </row>
    <row r="6760" spans="1:11" x14ac:dyDescent="0.25">
      <c r="A6760" s="5">
        <f>6753</f>
      </c>
      <c r="B6760" s="5" t="s">
        <v>6768</v>
      </c>
      <c r="C6760" s="5">
        <v>101.6</v>
      </c>
      <c r="D6760" s="5">
        <v>0.1</v>
      </c>
      <c r="E6760" s="5">
        <v>101.7</v>
      </c>
      <c r="F6760" s="5">
        <v>201.9</v>
      </c>
      <c r="G6760" s="5">
        <v>100.7</v>
      </c>
      <c r="H6760" s="5">
        <v>100.6</v>
      </c>
      <c r="I6760" s="5">
        <v>0</v>
      </c>
      <c r="J6760" s="5">
        <v>0</v>
      </c>
      <c r="K6760" s="5">
        <v>0</v>
      </c>
    </row>
    <row r="6761" spans="1:11" x14ac:dyDescent="0.25">
      <c r="A6761" s="5">
        <f>6754</f>
      </c>
      <c r="B6761" s="5" t="s">
        <v>6769</v>
      </c>
      <c r="C6761" s="5">
        <v>101.6</v>
      </c>
      <c r="D6761" s="5">
        <v>0.1</v>
      </c>
      <c r="E6761" s="5">
        <v>101.7</v>
      </c>
      <c r="F6761" s="5">
        <v>201.9</v>
      </c>
      <c r="G6761" s="5">
        <v>100.7</v>
      </c>
      <c r="H6761" s="5">
        <v>100.6</v>
      </c>
      <c r="I6761" s="5">
        <v>0</v>
      </c>
      <c r="J6761" s="5">
        <v>0</v>
      </c>
      <c r="K6761" s="5">
        <v>0</v>
      </c>
    </row>
    <row r="6762" spans="1:11" x14ac:dyDescent="0.25">
      <c r="A6762" s="5">
        <f>6755</f>
      </c>
      <c r="B6762" s="5" t="s">
        <v>6770</v>
      </c>
      <c r="C6762" s="5">
        <v>101.6</v>
      </c>
      <c r="D6762" s="5">
        <v>0.1</v>
      </c>
      <c r="E6762" s="5">
        <v>101.7</v>
      </c>
      <c r="F6762" s="5">
        <v>201.9</v>
      </c>
      <c r="G6762" s="5">
        <v>100.7</v>
      </c>
      <c r="H6762" s="5">
        <v>100.6</v>
      </c>
      <c r="I6762" s="5">
        <v>0</v>
      </c>
      <c r="J6762" s="5">
        <v>0</v>
      </c>
      <c r="K6762" s="5">
        <v>0</v>
      </c>
    </row>
    <row r="6763" spans="1:11" x14ac:dyDescent="0.25">
      <c r="A6763" s="5">
        <f>6756</f>
      </c>
      <c r="B6763" s="5" t="s">
        <v>6771</v>
      </c>
      <c r="C6763" s="5">
        <v>101.6</v>
      </c>
      <c r="D6763" s="5">
        <v>0.1</v>
      </c>
      <c r="E6763" s="5">
        <v>101.7</v>
      </c>
      <c r="F6763" s="5">
        <v>201.9</v>
      </c>
      <c r="G6763" s="5">
        <v>100.7</v>
      </c>
      <c r="H6763" s="5">
        <v>100.6</v>
      </c>
      <c r="I6763" s="5">
        <v>0</v>
      </c>
      <c r="J6763" s="5">
        <v>0</v>
      </c>
      <c r="K6763" s="5">
        <v>0</v>
      </c>
    </row>
    <row r="6764" spans="1:11" x14ac:dyDescent="0.25">
      <c r="A6764" s="5">
        <f>6757</f>
      </c>
      <c r="B6764" s="5" t="s">
        <v>6772</v>
      </c>
      <c r="C6764" s="5">
        <v>102.1</v>
      </c>
      <c r="D6764" s="5">
        <v>0.1</v>
      </c>
      <c r="E6764" s="5">
        <v>102.3</v>
      </c>
      <c r="F6764" s="5">
        <v>203.5</v>
      </c>
      <c r="G6764" s="5">
        <v>101.5</v>
      </c>
      <c r="H6764" s="5">
        <v>101.4</v>
      </c>
      <c r="I6764" s="5">
        <v>0</v>
      </c>
      <c r="J6764" s="5">
        <v>0</v>
      </c>
      <c r="K6764" s="5">
        <v>0</v>
      </c>
    </row>
    <row r="6765" spans="1:11" x14ac:dyDescent="0.25">
      <c r="A6765" s="5">
        <f>6758</f>
      </c>
      <c r="B6765" s="5" t="s">
        <v>6773</v>
      </c>
      <c r="C6765" s="5">
        <v>102.1</v>
      </c>
      <c r="D6765" s="5">
        <v>0.1</v>
      </c>
      <c r="E6765" s="5">
        <v>102.3</v>
      </c>
      <c r="F6765" s="5">
        <v>203.5</v>
      </c>
      <c r="G6765" s="5">
        <v>101.5</v>
      </c>
      <c r="H6765" s="5">
        <v>101.4</v>
      </c>
      <c r="I6765" s="5">
        <v>0</v>
      </c>
      <c r="J6765" s="5">
        <v>0</v>
      </c>
      <c r="K6765" s="5">
        <v>0</v>
      </c>
    </row>
    <row r="6766" spans="1:11" x14ac:dyDescent="0.25">
      <c r="A6766" s="5">
        <f>6759</f>
      </c>
      <c r="B6766" s="5" t="s">
        <v>6774</v>
      </c>
      <c r="C6766" s="5">
        <v>102.1</v>
      </c>
      <c r="D6766" s="5">
        <v>0.1</v>
      </c>
      <c r="E6766" s="5">
        <v>102.2</v>
      </c>
      <c r="F6766" s="5">
        <v>203.3</v>
      </c>
      <c r="G6766" s="5">
        <v>101.4</v>
      </c>
      <c r="H6766" s="5">
        <v>101.3</v>
      </c>
      <c r="I6766" s="5">
        <v>0</v>
      </c>
      <c r="J6766" s="5">
        <v>0</v>
      </c>
      <c r="K6766" s="5">
        <v>0</v>
      </c>
    </row>
    <row r="6767" spans="1:11" x14ac:dyDescent="0.25">
      <c r="A6767" s="5">
        <f>6760</f>
      </c>
      <c r="B6767" s="5" t="s">
        <v>6775</v>
      </c>
      <c r="C6767" s="5">
        <v>102.1</v>
      </c>
      <c r="D6767" s="5">
        <v>0.1</v>
      </c>
      <c r="E6767" s="5">
        <v>102.2</v>
      </c>
      <c r="F6767" s="5">
        <v>203.3</v>
      </c>
      <c r="G6767" s="5">
        <v>101.4</v>
      </c>
      <c r="H6767" s="5">
        <v>101.3</v>
      </c>
      <c r="I6767" s="5">
        <v>0</v>
      </c>
      <c r="J6767" s="5">
        <v>0</v>
      </c>
      <c r="K6767" s="5">
        <v>0</v>
      </c>
    </row>
    <row r="6768" spans="1:11" x14ac:dyDescent="0.25">
      <c r="A6768" s="5">
        <f>6761</f>
      </c>
      <c r="B6768" s="5" t="s">
        <v>6776</v>
      </c>
      <c r="C6768" s="5">
        <v>101.7</v>
      </c>
      <c r="D6768" s="5">
        <v>0.1</v>
      </c>
      <c r="E6768" s="5">
        <v>101.8</v>
      </c>
      <c r="F6768" s="5">
        <v>203.4</v>
      </c>
      <c r="G6768" s="5">
        <v>101.5</v>
      </c>
      <c r="H6768" s="5">
        <v>101.3</v>
      </c>
      <c r="I6768" s="5">
        <v>0</v>
      </c>
      <c r="J6768" s="5">
        <v>0</v>
      </c>
      <c r="K6768" s="5">
        <v>0</v>
      </c>
    </row>
    <row r="6769" spans="1:11" x14ac:dyDescent="0.25">
      <c r="A6769" s="5">
        <f>6762</f>
      </c>
      <c r="B6769" s="5" t="s">
        <v>6777</v>
      </c>
      <c r="C6769" s="5">
        <v>101.7</v>
      </c>
      <c r="D6769" s="5">
        <v>0.1</v>
      </c>
      <c r="E6769" s="5">
        <v>101.8</v>
      </c>
      <c r="F6769" s="5">
        <v>203.4</v>
      </c>
      <c r="G6769" s="5">
        <v>101.5</v>
      </c>
      <c r="H6769" s="5">
        <v>101.3</v>
      </c>
      <c r="I6769" s="5">
        <v>0</v>
      </c>
      <c r="J6769" s="5">
        <v>0</v>
      </c>
      <c r="K6769" s="5">
        <v>0</v>
      </c>
    </row>
    <row r="6770" spans="1:11" x14ac:dyDescent="0.25">
      <c r="A6770" s="5">
        <f>6763</f>
      </c>
      <c r="B6770" s="5" t="s">
        <v>6778</v>
      </c>
      <c r="C6770" s="5">
        <v>102.4</v>
      </c>
      <c r="D6770" s="5">
        <v>0.1</v>
      </c>
      <c r="E6770" s="5">
        <v>102.6</v>
      </c>
      <c r="F6770" s="5">
        <v>203.8</v>
      </c>
      <c r="G6770" s="5">
        <v>101.7</v>
      </c>
      <c r="H6770" s="5">
        <v>101.6</v>
      </c>
      <c r="I6770" s="5">
        <v>0</v>
      </c>
      <c r="J6770" s="5">
        <v>0</v>
      </c>
      <c r="K6770" s="5">
        <v>0</v>
      </c>
    </row>
    <row r="6771" spans="1:11" x14ac:dyDescent="0.25">
      <c r="A6771" s="5">
        <f>6764</f>
      </c>
      <c r="B6771" s="5" t="s">
        <v>6779</v>
      </c>
      <c r="C6771" s="5">
        <v>102.4</v>
      </c>
      <c r="D6771" s="5">
        <v>0.1</v>
      </c>
      <c r="E6771" s="5">
        <v>102.6</v>
      </c>
      <c r="F6771" s="5">
        <v>203.8</v>
      </c>
      <c r="G6771" s="5">
        <v>101.7</v>
      </c>
      <c r="H6771" s="5">
        <v>101.6</v>
      </c>
      <c r="I6771" s="5">
        <v>0</v>
      </c>
      <c r="J6771" s="5">
        <v>0</v>
      </c>
      <c r="K6771" s="5">
        <v>0</v>
      </c>
    </row>
    <row r="6772" spans="1:11" x14ac:dyDescent="0.25">
      <c r="A6772" s="5">
        <f>6765</f>
      </c>
      <c r="B6772" s="5" t="s">
        <v>6780</v>
      </c>
      <c r="C6772" s="5">
        <v>102.4</v>
      </c>
      <c r="D6772" s="5">
        <v>0.1</v>
      </c>
      <c r="E6772" s="5">
        <v>102.6</v>
      </c>
      <c r="F6772" s="5">
        <v>203.8</v>
      </c>
      <c r="G6772" s="5">
        <v>101.7</v>
      </c>
      <c r="H6772" s="5">
        <v>101.6</v>
      </c>
      <c r="I6772" s="5">
        <v>0</v>
      </c>
      <c r="J6772" s="5">
        <v>0</v>
      </c>
      <c r="K6772" s="5">
        <v>0</v>
      </c>
    </row>
    <row r="6773" spans="1:11" x14ac:dyDescent="0.25">
      <c r="A6773" s="5">
        <f>6766</f>
      </c>
      <c r="B6773" s="5" t="s">
        <v>6781</v>
      </c>
      <c r="C6773" s="5">
        <v>102.4</v>
      </c>
      <c r="D6773" s="5">
        <v>0.1</v>
      </c>
      <c r="E6773" s="5">
        <v>102.6</v>
      </c>
      <c r="F6773" s="5">
        <v>203.8</v>
      </c>
      <c r="G6773" s="5">
        <v>101.7</v>
      </c>
      <c r="H6773" s="5">
        <v>101.6</v>
      </c>
      <c r="I6773" s="5">
        <v>0</v>
      </c>
      <c r="J6773" s="5">
        <v>0</v>
      </c>
      <c r="K6773" s="5">
        <v>0</v>
      </c>
    </row>
    <row r="6774" spans="1:11" x14ac:dyDescent="0.25">
      <c r="A6774" s="5">
        <f>6767</f>
      </c>
      <c r="B6774" s="5" t="s">
        <v>6782</v>
      </c>
      <c r="C6774" s="5">
        <v>102.4</v>
      </c>
      <c r="D6774" s="5">
        <v>0.1</v>
      </c>
      <c r="E6774" s="5">
        <v>102.6</v>
      </c>
      <c r="F6774" s="5">
        <v>203.8</v>
      </c>
      <c r="G6774" s="5">
        <v>101.7</v>
      </c>
      <c r="H6774" s="5">
        <v>101.6</v>
      </c>
      <c r="I6774" s="5">
        <v>0</v>
      </c>
      <c r="J6774" s="5">
        <v>0</v>
      </c>
      <c r="K6774" s="5">
        <v>0</v>
      </c>
    </row>
    <row r="6775" spans="1:11" x14ac:dyDescent="0.25">
      <c r="A6775" s="5">
        <f>6768</f>
      </c>
      <c r="B6775" s="5" t="s">
        <v>6783</v>
      </c>
      <c r="C6775" s="5">
        <v>101.9</v>
      </c>
      <c r="D6775" s="5">
        <v>0.1</v>
      </c>
      <c r="E6775" s="5">
        <v>102.1</v>
      </c>
      <c r="F6775" s="5">
        <v>203.7</v>
      </c>
      <c r="G6775" s="5">
        <v>101.6</v>
      </c>
      <c r="H6775" s="5">
        <v>101.5</v>
      </c>
      <c r="I6775" s="5">
        <v>0</v>
      </c>
      <c r="J6775" s="5">
        <v>0</v>
      </c>
      <c r="K6775" s="5">
        <v>0</v>
      </c>
    </row>
    <row r="6776" spans="1:11" x14ac:dyDescent="0.25">
      <c r="A6776" s="5">
        <f>6769</f>
      </c>
      <c r="B6776" s="5" t="s">
        <v>6784</v>
      </c>
      <c r="C6776" s="5">
        <v>101.9</v>
      </c>
      <c r="D6776" s="5">
        <v>0.1</v>
      </c>
      <c r="E6776" s="5">
        <v>102.1</v>
      </c>
      <c r="F6776" s="5">
        <v>203.7</v>
      </c>
      <c r="G6776" s="5">
        <v>101.6</v>
      </c>
      <c r="H6776" s="5">
        <v>101.5</v>
      </c>
      <c r="I6776" s="5">
        <v>0</v>
      </c>
      <c r="J6776" s="5">
        <v>0</v>
      </c>
      <c r="K6776" s="5">
        <v>0</v>
      </c>
    </row>
    <row r="6777" spans="1:11" x14ac:dyDescent="0.25">
      <c r="A6777" s="5">
        <f>6770</f>
      </c>
      <c r="B6777" s="5" t="s">
        <v>6785</v>
      </c>
      <c r="C6777" s="5">
        <v>102.1</v>
      </c>
      <c r="D6777" s="5">
        <v>0.1</v>
      </c>
      <c r="E6777" s="5">
        <v>102.2</v>
      </c>
      <c r="F6777" s="5">
        <v>204.3</v>
      </c>
      <c r="G6777" s="5">
        <v>101.9</v>
      </c>
      <c r="H6777" s="5">
        <v>101.8</v>
      </c>
      <c r="I6777" s="5">
        <v>0</v>
      </c>
      <c r="J6777" s="5">
        <v>0</v>
      </c>
      <c r="K6777" s="5">
        <v>0</v>
      </c>
    </row>
    <row r="6778" spans="1:11" x14ac:dyDescent="0.25">
      <c r="A6778" s="5">
        <f>6771</f>
      </c>
      <c r="B6778" s="5" t="s">
        <v>6786</v>
      </c>
      <c r="C6778" s="5">
        <v>102.1</v>
      </c>
      <c r="D6778" s="5">
        <v>0.1</v>
      </c>
      <c r="E6778" s="5">
        <v>102.2</v>
      </c>
      <c r="F6778" s="5">
        <v>204.3</v>
      </c>
      <c r="G6778" s="5">
        <v>101.9</v>
      </c>
      <c r="H6778" s="5">
        <v>101.8</v>
      </c>
      <c r="I6778" s="5">
        <v>0</v>
      </c>
      <c r="J6778" s="5">
        <v>0</v>
      </c>
      <c r="K6778" s="5">
        <v>0</v>
      </c>
    </row>
    <row r="6779" spans="1:11" x14ac:dyDescent="0.25">
      <c r="A6779" s="5">
        <f>6772</f>
      </c>
      <c r="B6779" s="5" t="s">
        <v>6787</v>
      </c>
      <c r="C6779" s="5">
        <v>102.1</v>
      </c>
      <c r="D6779" s="5">
        <v>0.1</v>
      </c>
      <c r="E6779" s="5">
        <v>102.2</v>
      </c>
      <c r="F6779" s="5">
        <v>204.3</v>
      </c>
      <c r="G6779" s="5">
        <v>101.9</v>
      </c>
      <c r="H6779" s="5">
        <v>101.8</v>
      </c>
      <c r="I6779" s="5">
        <v>0</v>
      </c>
      <c r="J6779" s="5">
        <v>0</v>
      </c>
      <c r="K6779" s="5">
        <v>0</v>
      </c>
    </row>
    <row r="6780" spans="1:11" x14ac:dyDescent="0.25">
      <c r="A6780" s="5">
        <f>6773</f>
      </c>
      <c r="B6780" s="5" t="s">
        <v>6788</v>
      </c>
      <c r="C6780" s="5">
        <v>102.1</v>
      </c>
      <c r="D6780" s="5">
        <v>0.1</v>
      </c>
      <c r="E6780" s="5">
        <v>102.2</v>
      </c>
      <c r="F6780" s="5">
        <v>204.3</v>
      </c>
      <c r="G6780" s="5">
        <v>101.9</v>
      </c>
      <c r="H6780" s="5">
        <v>101.8</v>
      </c>
      <c r="I6780" s="5">
        <v>0</v>
      </c>
      <c r="J6780" s="5">
        <v>0</v>
      </c>
      <c r="K6780" s="5">
        <v>0</v>
      </c>
    </row>
    <row r="6781" spans="1:11" x14ac:dyDescent="0.25">
      <c r="A6781" s="5">
        <f>6774</f>
      </c>
      <c r="B6781" s="5" t="s">
        <v>6789</v>
      </c>
      <c r="C6781" s="5">
        <v>101.8</v>
      </c>
      <c r="D6781" s="5">
        <v>0.1</v>
      </c>
      <c r="E6781" s="5">
        <v>101.9</v>
      </c>
      <c r="F6781" s="5">
        <v>203.1</v>
      </c>
      <c r="G6781" s="5">
        <v>101.4</v>
      </c>
      <c r="H6781" s="5">
        <v>101.2</v>
      </c>
      <c r="I6781" s="5">
        <v>0</v>
      </c>
      <c r="J6781" s="5">
        <v>0</v>
      </c>
      <c r="K6781" s="5">
        <v>0</v>
      </c>
    </row>
    <row r="6782" spans="1:11" x14ac:dyDescent="0.25">
      <c r="A6782" s="5">
        <f>6775</f>
      </c>
      <c r="B6782" s="5" t="s">
        <v>6790</v>
      </c>
      <c r="C6782" s="5">
        <v>101.8</v>
      </c>
      <c r="D6782" s="5">
        <v>0.1</v>
      </c>
      <c r="E6782" s="5">
        <v>101.9</v>
      </c>
      <c r="F6782" s="5">
        <v>203.1</v>
      </c>
      <c r="G6782" s="5">
        <v>101.4</v>
      </c>
      <c r="H6782" s="5">
        <v>101.2</v>
      </c>
      <c r="I6782" s="5">
        <v>0</v>
      </c>
      <c r="J6782" s="5">
        <v>0</v>
      </c>
      <c r="K6782" s="5">
        <v>0</v>
      </c>
    </row>
    <row r="6783" spans="1:11" x14ac:dyDescent="0.25">
      <c r="A6783" s="5">
        <f>6776</f>
      </c>
      <c r="B6783" s="5" t="s">
        <v>6791</v>
      </c>
      <c r="C6783" s="5">
        <v>101.9</v>
      </c>
      <c r="D6783" s="5">
        <v>0.1</v>
      </c>
      <c r="E6783" s="5">
        <v>102.1</v>
      </c>
      <c r="F6783" s="5">
        <v>203.8</v>
      </c>
      <c r="G6783" s="5">
        <v>101.7</v>
      </c>
      <c r="H6783" s="5">
        <v>101.6</v>
      </c>
      <c r="I6783" s="5">
        <v>0</v>
      </c>
      <c r="J6783" s="5">
        <v>0</v>
      </c>
      <c r="K6783" s="5">
        <v>0</v>
      </c>
    </row>
    <row r="6784" spans="1:11" x14ac:dyDescent="0.25">
      <c r="A6784" s="5">
        <f>6777</f>
      </c>
      <c r="B6784" s="5" t="s">
        <v>6792</v>
      </c>
      <c r="C6784" s="5">
        <v>101.9</v>
      </c>
      <c r="D6784" s="5">
        <v>0.1</v>
      </c>
      <c r="E6784" s="5">
        <v>102.1</v>
      </c>
      <c r="F6784" s="5">
        <v>203.8</v>
      </c>
      <c r="G6784" s="5">
        <v>101.7</v>
      </c>
      <c r="H6784" s="5">
        <v>101.6</v>
      </c>
      <c r="I6784" s="5">
        <v>0</v>
      </c>
      <c r="J6784" s="5">
        <v>0</v>
      </c>
      <c r="K6784" s="5">
        <v>0</v>
      </c>
    </row>
    <row r="6785" spans="1:11" x14ac:dyDescent="0.25">
      <c r="A6785" s="5">
        <f>6778</f>
      </c>
      <c r="B6785" s="5" t="s">
        <v>6793</v>
      </c>
      <c r="C6785" s="5">
        <v>102.4</v>
      </c>
      <c r="D6785" s="5">
        <v>0.1</v>
      </c>
      <c r="E6785" s="5">
        <v>102.4</v>
      </c>
      <c r="F6785" s="5">
        <v>204.5</v>
      </c>
      <c r="G6785" s="5">
        <v>102</v>
      </c>
      <c r="H6785" s="5">
        <v>101.9</v>
      </c>
      <c r="I6785" s="5">
        <v>0</v>
      </c>
      <c r="J6785" s="5">
        <v>0</v>
      </c>
      <c r="K6785" s="5">
        <v>0</v>
      </c>
    </row>
    <row r="6786" spans="1:11" x14ac:dyDescent="0.25">
      <c r="A6786" s="5">
        <f>6779</f>
      </c>
      <c r="B6786" s="5" t="s">
        <v>6794</v>
      </c>
      <c r="C6786" s="5">
        <v>102.4</v>
      </c>
      <c r="D6786" s="5">
        <v>0.1</v>
      </c>
      <c r="E6786" s="5">
        <v>102.4</v>
      </c>
      <c r="F6786" s="5">
        <v>204.5</v>
      </c>
      <c r="G6786" s="5">
        <v>102</v>
      </c>
      <c r="H6786" s="5">
        <v>101.9</v>
      </c>
      <c r="I6786" s="5">
        <v>0</v>
      </c>
      <c r="J6786" s="5">
        <v>0</v>
      </c>
      <c r="K6786" s="5">
        <v>0</v>
      </c>
    </row>
    <row r="6787" spans="1:11" x14ac:dyDescent="0.25">
      <c r="A6787" s="5">
        <f>6780</f>
      </c>
      <c r="B6787" s="5" t="s">
        <v>6795</v>
      </c>
      <c r="C6787" s="5">
        <v>101.5</v>
      </c>
      <c r="D6787" s="5">
        <v>0.1</v>
      </c>
      <c r="E6787" s="5">
        <v>101.6</v>
      </c>
      <c r="F6787" s="5">
        <v>202.9</v>
      </c>
      <c r="G6787" s="5">
        <v>101.2</v>
      </c>
      <c r="H6787" s="5">
        <v>101.1</v>
      </c>
      <c r="I6787" s="5">
        <v>0</v>
      </c>
      <c r="J6787" s="5">
        <v>0</v>
      </c>
      <c r="K6787" s="5">
        <v>0</v>
      </c>
    </row>
    <row r="6788" spans="1:11" x14ac:dyDescent="0.25">
      <c r="A6788" s="5">
        <f>6781</f>
      </c>
      <c r="B6788" s="5" t="s">
        <v>6796</v>
      </c>
      <c r="C6788" s="5">
        <v>101.5</v>
      </c>
      <c r="D6788" s="5">
        <v>0.1</v>
      </c>
      <c r="E6788" s="5">
        <v>101.6</v>
      </c>
      <c r="F6788" s="5">
        <v>202.9</v>
      </c>
      <c r="G6788" s="5">
        <v>101.2</v>
      </c>
      <c r="H6788" s="5">
        <v>101.1</v>
      </c>
      <c r="I6788" s="5">
        <v>0</v>
      </c>
      <c r="J6788" s="5">
        <v>0</v>
      </c>
      <c r="K6788" s="5">
        <v>0</v>
      </c>
    </row>
    <row r="6789" spans="1:11" x14ac:dyDescent="0.25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</row>
    <row r="6790" spans="8:8" x14ac:dyDescent="0.25">
      <c r="H6790" s="6" t="s">
        <v>6797</v>
      </c>
    </row>
    <row r="6791" spans="1:8" x14ac:dyDescent="0.25">
      <c r="A6791" s="7" t="s">
        <v>6798</v>
      </c>
      <c r="E6791" s="7" t="s">
        <v>6799</v>
      </c>
      <c r="H6791" s="7" t="s">
        <v>6800</v>
      </c>
    </row>
    <row r="6792" spans="1:8" x14ac:dyDescent="0.25">
      <c r="A6792" s="8" t="s">
        <v>6801</v>
      </c>
      <c r="E6792" s="8" t="s">
        <v>6801</v>
      </c>
      <c r="H6792" s="8" t="s">
        <v>6801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2023-05-23T08:54:47Z</dcterms:created>
  <dcterms:modified xsi:type="dcterms:W3CDTF">2023-05-23T08:54:47Z</dcterms:modified>
</cp:coreProperties>
</file>