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CSE 6329 Frailey\Assignments\Assign 2\"/>
    </mc:Choice>
  </mc:AlternateContent>
  <bookViews>
    <workbookView xWindow="0" yWindow="0" windowWidth="15345" windowHeight="4455" tabRatio="793" firstSheet="5" activeTab="8" xr2:uid="{00000000-000D-0000-FFFF-FFFF00000000}"/>
  </bookViews>
  <sheets>
    <sheet name="a4data" sheetId="1" r:id="rId1"/>
    <sheet name="Post Release Quality ZD" sheetId="3" r:id="rId2"/>
    <sheet name="Post-release Quality Average" sheetId="4" r:id="rId3"/>
    <sheet name="PRQ Avg Normalised by size" sheetId="5" r:id="rId4"/>
    <sheet name="PRQ by Development Process" sheetId="6" r:id="rId5"/>
    <sheet name="PQR by Programming Language" sheetId="10" r:id="rId6"/>
    <sheet name="PQR by Dev process &amp; Prog Lang" sheetId="8" r:id="rId7"/>
    <sheet name="PRQ History by Quarter" sheetId="11" r:id="rId8"/>
    <sheet name="PRQ History by Year" sheetId="12" r:id="rId9"/>
  </sheets>
  <externalReferences>
    <externalReference r:id="rId10"/>
  </externalReferences>
  <calcPr calcId="171027" concurrentCalc="0"/>
  <fileRecoveryPr autoRecover="0"/>
</workbook>
</file>

<file path=xl/calcChain.xml><?xml version="1.0" encoding="utf-8"?>
<calcChain xmlns="http://schemas.openxmlformats.org/spreadsheetml/2006/main">
  <c r="E17" i="12" l="1"/>
  <c r="D17" i="12"/>
  <c r="C17" i="12"/>
  <c r="R14" i="11"/>
  <c r="L14" i="11"/>
  <c r="F14" i="11"/>
  <c r="R11" i="11"/>
  <c r="L11" i="11"/>
  <c r="F11" i="11"/>
  <c r="R8" i="11"/>
  <c r="L8" i="11"/>
  <c r="F8" i="11"/>
  <c r="R5" i="11"/>
  <c r="L5" i="11"/>
  <c r="F5" i="11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D53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D40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D26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D13" i="8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D3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D19" i="6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5" i="5"/>
  <c r="D6" i="5"/>
  <c r="D7" i="5"/>
  <c r="D8" i="5"/>
  <c r="D9" i="5"/>
  <c r="D10" i="5"/>
  <c r="D11" i="5"/>
  <c r="D12" i="5"/>
  <c r="D13" i="5"/>
  <c r="D14" i="5"/>
  <c r="D4" i="5"/>
  <c r="D34" i="5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D33" i="4"/>
  <c r="E33" i="4"/>
  <c r="F33" i="4"/>
  <c r="G33" i="4"/>
  <c r="H33" i="4"/>
  <c r="I33" i="4"/>
  <c r="J33" i="4"/>
  <c r="C33" i="4"/>
  <c r="D8" i="3"/>
  <c r="E8" i="3"/>
  <c r="D9" i="3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5" i="1"/>
  <c r="H4" i="1"/>
  <c r="E9" i="3"/>
  <c r="D10" i="3"/>
  <c r="C63" i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  <c r="C5" i="1"/>
  <c r="C64" i="1"/>
  <c r="C62" i="1"/>
  <c r="C60" i="1"/>
  <c r="C58" i="1"/>
  <c r="C56" i="1"/>
  <c r="C54" i="1"/>
  <c r="C52" i="1"/>
  <c r="C5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  <c r="D11" i="3"/>
  <c r="E10" i="3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E11" i="3"/>
  <c r="D12" i="3"/>
  <c r="D13" i="3"/>
  <c r="E12" i="3"/>
  <c r="E13" i="3"/>
  <c r="D14" i="3"/>
  <c r="E14" i="3"/>
  <c r="D15" i="3"/>
  <c r="E15" i="3"/>
  <c r="D16" i="3"/>
  <c r="D17" i="3"/>
  <c r="E16" i="3"/>
  <c r="E17" i="3"/>
  <c r="D18" i="3"/>
  <c r="D19" i="3"/>
  <c r="E19" i="3"/>
  <c r="E18" i="3"/>
</calcChain>
</file>

<file path=xl/sharedStrings.xml><?xml version="1.0" encoding="utf-8"?>
<sst xmlns="http://schemas.openxmlformats.org/spreadsheetml/2006/main" count="584" uniqueCount="84">
  <si>
    <t>New</t>
  </si>
  <si>
    <t>Rel Date</t>
  </si>
  <si>
    <t>Product</t>
  </si>
  <si>
    <t>Size</t>
  </si>
  <si>
    <t>Corr</t>
  </si>
  <si>
    <t>A</t>
  </si>
  <si>
    <t>N</t>
  </si>
  <si>
    <t>C</t>
  </si>
  <si>
    <t>B</t>
  </si>
  <si>
    <t>D</t>
  </si>
  <si>
    <t>E</t>
  </si>
  <si>
    <t>F</t>
  </si>
  <si>
    <t>G</t>
  </si>
  <si>
    <t>H</t>
  </si>
  <si>
    <t>CSE 6329 - assignment 2 -- DATA spreadsheet</t>
  </si>
  <si>
    <t>I</t>
  </si>
  <si>
    <t>J</t>
  </si>
  <si>
    <t>Fall</t>
  </si>
  <si>
    <t>Language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</si>
  <si>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</si>
  <si>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</si>
  <si>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</si>
  <si>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</si>
  <si>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</si>
  <si>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</si>
  <si>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</si>
  <si>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</si>
  <si>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</si>
  <si>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</si>
  <si>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</si>
  <si>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</si>
  <si>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</si>
  <si>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</si>
  <si>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</si>
  <si>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ZA</t>
  </si>
  <si>
    <t>ZB</t>
  </si>
  <si>
    <t>ZC</t>
  </si>
  <si>
    <t>ZD</t>
  </si>
  <si>
    <t>Tot Def</t>
  </si>
  <si>
    <t>Method</t>
  </si>
  <si>
    <t>Scrum</t>
  </si>
  <si>
    <t>Extreme</t>
  </si>
  <si>
    <t>Ruby</t>
  </si>
  <si>
    <t>Java</t>
  </si>
  <si>
    <t>Months</t>
  </si>
  <si>
    <t>New Defects</t>
  </si>
  <si>
    <t>Corrected Defects</t>
  </si>
  <si>
    <t>Total defects</t>
  </si>
  <si>
    <t>Average</t>
  </si>
  <si>
    <t>Average total defects</t>
  </si>
  <si>
    <t>Average total uncorrected defectes</t>
  </si>
  <si>
    <t>Total Defects</t>
  </si>
  <si>
    <t>Total Uncorrected Defects</t>
  </si>
  <si>
    <t>Product\Months</t>
  </si>
  <si>
    <t>Extream Programming</t>
  </si>
  <si>
    <t>SCRUM programming</t>
  </si>
  <si>
    <t>SCRUM Programming</t>
  </si>
  <si>
    <t>Java Extream Programming</t>
  </si>
  <si>
    <t>Total uncorreted defects</t>
  </si>
  <si>
    <t xml:space="preserve">Ruby </t>
  </si>
  <si>
    <t>Java Scrum Programming</t>
  </si>
  <si>
    <t>Ruby Extreme Programming</t>
  </si>
  <si>
    <t>Ruby Scrum Programming</t>
  </si>
  <si>
    <t xml:space="preserve">Extreme </t>
  </si>
  <si>
    <t>Q1- 2015</t>
  </si>
  <si>
    <t>Q5- 2016</t>
  </si>
  <si>
    <t>Q9- 2017</t>
  </si>
  <si>
    <t>Q2- 2015</t>
  </si>
  <si>
    <t>Q6- 2016</t>
  </si>
  <si>
    <t>Q10- 2017</t>
  </si>
  <si>
    <t>Q3- 2015</t>
  </si>
  <si>
    <t>Q7- 2016</t>
  </si>
  <si>
    <t>Q11- 2017</t>
  </si>
  <si>
    <t>Q4- 2015</t>
  </si>
  <si>
    <t>Q8- 2016</t>
  </si>
  <si>
    <t>Q12- 2017</t>
  </si>
  <si>
    <t>Quarter</t>
  </si>
  <si>
    <t>Worst Case</t>
  </si>
  <si>
    <t>Best Case</t>
  </si>
  <si>
    <t>Year</t>
  </si>
  <si>
    <t>Products</t>
  </si>
  <si>
    <t>A - J</t>
  </si>
  <si>
    <t>K - T</t>
  </si>
  <si>
    <t>U - 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</si>
</sst>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\ ;\(&quot;$&quot;#,##0\)"/>
  </numFmts>
  <fonts count="18" x14ac:knownFonts="1">
    <font>
      <sz val="10"/>
      <color indexed="22"/>
      <name val="Arial"/>
    </font>
    <font>
      <b/>
      <sz val="18"/>
      <color indexed="22"/>
      <name val="Arial"/>
    </font>
    <font>
      <b/>
      <sz val="12"/>
      <color indexed="22"/>
      <name val="Arial"/>
    </font>
    <font>
      <sz val="10"/>
      <color indexed="8"/>
      <name val="Arial"/>
    </font>
    <font>
      <sz val="10"/>
      <color indexed="22"/>
      <name val="Arial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8"/>
      <color indexed="22"/>
      <name val="Arial"/>
      <family val="2"/>
    </font>
    <font>
      <b/>
      <sz val="12"/>
      <color indexed="2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indexed="22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ont="0" applyFill="0" applyAlignment="0" applyProtection="0"/>
    <xf numFmtId="0" fontId="4" fillId="0" borderId="0"/>
    <xf numFmtId="0" fontId="8" fillId="0" borderId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1" applyNumberFormat="0" applyFont="0" applyFill="0" applyAlignment="0" applyProtection="0"/>
  </cellStyleXfs>
  <cellXfs count="144">
    <xf numFmtId="0" fontId="0" fillId="0" borderId="0" xfId="0"/>
    <xf numFmtId="0" fontId="3" fillId="0" borderId="0" xfId="0" applyFont="1"/>
    <xf numFmtId="0" fontId="3" fillId="0" borderId="2" xfId="0" applyFont="1" applyBorder="1"/>
    <xf numFmtId="17" fontId="3" fillId="0" borderId="4" xfId="0" applyNumberFormat="1" applyFont="1" applyBorder="1"/>
    <xf numFmtId="17" fontId="3" fillId="0" borderId="3" xfId="0" applyNumberFormat="1" applyFont="1" applyBorder="1"/>
    <xf numFmtId="15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5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5" fontId="3" fillId="0" borderId="3" xfId="8" applyNumberFormat="1" applyFont="1" applyBorder="1" applyAlignment="1">
      <alignment horizontal="center" vertical="center"/>
    </xf>
    <xf numFmtId="0" fontId="3" fillId="0" borderId="3" xfId="8" applyFont="1" applyBorder="1" applyAlignment="1">
      <alignment horizontal="center" vertical="center"/>
    </xf>
    <xf numFmtId="0" fontId="6" fillId="0" borderId="3" xfId="8" applyFont="1" applyBorder="1" applyAlignment="1">
      <alignment horizontal="center" vertical="center"/>
    </xf>
    <xf numFmtId="17" fontId="3" fillId="0" borderId="3" xfId="8" applyNumberFormat="1" applyFont="1" applyBorder="1"/>
    <xf numFmtId="15" fontId="3" fillId="0" borderId="0" xfId="8" applyNumberFormat="1" applyFont="1"/>
    <xf numFmtId="0" fontId="6" fillId="0" borderId="0" xfId="8" applyFont="1" applyAlignment="1">
      <alignment horizontal="center"/>
    </xf>
    <xf numFmtId="0" fontId="3" fillId="0" borderId="0" xfId="8" applyFont="1" applyAlignment="1">
      <alignment horizontal="center"/>
    </xf>
    <xf numFmtId="0" fontId="3" fillId="0" borderId="0" xfId="8" applyFont="1"/>
    <xf numFmtId="0" fontId="3" fillId="0" borderId="6" xfId="8" applyFont="1" applyBorder="1" applyAlignment="1">
      <alignment horizontal="center"/>
    </xf>
    <xf numFmtId="0" fontId="7" fillId="0" borderId="0" xfId="0" applyFont="1"/>
    <xf numFmtId="0" fontId="7" fillId="0" borderId="0" xfId="8" applyFont="1"/>
    <xf numFmtId="0" fontId="7" fillId="0" borderId="0" xfId="0" applyNumberFormat="1" applyFont="1" applyBorder="1"/>
    <xf numFmtId="0" fontId="7" fillId="0" borderId="0" xfId="9" applyFont="1" applyBorder="1" applyAlignment="1">
      <alignment horizontal="center" vertical="center"/>
    </xf>
    <xf numFmtId="0" fontId="7" fillId="0" borderId="11" xfId="9" applyFont="1" applyBorder="1" applyAlignment="1">
      <alignment horizontal="center" vertical="center"/>
    </xf>
    <xf numFmtId="0" fontId="7" fillId="0" borderId="15" xfId="9" applyFont="1" applyBorder="1" applyAlignment="1">
      <alignment horizontal="center" vertical="center"/>
    </xf>
    <xf numFmtId="0" fontId="7" fillId="0" borderId="7" xfId="0" applyNumberFormat="1" applyFont="1" applyBorder="1"/>
    <xf numFmtId="0" fontId="7" fillId="2" borderId="7" xfId="0" applyNumberFormat="1" applyFont="1" applyFill="1" applyBorder="1"/>
    <xf numFmtId="0" fontId="7" fillId="0" borderId="9" xfId="9" applyFont="1" applyBorder="1" applyAlignment="1">
      <alignment horizontal="center" vertical="center"/>
    </xf>
    <xf numFmtId="0" fontId="7" fillId="0" borderId="13" xfId="9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 wrapText="1"/>
    </xf>
    <xf numFmtId="0" fontId="7" fillId="2" borderId="7" xfId="0" applyNumberFormat="1" applyFont="1" applyFill="1" applyBorder="1" applyAlignment="1">
      <alignment horizontal="center" vertical="center" wrapText="1"/>
    </xf>
    <xf numFmtId="0" fontId="7" fillId="2" borderId="7" xfId="0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12" xfId="0" applyFont="1" applyBorder="1"/>
    <xf numFmtId="0" fontId="7" fillId="2" borderId="8" xfId="0" applyNumberFormat="1" applyFont="1" applyFill="1" applyBorder="1" applyAlignment="1">
      <alignment horizontal="center" vertical="center" wrapText="1"/>
    </xf>
    <xf numFmtId="0" fontId="7" fillId="0" borderId="10" xfId="9" applyFont="1" applyBorder="1" applyAlignment="1">
      <alignment horizontal="center" vertical="center"/>
    </xf>
    <xf numFmtId="0" fontId="7" fillId="0" borderId="14" xfId="9" applyFont="1" applyBorder="1" applyAlignment="1">
      <alignment horizontal="center" vertical="center"/>
    </xf>
    <xf numFmtId="0" fontId="7" fillId="2" borderId="8" xfId="0" applyNumberFormat="1" applyFont="1" applyFill="1" applyBorder="1"/>
    <xf numFmtId="0" fontId="3" fillId="0" borderId="10" xfId="0" applyFont="1" applyBorder="1"/>
    <xf numFmtId="0" fontId="0" fillId="0" borderId="7" xfId="0" applyBorder="1"/>
    <xf numFmtId="0" fontId="7" fillId="0" borderId="7" xfId="0" applyFont="1" applyBorder="1"/>
    <xf numFmtId="0" fontId="11" fillId="0" borderId="0" xfId="0" applyFont="1"/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/>
    </xf>
    <xf numFmtId="0" fontId="11" fillId="2" borderId="19" xfId="0" applyFont="1" applyFill="1" applyBorder="1"/>
    <xf numFmtId="0" fontId="11" fillId="0" borderId="0" xfId="0" applyFont="1" applyBorder="1"/>
    <xf numFmtId="0" fontId="11" fillId="0" borderId="9" xfId="0" applyFont="1" applyBorder="1"/>
    <xf numFmtId="0" fontId="11" fillId="0" borderId="15" xfId="0" applyFont="1" applyBorder="1"/>
    <xf numFmtId="0" fontId="11" fillId="2" borderId="7" xfId="0" applyFont="1" applyFill="1" applyBorder="1"/>
    <xf numFmtId="0" fontId="11" fillId="2" borderId="8" xfId="0" applyFont="1" applyFill="1" applyBorder="1"/>
    <xf numFmtId="0" fontId="11" fillId="0" borderId="7" xfId="0" applyFont="1" applyBorder="1"/>
    <xf numFmtId="0" fontId="11" fillId="0" borderId="18" xfId="0" applyFont="1" applyBorder="1"/>
    <xf numFmtId="0" fontId="11" fillId="0" borderId="0" xfId="0" applyFont="1" applyFill="1" applyBorder="1"/>
    <xf numFmtId="0" fontId="11" fillId="2" borderId="18" xfId="0" applyFont="1" applyFill="1" applyBorder="1" applyAlignment="1">
      <alignment horizontal="center" vertical="center"/>
    </xf>
    <xf numFmtId="0" fontId="11" fillId="2" borderId="8" xfId="0" applyNumberFormat="1" applyFont="1" applyFill="1" applyBorder="1" applyAlignment="1">
      <alignment horizontal="center" vertical="center" wrapText="1"/>
    </xf>
    <xf numFmtId="0" fontId="11" fillId="2" borderId="7" xfId="0" applyNumberFormat="1" applyFont="1" applyFill="1" applyBorder="1"/>
    <xf numFmtId="0" fontId="11" fillId="0" borderId="10" xfId="0" applyFont="1" applyBorder="1"/>
    <xf numFmtId="0" fontId="11" fillId="0" borderId="14" xfId="0" applyFont="1" applyBorder="1"/>
    <xf numFmtId="0" fontId="11" fillId="0" borderId="11" xfId="0" applyFont="1" applyBorder="1"/>
    <xf numFmtId="0" fontId="11" fillId="0" borderId="16" xfId="0" applyFont="1" applyBorder="1"/>
    <xf numFmtId="0" fontId="11" fillId="0" borderId="13" xfId="0" applyFont="1" applyBorder="1"/>
    <xf numFmtId="0" fontId="11" fillId="0" borderId="17" xfId="0" applyFont="1" applyBorder="1"/>
    <xf numFmtId="0" fontId="7" fillId="0" borderId="10" xfId="0" applyFont="1" applyBorder="1"/>
    <xf numFmtId="0" fontId="7" fillId="0" borderId="14" xfId="0" applyFont="1" applyBorder="1"/>
    <xf numFmtId="0" fontId="7" fillId="0" borderId="9" xfId="0" applyFont="1" applyBorder="1"/>
    <xf numFmtId="0" fontId="7" fillId="0" borderId="11" xfId="0" applyFont="1" applyBorder="1"/>
    <xf numFmtId="0" fontId="7" fillId="0" borderId="0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3" xfId="0" applyFont="1" applyBorder="1"/>
    <xf numFmtId="0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/>
    <xf numFmtId="0" fontId="0" fillId="0" borderId="0" xfId="0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7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7" fillId="2" borderId="19" xfId="0" applyFont="1" applyFill="1" applyBorder="1"/>
    <xf numFmtId="0" fontId="12" fillId="6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7" xfId="0" applyFont="1" applyFill="1" applyBorder="1"/>
    <xf numFmtId="0" fontId="12" fillId="5" borderId="12" xfId="0" applyFont="1" applyFill="1" applyBorder="1"/>
    <xf numFmtId="0" fontId="7" fillId="6" borderId="7" xfId="0" applyFont="1" applyFill="1" applyBorder="1"/>
    <xf numFmtId="0" fontId="12" fillId="0" borderId="7" xfId="0" applyFont="1" applyBorder="1" applyAlignment="1">
      <alignment vertical="center"/>
    </xf>
    <xf numFmtId="0" fontId="12" fillId="5" borderId="7" xfId="0" applyFont="1" applyFill="1" applyBorder="1"/>
    <xf numFmtId="0" fontId="7" fillId="4" borderId="7" xfId="0" applyFont="1" applyFill="1" applyBorder="1"/>
    <xf numFmtId="0" fontId="13" fillId="0" borderId="7" xfId="0" applyFont="1" applyBorder="1" applyAlignment="1">
      <alignment vertical="center"/>
    </xf>
    <xf numFmtId="0" fontId="12" fillId="4" borderId="12" xfId="0" applyFont="1" applyFill="1" applyBorder="1"/>
    <xf numFmtId="0" fontId="12" fillId="0" borderId="0" xfId="0" applyFont="1" applyBorder="1" applyAlignment="1">
      <alignment vertical="center"/>
    </xf>
    <xf numFmtId="0" fontId="7" fillId="2" borderId="7" xfId="0" applyNumberFormat="1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2" borderId="20" xfId="0" applyNumberFormat="1" applyFont="1" applyFill="1" applyBorder="1" applyAlignment="1">
      <alignment horizontal="center" vertical="center" wrapText="1"/>
    </xf>
    <xf numFmtId="0" fontId="11" fillId="2" borderId="19" xfId="0" applyNumberFormat="1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/>
    </xf>
    <xf numFmtId="0" fontId="7" fillId="2" borderId="7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wrapText="1"/>
    </xf>
    <xf numFmtId="0" fontId="14" fillId="0" borderId="0" xfId="0" applyFont="1"/>
    <xf numFmtId="0" fontId="15" fillId="0" borderId="0" xfId="0" applyFont="1" applyBorder="1" applyAlignment="1">
      <alignment vertical="center"/>
    </xf>
    <xf numFmtId="0" fontId="15" fillId="0" borderId="7" xfId="0" applyFont="1" applyBorder="1"/>
    <xf numFmtId="0" fontId="15" fillId="0" borderId="7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textRotation="90"/>
    </xf>
    <xf numFmtId="0" fontId="17" fillId="0" borderId="7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5" fillId="0" borderId="7" xfId="0" applyFont="1" applyFill="1" applyBorder="1"/>
    <xf numFmtId="0" fontId="15" fillId="6" borderId="7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</cellXfs>
  <cellStyles count="17">
    <cellStyle name="Comma0" xfId="1" xr:uid="{00000000-0005-0000-0000-000000000000}"/>
    <cellStyle name="Comma0 2" xfId="10" xr:uid="{00000000-0005-0000-0000-000000000000}"/>
    <cellStyle name="Currency0" xfId="2" xr:uid="{00000000-0005-0000-0000-000001000000}"/>
    <cellStyle name="Currency0 2" xfId="11" xr:uid="{00000000-0005-0000-0000-000001000000}"/>
    <cellStyle name="Date" xfId="3" xr:uid="{00000000-0005-0000-0000-000002000000}"/>
    <cellStyle name="Date 2" xfId="12" xr:uid="{00000000-0005-0000-0000-000002000000}"/>
    <cellStyle name="Fixed" xfId="4" xr:uid="{00000000-0005-0000-0000-000003000000}"/>
    <cellStyle name="Fixed 2" xfId="13" xr:uid="{00000000-0005-0000-0000-000003000000}"/>
    <cellStyle name="Heading 1" xfId="5" builtinId="16" customBuiltin="1"/>
    <cellStyle name="Heading 1 2" xfId="14" xr:uid="{00000000-0005-0000-0000-000038000000}"/>
    <cellStyle name="Heading 2" xfId="6" builtinId="17" customBuiltin="1"/>
    <cellStyle name="Heading 2 2" xfId="15" xr:uid="{00000000-0005-0000-0000-000039000000}"/>
    <cellStyle name="Normal" xfId="0" builtinId="0"/>
    <cellStyle name="Normal 2" xfId="8" xr:uid="{AC785CED-9C8C-4A5B-B7BF-D054C1BF3A3D}"/>
    <cellStyle name="Normal 3" xfId="9" xr:uid="{00000000-0005-0000-0000-00003A000000}"/>
    <cellStyle name="Total" xfId="7" builtinId="25" customBuiltin="1"/>
    <cellStyle name="Total 2" xfId="16" xr:uid="{00000000-0005-0000-0000-00003B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67CDB2-325E-4FE1-B9B9-4FEAE89731E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Release quality for product ZD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[1]Sheet1!#REF!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[1]Sheet1!#REF!</c:f>
              <c:numCache>
                <c:formatCode>General</c:formatCode>
                <c:ptCount val="13"/>
                <c:pt idx="0">
                  <c:v>63</c:v>
                </c:pt>
                <c:pt idx="1">
                  <c:v>78</c:v>
                </c:pt>
                <c:pt idx="2">
                  <c:v>91</c:v>
                </c:pt>
                <c:pt idx="3">
                  <c:v>105</c:v>
                </c:pt>
                <c:pt idx="4">
                  <c:v>113</c:v>
                </c:pt>
                <c:pt idx="5">
                  <c:v>119</c:v>
                </c:pt>
                <c:pt idx="6">
                  <c:v>121</c:v>
                </c:pt>
                <c:pt idx="7">
                  <c:v>122</c:v>
                </c:pt>
                <c:pt idx="8">
                  <c:v>123</c:v>
                </c:pt>
                <c:pt idx="9">
                  <c:v>123</c:v>
                </c:pt>
                <c:pt idx="10">
                  <c:v>124</c:v>
                </c:pt>
                <c:pt idx="11">
                  <c:v>126</c:v>
                </c:pt>
                <c:pt idx="12">
                  <c:v>126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70C-4B4A-BE6F-C884A2994C70}"/>
            </c:ext>
          </c:extLst>
        </c:ser>
        <c:ser>
          <c:idx val="1"/>
          <c:order val="1"/>
          <c:tx>
            <c:strRef>
              <c:f>'Post Release Quality ZD'!$E$6</c:f>
              <c:strCache>
                <c:ptCount val="1"/>
                <c:pt idx="0">
                  <c:v>Total uncorreted defects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[1]Sheet1!#REF!</c:f>
              <c:numCache>
                <c:formatCode>General</c:formatCode>
                <c:ptCount val="13"/>
                <c:pt idx="0">
                  <c:v>63</c:v>
                </c:pt>
                <c:pt idx="1">
                  <c:v>72</c:v>
                </c:pt>
                <c:pt idx="2">
                  <c:v>77</c:v>
                </c:pt>
                <c:pt idx="3">
                  <c:v>84</c:v>
                </c:pt>
                <c:pt idx="4">
                  <c:v>85</c:v>
                </c:pt>
                <c:pt idx="5">
                  <c:v>85</c:v>
                </c:pt>
                <c:pt idx="6">
                  <c:v>82</c:v>
                </c:pt>
                <c:pt idx="7">
                  <c:v>73</c:v>
                </c:pt>
                <c:pt idx="8">
                  <c:v>62</c:v>
                </c:pt>
                <c:pt idx="9">
                  <c:v>47</c:v>
                </c:pt>
                <c:pt idx="10">
                  <c:v>32</c:v>
                </c:pt>
                <c:pt idx="11">
                  <c:v>55</c:v>
                </c:pt>
                <c:pt idx="12">
                  <c:v>27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70C-4B4A-BE6F-C884A299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955456"/>
        <c:axId val="520959720"/>
      </c:lineChart>
      <c:catAx>
        <c:axId val="5209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59720"/>
        <c:crosses val="autoZero"/>
        <c:auto val="1"/>
        <c:lblAlgn val="ctr"/>
        <c:lblOffset val="100"/>
        <c:noMultiLvlLbl val="0"/>
      </c:catAx>
      <c:valAx>
        <c:axId val="52095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12BF07B7-CECC-457D-90D0-4EC4A377A18A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Post-release Quality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'Post-release Quality Average'!$C$37</c:f>
              <c:strCache>
                <c:ptCount val="1"/>
                <c:pt idx="0">
                  <c:v>Average total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'Post-release Quality Average'!$B$38:$B$50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'Post-release Quality Average'!$C$38:$C$50</c:f>
              <c:numCache>
                <c:formatCode>General</c:formatCode>
                <c:ptCount val="13"/>
                <c:pt idx="0">
                  <c:v>40.9</c:v>
                </c:pt>
                <c:pt idx="1">
                  <c:v>46.4</c:v>
                </c:pt>
                <c:pt idx="2">
                  <c:v>53.966666666666669</c:v>
                </c:pt>
                <c:pt idx="3">
                  <c:v>58.1</c:v>
                </c:pt>
                <c:pt idx="4">
                  <c:v>63.1</c:v>
                </c:pt>
                <c:pt idx="5">
                  <c:v>66.166666666666671</c:v>
                </c:pt>
                <c:pt idx="6">
                  <c:v>68.3</c:v>
                </c:pt>
                <c:pt idx="7">
                  <c:v>70.63333333333334</c:v>
                </c:pt>
                <c:pt idx="8">
                  <c:v>71.400000000000006</c:v>
                </c:pt>
                <c:pt idx="9">
                  <c:v>71.400000000000006</c:v>
                </c:pt>
                <c:pt idx="10">
                  <c:v>72.333333333333329</c:v>
                </c:pt>
                <c:pt idx="11">
                  <c:v>72.599999999999994</c:v>
                </c:pt>
                <c:pt idx="12">
                  <c:v>72.933333333333337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9-4C7C-AF87-C35CC8C36DBC}"/>
            </c:ext>
          </c:extLst>
        </c:ser>
        <c:ser>
          <c:idx val="1"/>
          <c:order val="1"/>
          <c:tx>
            <c:strRef>
              <c:f>'Post-release Quality Average'!$D$37</c:f>
              <c:strCache>
                <c:ptCount val="1"/>
                <c:pt idx="0">
                  <c:v>Average total uncorrected defectes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'Post-release Quality Average'!$B$38:$B$50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'Post-release Quality Average'!$D$38:$D$50</c:f>
              <c:numCache>
                <c:formatCode>General</c:formatCode>
                <c:ptCount val="13"/>
                <c:pt idx="0">
                  <c:v>40.9</c:v>
                </c:pt>
                <c:pt idx="1">
                  <c:v>40.233333333333334</c:v>
                </c:pt>
                <c:pt idx="2">
                  <c:v>40.733333333333334</c:v>
                </c:pt>
                <c:pt idx="3">
                  <c:v>40.466666666666669</c:v>
                </c:pt>
                <c:pt idx="4">
                  <c:v>38.133333333333333</c:v>
                </c:pt>
                <c:pt idx="5">
                  <c:v>35.766666666666666</c:v>
                </c:pt>
                <c:pt idx="6">
                  <c:v>32.56666666666667</c:v>
                </c:pt>
                <c:pt idx="7">
                  <c:v>27.166666666666668</c:v>
                </c:pt>
                <c:pt idx="8">
                  <c:v>18.899999999999999</c:v>
                </c:pt>
                <c:pt idx="9">
                  <c:v>13.933333333333334</c:v>
                </c:pt>
                <c:pt idx="10">
                  <c:v>10.033333333333333</c:v>
                </c:pt>
                <c:pt idx="11">
                  <c:v>7.333333333333333</c:v>
                </c:pt>
                <c:pt idx="12">
                  <c:v>7.4666666666666668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9-4C7C-AF87-C35CC8C36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35096"/>
        <c:axId val="522038048"/>
      </c:lineChart>
      <c:catAx>
        <c:axId val="52203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38048"/>
        <c:crosses val="autoZero"/>
        <c:auto val="1"/>
        <c:lblAlgn val="ctr"/>
        <c:lblOffset val="100"/>
        <c:noMultiLvlLbl val="0"/>
      </c:catAx>
      <c:valAx>
        <c:axId val="52203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3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12BF07B7-CECC-457D-90D0-4EC4A377A18A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PRQ Avg Normalised by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'PRQ Avg Normalised by size'!$C$38</c:f>
              <c:strCache>
                <c:ptCount val="1"/>
                <c:pt idx="0">
                  <c:v>Average total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'PRQ Avg Normalised by size'!$B$39:$B$51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'PRQ Avg Normalised by size'!$C$39:$C$51</c:f>
              <c:numCache>
                <c:formatCode>General</c:formatCode>
                <c:ptCount val="13"/>
                <c:pt idx="0">
                  <c:v>8.8205902296583751</c:v>
                </c:pt>
                <c:pt idx="1">
                  <c:v>9.934042247332318</c:v>
                </c:pt>
                <c:pt idx="2">
                  <c:v>11.514150700350427</c:v>
                </c:pt>
                <c:pt idx="3">
                  <c:v>12.371805246784637</c:v>
                </c:pt>
                <c:pt idx="4">
                  <c:v>13.391644894957357</c:v>
                </c:pt>
                <c:pt idx="5">
                  <c:v>14.068306559583075</c:v>
                </c:pt>
                <c:pt idx="6">
                  <c:v>14.523827369922127</c:v>
                </c:pt>
                <c:pt idx="7">
                  <c:v>15.037067136653622</c:v>
                </c:pt>
                <c:pt idx="8">
                  <c:v>15.20162203734608</c:v>
                </c:pt>
                <c:pt idx="9">
                  <c:v>15.20162203734608</c:v>
                </c:pt>
                <c:pt idx="10">
                  <c:v>15.402152105862715</c:v>
                </c:pt>
                <c:pt idx="11">
                  <c:v>15.451289592437877</c:v>
                </c:pt>
                <c:pt idx="12">
                  <c:v>15.536354729600211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0-4B04-A9B5-FD60BCD42DFF}"/>
            </c:ext>
          </c:extLst>
        </c:ser>
        <c:ser>
          <c:idx val="1"/>
          <c:order val="1"/>
          <c:tx>
            <c:strRef>
              <c:f>'PRQ Avg Normalised by size'!$D$38</c:f>
              <c:strCache>
                <c:ptCount val="1"/>
                <c:pt idx="0">
                  <c:v>Average total uncorrected defectes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'PRQ Avg Normalised by size'!$B$39:$B$51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'PRQ Avg Normalised by size'!$D$39:$D$51</c:f>
              <c:numCache>
                <c:formatCode>General</c:formatCode>
                <c:ptCount val="13"/>
                <c:pt idx="0">
                  <c:v>8.8205902296583751</c:v>
                </c:pt>
                <c:pt idx="1">
                  <c:v>8.6018040205062611</c:v>
                </c:pt>
                <c:pt idx="2">
                  <c:v>8.6861663269056439</c:v>
                </c:pt>
                <c:pt idx="3">
                  <c:v>8.5851844447199461</c:v>
                </c:pt>
                <c:pt idx="4">
                  <c:v>8.0567062409946057</c:v>
                </c:pt>
                <c:pt idx="5">
                  <c:v>7.5967525116583827</c:v>
                </c:pt>
                <c:pt idx="6">
                  <c:v>6.8868996284183419</c:v>
                </c:pt>
                <c:pt idx="7">
                  <c:v>5.7043453116234426</c:v>
                </c:pt>
                <c:pt idx="8">
                  <c:v>3.9222143526526239</c:v>
                </c:pt>
                <c:pt idx="9">
                  <c:v>2.8627924769764705</c:v>
                </c:pt>
                <c:pt idx="10">
                  <c:v>2.0108886433057021</c:v>
                </c:pt>
                <c:pt idx="11">
                  <c:v>1.4205901118667519</c:v>
                </c:pt>
                <c:pt idx="12">
                  <c:v>1.4594412670972174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0-4B04-A9B5-FD60BCD4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21384"/>
        <c:axId val="511617448"/>
      </c:lineChart>
      <c:catAx>
        <c:axId val="51162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17448"/>
        <c:crosses val="autoZero"/>
        <c:auto val="1"/>
        <c:lblAlgn val="ctr"/>
        <c:lblOffset val="100"/>
        <c:noMultiLvlLbl val="0"/>
      </c:catAx>
      <c:valAx>
        <c:axId val="51161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12BF07B7-CECC-457D-90D0-4EC4A377A18A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PRQ by Development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'PRQ by Development Process'!$C$43:$C$44</c:f>
              <c:strCache>
                <c:ptCount val="2"/>
                <c:pt idx="0">
                  <c:v>Extream Programming</c:v>
                </c:pt>
                <c:pt idx="1">
                  <c:v>Average total defects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'PRQ by Development Process'!$C$45:$C$57</c:f>
              <c:numCache>
                <c:formatCode>General</c:formatCode>
                <c:ptCount val="13"/>
                <c:pt idx="0">
                  <c:v>10.124675460936329</c:v>
                </c:pt>
                <c:pt idx="1">
                  <c:v>11.397877599079177</c:v>
                </c:pt>
                <c:pt idx="2">
                  <c:v>13.43341366550777</c:v>
                </c:pt>
                <c:pt idx="3">
                  <c:v>14.033871478648756</c:v>
                </c:pt>
                <c:pt idx="4">
                  <c:v>15.359661311322663</c:v>
                </c:pt>
                <c:pt idx="5">
                  <c:v>15.998462093283479</c:v>
                </c:pt>
                <c:pt idx="6">
                  <c:v>16.594440902122514</c:v>
                </c:pt>
                <c:pt idx="7">
                  <c:v>17.190431259484704</c:v>
                </c:pt>
                <c:pt idx="8">
                  <c:v>17.368286874961893</c:v>
                </c:pt>
                <c:pt idx="9">
                  <c:v>17.368286874961893</c:v>
                </c:pt>
                <c:pt idx="10">
                  <c:v>17.571143873969056</c:v>
                </c:pt>
                <c:pt idx="11">
                  <c:v>17.620526590018436</c:v>
                </c:pt>
                <c:pt idx="12">
                  <c:v>17.718803063158798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3-441F-B51F-1A8B8EACDAE4}"/>
            </c:ext>
          </c:extLst>
        </c:ser>
        <c:ser>
          <c:idx val="2"/>
          <c:order val="1"/>
          <c:tx>
            <c:strRef>
              <c:f>'PRQ by Development Process'!$D$43:$D$44</c:f>
              <c:strCache>
                <c:ptCount val="2"/>
                <c:pt idx="0">
                  <c:v>Extream Programming</c:v>
                </c:pt>
                <c:pt idx="1">
                  <c:v>Average total uncorrected defectes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'PRQ by Development Process'!$D$45:$D$57</c:f>
              <c:numCache>
                <c:formatCode>General</c:formatCode>
                <c:ptCount val="13"/>
                <c:pt idx="0">
                  <c:v>10.124675460936329</c:v>
                </c:pt>
                <c:pt idx="1">
                  <c:v>10.008364742564764</c:v>
                </c:pt>
                <c:pt idx="2">
                  <c:v>10.349109062037007</c:v>
                </c:pt>
                <c:pt idx="3">
                  <c:v>10.048821746792925</c:v>
                </c:pt>
                <c:pt idx="4">
                  <c:v>9.3211752898167699</c:v>
                </c:pt>
                <c:pt idx="5">
                  <c:v>8.7968826215321165</c:v>
                </c:pt>
                <c:pt idx="6">
                  <c:v>8.166421060649439</c:v>
                </c:pt>
                <c:pt idx="7">
                  <c:v>7.0288469783017398</c:v>
                </c:pt>
                <c:pt idx="8">
                  <c:v>4.9368912921555017</c:v>
                </c:pt>
                <c:pt idx="9">
                  <c:v>3.8756237255546164</c:v>
                </c:pt>
                <c:pt idx="10">
                  <c:v>2.8532298989907092</c:v>
                </c:pt>
                <c:pt idx="11">
                  <c:v>2.0110953516407042</c:v>
                </c:pt>
                <c:pt idx="12">
                  <c:v>2.0766764499804236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3-441F-B51F-1A8B8EACDAE4}"/>
            </c:ext>
          </c:extLst>
        </c:ser>
        <c:ser>
          <c:idx val="3"/>
          <c:order val="2"/>
          <c:tx>
            <c:strRef>
              <c:f>'PRQ by Development Process'!$E$43:$E$44</c:f>
              <c:strCache>
                <c:ptCount val="2"/>
                <c:pt idx="0">
                  <c:v>SCRUM Programming</c:v>
                </c:pt>
                <c:pt idx="1">
                  <c:v>Average total defects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'PRQ by Development Process'!$E$45:$E$57</c:f>
              <c:numCache>
                <c:formatCode>General</c:formatCode>
                <c:ptCount val="13"/>
                <c:pt idx="0">
                  <c:v>7.5165049983804186</c:v>
                </c:pt>
                <c:pt idx="1">
                  <c:v>8.4702068955854593</c:v>
                </c:pt>
                <c:pt idx="2">
                  <c:v>9.5948877351930868</c:v>
                </c:pt>
                <c:pt idx="3">
                  <c:v>10.709739014920524</c:v>
                </c:pt>
                <c:pt idx="4">
                  <c:v>11.423628478592056</c:v>
                </c:pt>
                <c:pt idx="5">
                  <c:v>12.138151025882681</c:v>
                </c:pt>
                <c:pt idx="6">
                  <c:v>12.453213837721732</c:v>
                </c:pt>
                <c:pt idx="7">
                  <c:v>12.883703013822533</c:v>
                </c:pt>
                <c:pt idx="8">
                  <c:v>13.034957199730261</c:v>
                </c:pt>
                <c:pt idx="9">
                  <c:v>13.034957199730261</c:v>
                </c:pt>
                <c:pt idx="10">
                  <c:v>13.233160337756374</c:v>
                </c:pt>
                <c:pt idx="11">
                  <c:v>13.282052594857317</c:v>
                </c:pt>
                <c:pt idx="12">
                  <c:v>13.353906396041628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3-441F-B51F-1A8B8EACDAE4}"/>
            </c:ext>
          </c:extLst>
        </c:ser>
        <c:ser>
          <c:idx val="4"/>
          <c:order val="3"/>
          <c:tx>
            <c:strRef>
              <c:f>'PRQ by Development Process'!$F$43:$F$44</c:f>
              <c:strCache>
                <c:ptCount val="2"/>
                <c:pt idx="0">
                  <c:v>SCRUM Programming</c:v>
                </c:pt>
                <c:pt idx="1">
                  <c:v>Average total uncorrected defectes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'PRQ by Development Process'!$F$45:$F$57</c:f>
              <c:numCache>
                <c:formatCode>General</c:formatCode>
                <c:ptCount val="13"/>
                <c:pt idx="0">
                  <c:v>7.5165049983804186</c:v>
                </c:pt>
                <c:pt idx="1">
                  <c:v>7.1952432984477541</c:v>
                </c:pt>
                <c:pt idx="2">
                  <c:v>7.0232235917742818</c:v>
                </c:pt>
                <c:pt idx="3">
                  <c:v>7.1215471426469694</c:v>
                </c:pt>
                <c:pt idx="4">
                  <c:v>6.792237192172446</c:v>
                </c:pt>
                <c:pt idx="5">
                  <c:v>6.3966224017846516</c:v>
                </c:pt>
                <c:pt idx="6">
                  <c:v>5.6073781961872404</c:v>
                </c:pt>
                <c:pt idx="7">
                  <c:v>4.3798436449451454</c:v>
                </c:pt>
                <c:pt idx="8">
                  <c:v>2.9075374131497473</c:v>
                </c:pt>
                <c:pt idx="9">
                  <c:v>1.8499612283983247</c:v>
                </c:pt>
                <c:pt idx="10">
                  <c:v>1.1685473876206947</c:v>
                </c:pt>
                <c:pt idx="11">
                  <c:v>0.83008487209279902</c:v>
                </c:pt>
                <c:pt idx="12">
                  <c:v>0.84220608421401111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F-4E34-B34A-E3F2D9545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674160"/>
        <c:axId val="525664320"/>
      </c:lineChart>
      <c:catAx>
        <c:axId val="5256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64320"/>
        <c:crosses val="autoZero"/>
        <c:auto val="1"/>
        <c:lblAlgn val="ctr"/>
        <c:lblOffset val="100"/>
        <c:noMultiLvlLbl val="0"/>
      </c:catAx>
      <c:valAx>
        <c:axId val="5256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7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12BF07B7-CECC-457D-90D0-4EC4A377A18A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PQR</a:t>
            </a:r>
            <a:r>
              <a:rPr lang="en-US" baseline="0"/>
              <a:t> </a:t>
            </a:r>
            <a:r>
              <a:rPr lang="en-US"/>
              <a:t>by Programming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'PQR by Programming Language'!$C$50:$C$51</c:f>
              <c:strCache>
                <c:ptCount val="2"/>
                <c:pt idx="0">
                  <c:v>Java</c:v>
                </c:pt>
                <c:pt idx="1">
                  <c:v>Average total defects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'PQR by Programming Language'!$B$52:$B$64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'PQR by Programming Language'!$C$52:$C$64</c:f>
              <c:numCache>
                <c:formatCode>General</c:formatCode>
                <c:ptCount val="13"/>
                <c:pt idx="0">
                  <c:v>10.220988348398485</c:v>
                </c:pt>
                <c:pt idx="1">
                  <c:v>11.404110916554483</c:v>
                </c:pt>
                <c:pt idx="2">
                  <c:v>12.917529261698521</c:v>
                </c:pt>
                <c:pt idx="3">
                  <c:v>14.029188767615947</c:v>
                </c:pt>
                <c:pt idx="4">
                  <c:v>14.699248072457328</c:v>
                </c:pt>
                <c:pt idx="5">
                  <c:v>15.541148899744165</c:v>
                </c:pt>
                <c:pt idx="6">
                  <c:v>15.967590907504375</c:v>
                </c:pt>
                <c:pt idx="7">
                  <c:v>16.566554364197781</c:v>
                </c:pt>
                <c:pt idx="8">
                  <c:v>16.732134184814083</c:v>
                </c:pt>
                <c:pt idx="9">
                  <c:v>16.732134184814083</c:v>
                </c:pt>
                <c:pt idx="10">
                  <c:v>16.949251881587788</c:v>
                </c:pt>
                <c:pt idx="11">
                  <c:v>16.996039301611219</c:v>
                </c:pt>
                <c:pt idx="12">
                  <c:v>17.104187282769828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9-480F-824A-54EE35EBCFE9}"/>
            </c:ext>
          </c:extLst>
        </c:ser>
        <c:ser>
          <c:idx val="2"/>
          <c:order val="1"/>
          <c:tx>
            <c:strRef>
              <c:f>'PQR by Programming Language'!$D$50:$D$51</c:f>
              <c:strCache>
                <c:ptCount val="2"/>
                <c:pt idx="0">
                  <c:v>Java</c:v>
                </c:pt>
                <c:pt idx="1">
                  <c:v>Average total uncorrected defectes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'PQR by Programming Language'!$B$52:$B$64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'PQR by Programming Language'!$D$52:$D$64</c:f>
              <c:numCache>
                <c:formatCode>General</c:formatCode>
                <c:ptCount val="13"/>
                <c:pt idx="0">
                  <c:v>10.220988348398485</c:v>
                </c:pt>
                <c:pt idx="1">
                  <c:v>9.9043706944666123</c:v>
                </c:pt>
                <c:pt idx="2">
                  <c:v>9.8563339364965863</c:v>
                </c:pt>
                <c:pt idx="3">
                  <c:v>9.4331696370831875</c:v>
                </c:pt>
                <c:pt idx="4">
                  <c:v>8.7353798823565416</c:v>
                </c:pt>
                <c:pt idx="5">
                  <c:v>8.4010088345965812</c:v>
                </c:pt>
                <c:pt idx="6">
                  <c:v>7.5170991909176905</c:v>
                </c:pt>
                <c:pt idx="7">
                  <c:v>6.1940664295083376</c:v>
                </c:pt>
                <c:pt idx="8">
                  <c:v>4.0373782160843543</c:v>
                </c:pt>
                <c:pt idx="9">
                  <c:v>2.7946212206298586</c:v>
                </c:pt>
                <c:pt idx="10">
                  <c:v>1.758658596188339</c:v>
                </c:pt>
                <c:pt idx="11">
                  <c:v>1.1639691665986234</c:v>
                </c:pt>
                <c:pt idx="12">
                  <c:v>1.2147354501235275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9-480F-824A-54EE35EBCFE9}"/>
            </c:ext>
          </c:extLst>
        </c:ser>
        <c:ser>
          <c:idx val="3"/>
          <c:order val="2"/>
          <c:tx>
            <c:strRef>
              <c:f>'PQR by Programming Language'!$E$50:$E$51</c:f>
              <c:strCache>
                <c:ptCount val="2"/>
                <c:pt idx="0">
                  <c:v>Ruby</c:v>
                </c:pt>
                <c:pt idx="1">
                  <c:v>Average total defects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'PQR by Programming Language'!$B$52:$B$64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'PQR by Programming Language'!$E$52:$E$64</c:f>
              <c:numCache>
                <c:formatCode>General</c:formatCode>
                <c:ptCount val="13"/>
                <c:pt idx="0">
                  <c:v>7.4201921109182605</c:v>
                </c:pt>
                <c:pt idx="1">
                  <c:v>8.4639735781101528</c:v>
                </c:pt>
                <c:pt idx="2">
                  <c:v>10.110772139002332</c:v>
                </c:pt>
                <c:pt idx="3">
                  <c:v>10.714421725953327</c:v>
                </c:pt>
                <c:pt idx="4">
                  <c:v>12.084041717457387</c:v>
                </c:pt>
                <c:pt idx="5">
                  <c:v>12.595464219421991</c:v>
                </c:pt>
                <c:pt idx="6">
                  <c:v>13.080063832339871</c:v>
                </c:pt>
                <c:pt idx="7">
                  <c:v>13.507579909109458</c:v>
                </c:pt>
                <c:pt idx="8">
                  <c:v>13.671109889878071</c:v>
                </c:pt>
                <c:pt idx="9">
                  <c:v>13.671109889878071</c:v>
                </c:pt>
                <c:pt idx="10">
                  <c:v>13.855052330137644</c:v>
                </c:pt>
                <c:pt idx="11">
                  <c:v>13.906539883264539</c:v>
                </c:pt>
                <c:pt idx="12">
                  <c:v>13.968522176430595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9-480F-824A-54EE35EBCFE9}"/>
            </c:ext>
          </c:extLst>
        </c:ser>
        <c:ser>
          <c:idx val="0"/>
          <c:order val="3"/>
          <c:tx>
            <c:strRef>
              <c:f>'PQR by Programming Language'!$F$50:$F$51</c:f>
              <c:strCache>
                <c:ptCount val="2"/>
                <c:pt idx="0">
                  <c:v>Ruby</c:v>
                </c:pt>
                <c:pt idx="1">
                  <c:v>Average total uncorrected defectes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'PQR by Programming Language'!$B$52:$B$64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'PQR by Programming Language'!$F$52:$F$64</c:f>
              <c:numCache>
                <c:formatCode>General</c:formatCode>
                <c:ptCount val="13"/>
                <c:pt idx="0">
                  <c:v>7.4201921109182605</c:v>
                </c:pt>
                <c:pt idx="1">
                  <c:v>7.2992373465459064</c:v>
                </c:pt>
                <c:pt idx="2">
                  <c:v>7.515998717314706</c:v>
                </c:pt>
                <c:pt idx="3">
                  <c:v>7.7371992523567066</c:v>
                </c:pt>
                <c:pt idx="4">
                  <c:v>7.3780325996326752</c:v>
                </c:pt>
                <c:pt idx="5">
                  <c:v>6.7924961887201851</c:v>
                </c:pt>
                <c:pt idx="6">
                  <c:v>6.2567000659189906</c:v>
                </c:pt>
                <c:pt idx="7">
                  <c:v>5.2146241937385449</c:v>
                </c:pt>
                <c:pt idx="8">
                  <c:v>3.807050489220893</c:v>
                </c:pt>
                <c:pt idx="9">
                  <c:v>2.9309637333230829</c:v>
                </c:pt>
                <c:pt idx="10">
                  <c:v>2.2631186904230649</c:v>
                </c:pt>
                <c:pt idx="11">
                  <c:v>1.6772110571348804</c:v>
                </c:pt>
                <c:pt idx="12">
                  <c:v>1.7041470840709072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69-480F-824A-54EE35EBC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702504"/>
        <c:axId val="531696600"/>
      </c:lineChart>
      <c:catAx>
        <c:axId val="53170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96600"/>
        <c:crosses val="autoZero"/>
        <c:auto val="1"/>
        <c:lblAlgn val="ctr"/>
        <c:lblOffset val="100"/>
        <c:noMultiLvlLbl val="0"/>
      </c:catAx>
      <c:valAx>
        <c:axId val="5316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0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12BF07B7-CECC-457D-90D0-4EC4A377A18A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PQR by Dev process &amp; Prog Lang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'PQR by Dev process &amp; Prog Lang'!$C$57:$C$59</c:f>
              <c:strCache>
                <c:ptCount val="3"/>
                <c:pt idx="0">
                  <c:v>Java</c:v>
                </c:pt>
                <c:pt idx="1">
                  <c:v>Extreme </c:v>
                </c:pt>
                <c:pt idx="2">
                  <c:v>Average total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'PQR by Dev process &amp; Prog Lang'!$B$60:$B$72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'PQR by Dev process &amp; Prog Lang'!$C$60:$C$72</c:f>
              <c:numCache>
                <c:formatCode>General</c:formatCode>
                <c:ptCount val="13"/>
                <c:pt idx="0">
                  <c:v>12.816944384319953</c:v>
                </c:pt>
                <c:pt idx="1">
                  <c:v>14.14771193791367</c:v>
                </c:pt>
                <c:pt idx="2">
                  <c:v>16.116454579879253</c:v>
                </c:pt>
                <c:pt idx="3">
                  <c:v>17.385634357014684</c:v>
                </c:pt>
                <c:pt idx="4">
                  <c:v>18.079322005865414</c:v>
                </c:pt>
                <c:pt idx="5">
                  <c:v>19.067246242564703</c:v>
                </c:pt>
                <c:pt idx="6">
                  <c:v>19.627627799670091</c:v>
                </c:pt>
                <c:pt idx="7">
                  <c:v>20.339568091160992</c:v>
                </c:pt>
                <c:pt idx="8">
                  <c:v>20.525463374039031</c:v>
                </c:pt>
                <c:pt idx="9">
                  <c:v>20.525463374039031</c:v>
                </c:pt>
                <c:pt idx="10">
                  <c:v>20.758697222531197</c:v>
                </c:pt>
                <c:pt idx="11">
                  <c:v>20.801025264859241</c:v>
                </c:pt>
                <c:pt idx="12">
                  <c:v>20.942277690594427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0-48F0-863B-4205E5CD26D9}"/>
            </c:ext>
          </c:extLst>
        </c:ser>
        <c:ser>
          <c:idx val="1"/>
          <c:order val="1"/>
          <c:tx>
            <c:strRef>
              <c:f>'PQR by Dev process &amp; Prog Lang'!$D$57:$D$59</c:f>
              <c:strCache>
                <c:ptCount val="3"/>
                <c:pt idx="0">
                  <c:v>Java</c:v>
                </c:pt>
                <c:pt idx="1">
                  <c:v>Extreme </c:v>
                </c:pt>
                <c:pt idx="2">
                  <c:v>Average total uncorrected defectes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'PQR by Dev process &amp; Prog Lang'!$B$60:$B$72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'PQR by Dev process &amp; Prog Lang'!$D$60:$D$72</c:f>
              <c:numCache>
                <c:formatCode>General</c:formatCode>
                <c:ptCount val="13"/>
                <c:pt idx="0">
                  <c:v>12.816944384319953</c:v>
                </c:pt>
                <c:pt idx="1">
                  <c:v>12.32077608660116</c:v>
                </c:pt>
                <c:pt idx="2">
                  <c:v>12.555042309040218</c:v>
                </c:pt>
                <c:pt idx="3">
                  <c:v>11.700629287921156</c:v>
                </c:pt>
                <c:pt idx="4">
                  <c:v>10.685120957318821</c:v>
                </c:pt>
                <c:pt idx="5">
                  <c:v>10.44704704148659</c:v>
                </c:pt>
                <c:pt idx="6">
                  <c:v>9.5176600186705702</c:v>
                </c:pt>
                <c:pt idx="7">
                  <c:v>8.0843097083216016</c:v>
                </c:pt>
                <c:pt idx="8">
                  <c:v>5.2846875745036312</c:v>
                </c:pt>
                <c:pt idx="9">
                  <c:v>3.8807519692935872</c:v>
                </c:pt>
                <c:pt idx="10">
                  <c:v>2.4590318112380132</c:v>
                </c:pt>
                <c:pt idx="11">
                  <c:v>1.5569489846901703</c:v>
                </c:pt>
                <c:pt idx="12">
                  <c:v>1.6657338779578221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0-48F0-863B-4205E5CD26D9}"/>
            </c:ext>
          </c:extLst>
        </c:ser>
        <c:ser>
          <c:idx val="2"/>
          <c:order val="2"/>
          <c:tx>
            <c:strRef>
              <c:f>'PQR by Dev process &amp; Prog Lang'!$E$57:$E$59</c:f>
              <c:strCache>
                <c:ptCount val="3"/>
                <c:pt idx="0">
                  <c:v>Java</c:v>
                </c:pt>
                <c:pt idx="1">
                  <c:v>Scrum</c:v>
                </c:pt>
                <c:pt idx="2">
                  <c:v>Average total defects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'PQR by Dev process &amp; Prog Lang'!$B$60:$B$72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'PQR by Dev process &amp; Prog Lang'!$E$60:$E$72</c:f>
              <c:numCache>
                <c:formatCode>General</c:formatCode>
                <c:ptCount val="13"/>
                <c:pt idx="0">
                  <c:v>7.949526816967202</c:v>
                </c:pt>
                <c:pt idx="1">
                  <c:v>9.0034600228651946</c:v>
                </c:pt>
                <c:pt idx="2">
                  <c:v>10.118469608290383</c:v>
                </c:pt>
                <c:pt idx="3">
                  <c:v>11.092298876892055</c:v>
                </c:pt>
                <c:pt idx="4">
                  <c:v>11.741683380725249</c:v>
                </c:pt>
                <c:pt idx="5">
                  <c:v>12.45581372477619</c:v>
                </c:pt>
                <c:pt idx="6">
                  <c:v>12.765058626859371</c:v>
                </c:pt>
                <c:pt idx="7">
                  <c:v>13.265167353104975</c:v>
                </c:pt>
                <c:pt idx="8">
                  <c:v>13.412971144242253</c:v>
                </c:pt>
                <c:pt idx="9">
                  <c:v>13.412971144242253</c:v>
                </c:pt>
                <c:pt idx="10">
                  <c:v>13.615987208262307</c:v>
                </c:pt>
                <c:pt idx="11">
                  <c:v>13.666676583769201</c:v>
                </c:pt>
                <c:pt idx="12">
                  <c:v>13.745858175923312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0-48F0-863B-4205E5CD26D9}"/>
            </c:ext>
          </c:extLst>
        </c:ser>
        <c:ser>
          <c:idx val="3"/>
          <c:order val="3"/>
          <c:tx>
            <c:strRef>
              <c:f>'PQR by Dev process &amp; Prog Lang'!$F$57:$F$59</c:f>
              <c:strCache>
                <c:ptCount val="3"/>
                <c:pt idx="0">
                  <c:v>Java</c:v>
                </c:pt>
                <c:pt idx="1">
                  <c:v>Scrum</c:v>
                </c:pt>
                <c:pt idx="2">
                  <c:v>Average total uncorrected defectes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'PQR by Dev process &amp; Prog Lang'!$B$60:$B$72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'PQR by Dev process &amp; Prog Lang'!$F$60:$F$72</c:f>
              <c:numCache>
                <c:formatCode>General</c:formatCode>
                <c:ptCount val="13"/>
                <c:pt idx="0">
                  <c:v>7.949526816967202</c:v>
                </c:pt>
                <c:pt idx="1">
                  <c:v>7.7900159763488812</c:v>
                </c:pt>
                <c:pt idx="2">
                  <c:v>7.4949641105209075</c:v>
                </c:pt>
                <c:pt idx="3">
                  <c:v>7.4491424425999639</c:v>
                </c:pt>
                <c:pt idx="4">
                  <c:v>7.0293564417645467</c:v>
                </c:pt>
                <c:pt idx="5">
                  <c:v>6.6107254035678249</c:v>
                </c:pt>
                <c:pt idx="6">
                  <c:v>5.766608466633917</c:v>
                </c:pt>
                <c:pt idx="7">
                  <c:v>4.5401035605467346</c:v>
                </c:pt>
                <c:pt idx="8">
                  <c:v>2.9459825274674873</c:v>
                </c:pt>
                <c:pt idx="9">
                  <c:v>1.8442568155490957</c:v>
                </c:pt>
                <c:pt idx="10">
                  <c:v>1.1458320330198739</c:v>
                </c:pt>
                <c:pt idx="11">
                  <c:v>0.82011182576851982</c:v>
                </c:pt>
                <c:pt idx="12">
                  <c:v>0.82011182576851982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0-48F0-863B-4205E5CD26D9}"/>
            </c:ext>
          </c:extLst>
        </c:ser>
        <c:ser>
          <c:idx val="4"/>
          <c:order val="4"/>
          <c:tx>
            <c:strRef>
              <c:f>'PQR by Dev process &amp; Prog Lang'!$G$57:$G$59</c:f>
              <c:strCache>
                <c:ptCount val="3"/>
                <c:pt idx="0">
                  <c:v>Ruby</c:v>
                </c:pt>
                <c:pt idx="1">
                  <c:v>Extreme </c:v>
                </c:pt>
                <c:pt idx="2">
                  <c:v>Average total defects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'PQR by Dev process &amp; Prog Lang'!$B$60:$B$72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'PQR by Dev process &amp; Prog Lang'!$G$60:$G$72</c:f>
              <c:numCache>
                <c:formatCode>General</c:formatCode>
                <c:ptCount val="13"/>
                <c:pt idx="0">
                  <c:v>7.768940152975655</c:v>
                </c:pt>
                <c:pt idx="1">
                  <c:v>8.9917725525989951</c:v>
                </c:pt>
                <c:pt idx="2">
                  <c:v>11.085752865432722</c:v>
                </c:pt>
                <c:pt idx="3">
                  <c:v>11.101078960078564</c:v>
                </c:pt>
                <c:pt idx="4">
                  <c:v>12.979958203597755</c:v>
                </c:pt>
                <c:pt idx="5">
                  <c:v>13.3132759626624</c:v>
                </c:pt>
                <c:pt idx="6">
                  <c:v>13.940402366768382</c:v>
                </c:pt>
                <c:pt idx="7">
                  <c:v>14.434936531767953</c:v>
                </c:pt>
                <c:pt idx="8">
                  <c:v>14.605757438269395</c:v>
                </c:pt>
                <c:pt idx="9">
                  <c:v>14.605757438269395</c:v>
                </c:pt>
                <c:pt idx="10">
                  <c:v>14.782034693977186</c:v>
                </c:pt>
                <c:pt idx="11">
                  <c:v>14.837590249532742</c:v>
                </c:pt>
                <c:pt idx="12">
                  <c:v>14.898262764152626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D0-48F0-863B-4205E5CD26D9}"/>
            </c:ext>
          </c:extLst>
        </c:ser>
        <c:ser>
          <c:idx val="5"/>
          <c:order val="5"/>
          <c:tx>
            <c:strRef>
              <c:f>'PQR by Dev process &amp; Prog Lang'!$H$57:$H$59</c:f>
              <c:strCache>
                <c:ptCount val="3"/>
                <c:pt idx="0">
                  <c:v>Ruby</c:v>
                </c:pt>
                <c:pt idx="1">
                  <c:v>Extreme </c:v>
                </c:pt>
                <c:pt idx="2">
                  <c:v>Average total uncorrected defectes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'PQR by Dev process &amp; Prog Lang'!$B$60:$B$72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'PQR by Dev process &amp; Prog Lang'!$H$60:$H$72</c:f>
              <c:numCache>
                <c:formatCode>General</c:formatCode>
                <c:ptCount val="13"/>
                <c:pt idx="0">
                  <c:v>7.768940152975655</c:v>
                </c:pt>
                <c:pt idx="1">
                  <c:v>7.9850048165329159</c:v>
                </c:pt>
                <c:pt idx="2">
                  <c:v>8.4189174709092018</c:v>
                </c:pt>
                <c:pt idx="3">
                  <c:v>8.603490148305724</c:v>
                </c:pt>
                <c:pt idx="4">
                  <c:v>8.1277228307524751</c:v>
                </c:pt>
                <c:pt idx="5">
                  <c:v>7.3529887540719505</c:v>
                </c:pt>
                <c:pt idx="6">
                  <c:v>6.9840869723809504</c:v>
                </c:pt>
                <c:pt idx="7">
                  <c:v>6.1053170895343598</c:v>
                </c:pt>
                <c:pt idx="8">
                  <c:v>4.6325695451008846</c:v>
                </c:pt>
                <c:pt idx="9">
                  <c:v>3.8711365122830177</c:v>
                </c:pt>
                <c:pt idx="10">
                  <c:v>3.1981532257743179</c:v>
                </c:pt>
                <c:pt idx="11">
                  <c:v>2.4084734227224223</c:v>
                </c:pt>
                <c:pt idx="12">
                  <c:v>2.4362512005001999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D0-48F0-863B-4205E5CD26D9}"/>
            </c:ext>
          </c:extLst>
        </c:ser>
        <c:ser>
          <c:idx val="6"/>
          <c:order val="6"/>
          <c:tx>
            <c:strRef>
              <c:f>'PQR by Dev process &amp; Prog Lang'!$I$57:$I$59</c:f>
              <c:strCache>
                <c:ptCount val="3"/>
                <c:pt idx="0">
                  <c:v>Ruby</c:v>
                </c:pt>
                <c:pt idx="1">
                  <c:v>Scrum</c:v>
                </c:pt>
                <c:pt idx="2">
                  <c:v>Average total defects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'PQR by Dev process &amp; Prog Lang'!$B$60:$B$72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'PQR by Dev process &amp; Prog Lang'!$I$60:$I$72</c:f>
              <c:numCache>
                <c:formatCode>General</c:formatCode>
                <c:ptCount val="13"/>
                <c:pt idx="0">
                  <c:v>7.021622919995524</c:v>
                </c:pt>
                <c:pt idx="1">
                  <c:v>7.8607747501229097</c:v>
                </c:pt>
                <c:pt idx="2">
                  <c:v>8.996508451653316</c:v>
                </c:pt>
                <c:pt idx="3">
                  <c:v>10.272527744095912</c:v>
                </c:pt>
                <c:pt idx="4">
                  <c:v>11.060137161868399</c:v>
                </c:pt>
                <c:pt idx="5">
                  <c:v>11.775107941432953</c:v>
                </c:pt>
                <c:pt idx="6">
                  <c:v>12.096819792993005</c:v>
                </c:pt>
                <c:pt idx="7">
                  <c:v>12.447743768928317</c:v>
                </c:pt>
                <c:pt idx="8">
                  <c:v>12.602941263145128</c:v>
                </c:pt>
                <c:pt idx="9">
                  <c:v>12.602941263145128</c:v>
                </c:pt>
                <c:pt idx="10">
                  <c:v>12.795643914321024</c:v>
                </c:pt>
                <c:pt idx="11">
                  <c:v>12.842482321815169</c:v>
                </c:pt>
                <c:pt idx="12">
                  <c:v>12.905961504748278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D0-48F0-863B-4205E5CD26D9}"/>
            </c:ext>
          </c:extLst>
        </c:ser>
        <c:ser>
          <c:idx val="7"/>
          <c:order val="7"/>
          <c:tx>
            <c:strRef>
              <c:f>'PQR by Dev process &amp; Prog Lang'!$J$57:$J$59</c:f>
              <c:strCache>
                <c:ptCount val="3"/>
                <c:pt idx="0">
                  <c:v>Ruby</c:v>
                </c:pt>
                <c:pt idx="1">
                  <c:v>Scrum</c:v>
                </c:pt>
                <c:pt idx="2">
                  <c:v>Average total uncorrected defectes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'PQR by Dev process &amp; Prog Lang'!$B$60:$B$72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'PQR by Dev process &amp; Prog Lang'!$J$60:$J$72</c:f>
              <c:numCache>
                <c:formatCode>General</c:formatCode>
                <c:ptCount val="13"/>
                <c:pt idx="0">
                  <c:v>7.021622919995524</c:v>
                </c:pt>
                <c:pt idx="1">
                  <c:v>6.515503095132182</c:v>
                </c:pt>
                <c:pt idx="2">
                  <c:v>6.4840915703495652</c:v>
                </c:pt>
                <c:pt idx="3">
                  <c:v>6.7471525141292572</c:v>
                </c:pt>
                <c:pt idx="4">
                  <c:v>6.5212437640671892</c:v>
                </c:pt>
                <c:pt idx="5">
                  <c:v>6.1519332568895981</c:v>
                </c:pt>
                <c:pt idx="6">
                  <c:v>5.4254007442481811</c:v>
                </c:pt>
                <c:pt idx="7">
                  <c:v>4.1966894556861876</c:v>
                </c:pt>
                <c:pt idx="8">
                  <c:v>2.8636001396437587</c:v>
                </c:pt>
                <c:pt idx="9">
                  <c:v>1.8564805573688723</c:v>
                </c:pt>
                <c:pt idx="10">
                  <c:v>1.194507792878776</c:v>
                </c:pt>
                <c:pt idx="11">
                  <c:v>0.84148263932054668</c:v>
                </c:pt>
                <c:pt idx="12">
                  <c:v>0.86745666529457266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D0-48F0-863B-4205E5CD2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438952"/>
        <c:axId val="532432720"/>
      </c:lineChart>
      <c:catAx>
        <c:axId val="53243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32720"/>
        <c:crosses val="autoZero"/>
        <c:auto val="1"/>
        <c:lblAlgn val="ctr"/>
        <c:lblOffset val="100"/>
        <c:noMultiLvlLbl val="0"/>
      </c:catAx>
      <c:valAx>
        <c:axId val="5324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3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alpha val="87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12BF07B7-CECC-457D-90D0-4EC4A377A18A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0"/>
              <a:t>RQHistory by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'[1]PRQ History by Quarter'!$C$17:$C$18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'[1]PRQ History by Quarter'!$B$19:$B$30</c:f>
              <c:strCache>
                <c:ptCount val="12"/>
                <c:pt idx="0">
                  <c:v>Q1- 2015</c:v>
                </c:pt>
                <c:pt idx="1">
                  <c:v>Q2- 2015</c:v>
                </c:pt>
                <c:pt idx="2">
                  <c:v>Q3- 2015</c:v>
                </c:pt>
                <c:pt idx="3">
                  <c:v>Q4- 2015</c:v>
                </c:pt>
                <c:pt idx="4">
                  <c:v>Q5- 2016</c:v>
                </c:pt>
                <c:pt idx="5">
                  <c:v>Q6- 2016</c:v>
                </c:pt>
                <c:pt idx="6">
                  <c:v>Q7- 2016</c:v>
                </c:pt>
                <c:pt idx="7">
                  <c:v>Q8- 2016</c:v>
                </c:pt>
                <c:pt idx="8">
                  <c:v>Q9- 2017</c:v>
                </c:pt>
                <c:pt idx="9">
                  <c:v>Q10- 2017</c:v>
                </c:pt>
                <c:pt idx="10">
                  <c:v>Q11- 2017</c:v>
                </c:pt>
                <c:pt idx="11">
                  <c:v>Q12- 2017</c:v>
                </c:pt>
              </c:strCache>
            </c:strRef>
          </c:cat>
          <c:val>
            <c:numRef>
              <c:f>'[1]PRQ History by Quarter'!$C$19:$C$30</c:f>
              <c:numCache>
                <c:formatCode>General</c:formatCode>
                <c:ptCount val="12"/>
                <c:pt idx="0">
                  <c:v>72</c:v>
                </c:pt>
                <c:pt idx="1">
                  <c:v>82</c:v>
                </c:pt>
                <c:pt idx="2">
                  <c:v>86</c:v>
                </c:pt>
                <c:pt idx="3">
                  <c:v>64</c:v>
                </c:pt>
                <c:pt idx="4">
                  <c:v>61</c:v>
                </c:pt>
                <c:pt idx="5">
                  <c:v>63</c:v>
                </c:pt>
                <c:pt idx="6">
                  <c:v>58</c:v>
                </c:pt>
                <c:pt idx="7">
                  <c:v>54</c:v>
                </c:pt>
                <c:pt idx="8">
                  <c:v>91</c:v>
                </c:pt>
                <c:pt idx="9">
                  <c:v>87</c:v>
                </c:pt>
                <c:pt idx="10">
                  <c:v>123</c:v>
                </c:pt>
                <c:pt idx="11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5-4489-9E77-9D7200B4CA51}"/>
            </c:ext>
          </c:extLst>
        </c:ser>
        <c:ser>
          <c:idx val="1"/>
          <c:order val="1"/>
          <c:tx>
            <c:strRef>
              <c:f>'[1]PRQ History by Quarter'!$D$17:$D$18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'[1]PRQ History by Quarter'!$B$19:$B$30</c:f>
              <c:strCache>
                <c:ptCount val="12"/>
                <c:pt idx="0">
                  <c:v>Q1- 2015</c:v>
                </c:pt>
                <c:pt idx="1">
                  <c:v>Q2- 2015</c:v>
                </c:pt>
                <c:pt idx="2">
                  <c:v>Q3- 2015</c:v>
                </c:pt>
                <c:pt idx="3">
                  <c:v>Q4- 2015</c:v>
                </c:pt>
                <c:pt idx="4">
                  <c:v>Q5- 2016</c:v>
                </c:pt>
                <c:pt idx="5">
                  <c:v>Q6- 2016</c:v>
                </c:pt>
                <c:pt idx="6">
                  <c:v>Q7- 2016</c:v>
                </c:pt>
                <c:pt idx="7">
                  <c:v>Q8- 2016</c:v>
                </c:pt>
                <c:pt idx="8">
                  <c:v>Q9- 2017</c:v>
                </c:pt>
                <c:pt idx="9">
                  <c:v>Q10- 2017</c:v>
                </c:pt>
                <c:pt idx="10">
                  <c:v>Q11- 2017</c:v>
                </c:pt>
                <c:pt idx="11">
                  <c:v>Q12- 2017</c:v>
                </c:pt>
              </c:strCache>
            </c:strRef>
          </c:cat>
          <c:val>
            <c:numRef>
              <c:f>'[1]PRQ History by Quarter'!$D$19:$D$30</c:f>
              <c:numCache>
                <c:formatCode>General</c:formatCode>
                <c:ptCount val="12"/>
                <c:pt idx="0">
                  <c:v>63</c:v>
                </c:pt>
                <c:pt idx="1">
                  <c:v>53</c:v>
                </c:pt>
                <c:pt idx="2">
                  <c:v>66</c:v>
                </c:pt>
                <c:pt idx="3">
                  <c:v>60</c:v>
                </c:pt>
                <c:pt idx="4">
                  <c:v>49</c:v>
                </c:pt>
                <c:pt idx="5">
                  <c:v>49</c:v>
                </c:pt>
                <c:pt idx="6">
                  <c:v>53</c:v>
                </c:pt>
                <c:pt idx="7">
                  <c:v>45</c:v>
                </c:pt>
                <c:pt idx="8">
                  <c:v>82</c:v>
                </c:pt>
                <c:pt idx="9">
                  <c:v>71</c:v>
                </c:pt>
                <c:pt idx="10">
                  <c:v>97</c:v>
                </c:pt>
                <c:pt idx="1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5-4489-9E77-9D7200B4CA51}"/>
            </c:ext>
          </c:extLst>
        </c:ser>
        <c:ser>
          <c:idx val="2"/>
          <c:order val="2"/>
          <c:tx>
            <c:strRef>
              <c:f>'[1]PRQ History by Quarter'!$E$17:$E$18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'[1]PRQ History by Quarter'!$B$19:$B$30</c:f>
              <c:strCache>
                <c:ptCount val="12"/>
                <c:pt idx="0">
                  <c:v>Q1- 2015</c:v>
                </c:pt>
                <c:pt idx="1">
                  <c:v>Q2- 2015</c:v>
                </c:pt>
                <c:pt idx="2">
                  <c:v>Q3- 2015</c:v>
                </c:pt>
                <c:pt idx="3">
                  <c:v>Q4- 2015</c:v>
                </c:pt>
                <c:pt idx="4">
                  <c:v>Q5- 2016</c:v>
                </c:pt>
                <c:pt idx="5">
                  <c:v>Q6- 2016</c:v>
                </c:pt>
                <c:pt idx="6">
                  <c:v>Q7- 2016</c:v>
                </c:pt>
                <c:pt idx="7">
                  <c:v>Q8- 2016</c:v>
                </c:pt>
                <c:pt idx="8">
                  <c:v>Q9- 2017</c:v>
                </c:pt>
                <c:pt idx="9">
                  <c:v>Q10- 2017</c:v>
                </c:pt>
                <c:pt idx="10">
                  <c:v>Q11- 2017</c:v>
                </c:pt>
                <c:pt idx="11">
                  <c:v>Q12- 2017</c:v>
                </c:pt>
              </c:strCache>
            </c:strRef>
          </c:cat>
          <c:val>
            <c:numRef>
              <c:f>'[1]PRQ History by Quarter'!$E$19:$E$30</c:f>
              <c:numCache>
                <c:formatCode>General</c:formatCode>
                <c:ptCount val="12"/>
                <c:pt idx="0">
                  <c:v>68</c:v>
                </c:pt>
                <c:pt idx="1">
                  <c:v>67.5</c:v>
                </c:pt>
                <c:pt idx="2">
                  <c:v>76</c:v>
                </c:pt>
                <c:pt idx="3">
                  <c:v>62.333333333333336</c:v>
                </c:pt>
                <c:pt idx="4">
                  <c:v>56.333333333333336</c:v>
                </c:pt>
                <c:pt idx="5">
                  <c:v>56</c:v>
                </c:pt>
                <c:pt idx="6">
                  <c:v>55.5</c:v>
                </c:pt>
                <c:pt idx="7">
                  <c:v>49.333333333333336</c:v>
                </c:pt>
                <c:pt idx="8">
                  <c:v>87.666666666666671</c:v>
                </c:pt>
                <c:pt idx="9">
                  <c:v>79</c:v>
                </c:pt>
                <c:pt idx="10">
                  <c:v>110</c:v>
                </c:pt>
                <c:pt idx="11">
                  <c:v>109.666666666667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5-4489-9E77-9D7200B4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500768"/>
        <c:axId val="234502408"/>
      </c:lineChart>
      <c:catAx>
        <c:axId val="2345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02408"/>
        <c:crosses val="autoZero"/>
        <c:auto val="1"/>
        <c:lblAlgn val="ctr"/>
        <c:lblOffset val="100"/>
        <c:noMultiLvlLbl val="0"/>
      </c:catAx>
      <c:valAx>
        <c:axId val="23450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Release Quality History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'[1]PRQ History by Year'!$G$8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2015</c:v>
              </c:pt>
              <c:pt idx="1">
                <c:v>2016</c:v>
              </c:pt>
              <c:pt idx="2">
                <c:v>2017</c:v>
              </c:pt>
            </c:numLit>
          </c:cat>
          <c:val>
            <c:numRef>
              <c:f>'[1]PRQ History by Year'!$H$8:$J$8</c:f>
              <c:numCache>
                <c:formatCode>General</c:formatCode>
                <c:ptCount val="3"/>
                <c:pt idx="0">
                  <c:v>53</c:v>
                </c:pt>
                <c:pt idx="1">
                  <c:v>45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4-47C2-A5C8-B844DF183C6A}"/>
            </c:ext>
          </c:extLst>
        </c:ser>
        <c:ser>
          <c:idx val="1"/>
          <c:order val="1"/>
          <c:tx>
            <c:strRef>
              <c:f>'[1]PRQ History by Year'!$G$9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2015</c:v>
              </c:pt>
              <c:pt idx="1">
                <c:v>2016</c:v>
              </c:pt>
              <c:pt idx="2">
                <c:v>2017</c:v>
              </c:pt>
            </c:numLit>
          </c:cat>
          <c:val>
            <c:numRef>
              <c:f>'[1]PRQ History by Year'!$H$9:$J$9</c:f>
              <c:numCache>
                <c:formatCode>General</c:formatCode>
                <c:ptCount val="3"/>
                <c:pt idx="0">
                  <c:v>86</c:v>
                </c:pt>
                <c:pt idx="1">
                  <c:v>63</c:v>
                </c:pt>
                <c:pt idx="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4-47C2-A5C8-B844DF183C6A}"/>
            </c:ext>
          </c:extLst>
        </c:ser>
        <c:ser>
          <c:idx val="2"/>
          <c:order val="2"/>
          <c:tx>
            <c:strRef>
              <c:f>'[1]PRQ History by Year'!$G$10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2015</c:v>
              </c:pt>
              <c:pt idx="1">
                <c:v>2016</c:v>
              </c:pt>
              <c:pt idx="2">
                <c:v>2017</c:v>
              </c:pt>
            </c:numLit>
          </c:cat>
          <c:val>
            <c:numRef>
              <c:f>'[1]PRQ History by Year'!$H$10:$J$10</c:f>
              <c:numCache>
                <c:formatCode>General</c:formatCode>
                <c:ptCount val="3"/>
                <c:pt idx="0">
                  <c:v>67.8</c:v>
                </c:pt>
                <c:pt idx="1">
                  <c:v>54</c:v>
                </c:pt>
                <c:pt idx="2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64-47C2-A5C8-B844DF183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136144"/>
        <c:axId val="490136472"/>
      </c:lineChart>
      <c:catAx>
        <c:axId val="4901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36472"/>
        <c:crosses val="autoZero"/>
        <c:auto val="1"/>
        <c:lblAlgn val="ctr"/>
        <c:lblOffset val="100"/>
        <c:noMultiLvlLbl val="0"/>
      </c:catAx>
      <c:valAx>
        <c:axId val="49013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</xdr:row>
      <xdr:rowOff>19050</xdr:rowOff>
    </xdr:from>
    <xdr:to>
      <xdr:col>14</xdr:col>
      <xdr:colOff>314325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AF766-603C-42AB-A7C7-8100108EF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35</xdr:row>
      <xdr:rowOff>157162</xdr:rowOff>
    </xdr:from>
    <xdr:to>
      <xdr:col>14</xdr:col>
      <xdr:colOff>28575</xdr:colOff>
      <xdr:row>52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17D0C-C744-43CF-8659-B57C39FD9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148828</xdr:colOff>
      <xdr:row>37</xdr:row>
      <xdr:rowOff>194072</xdr:rowOff>
    </xdr:from>
    <xdr:to>
      <xdr:col>15</xdr:col>
      <xdr:colOff>470296</xdr:colOff>
      <xdr:row>50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D213A-66AB-41A3-87E2-8DB60E8CC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546847</xdr:colOff>
      <xdr:row>41</xdr:row>
      <xdr:rowOff>146516</xdr:rowOff>
    </xdr:from>
    <xdr:to>
      <xdr:col>17</xdr:col>
      <xdr:colOff>414617</xdr:colOff>
      <xdr:row>57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94AF8-50F8-48BC-A5E3-DB4338FAF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136070</xdr:colOff>
      <xdr:row>48</xdr:row>
      <xdr:rowOff>0</xdr:rowOff>
    </xdr:from>
    <xdr:to>
      <xdr:col>16</xdr:col>
      <xdr:colOff>12245</xdr:colOff>
      <xdr:row>64</xdr:row>
      <xdr:rowOff>54430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ACB1A-BC4C-45EB-AAF7-9B73D5770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299357</xdr:colOff>
      <xdr:row>56</xdr:row>
      <xdr:rowOff>97971</xdr:rowOff>
    </xdr:from>
    <xdr:to>
      <xdr:col>21</xdr:col>
      <xdr:colOff>299356</xdr:colOff>
      <xdr:row>79</xdr:row>
      <xdr:rowOff>122465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2889D6-03A6-409E-8BEF-C40966C0D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207645</xdr:colOff>
      <xdr:row>15</xdr:row>
      <xdr:rowOff>97155</xdr:rowOff>
    </xdr:from>
    <xdr:to>
      <xdr:col>15</xdr:col>
      <xdr:colOff>219075</xdr:colOff>
      <xdr:row>37</xdr:row>
      <xdr:rowOff>116205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83FC19-F4A5-49F3-96A9-1AA921E1D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13</xdr:row>
      <xdr:rowOff>3810</xdr:rowOff>
    </xdr:from>
    <xdr:to>
      <xdr:col>14</xdr:col>
      <xdr:colOff>480060</xdr:colOff>
      <xdr:row>31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A365D-1F1A-432E-A7CC-0B53C4049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HS\Downloads\A2%20CSE6329%202017fa%20DRAT%20Rasa%20Rajeev%20Choudhary%20Sonal.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4data"/>
      <sheetName val="Post-release Quality ZD"/>
      <sheetName val="Post-release Quality Average"/>
      <sheetName val="PRQ Avg Normalised by size"/>
      <sheetName val="PRQ by Development Process"/>
      <sheetName val="PRQ by Programming Language"/>
      <sheetName val="PRQ by dev process &amp; prog lang"/>
      <sheetName val="PRQ History by Quarter"/>
      <sheetName val="PRQ History by Ye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7">
          <cell r="C17" t="str">
            <v>Worst Case</v>
          </cell>
          <cell r="D17" t="str">
            <v>Best Case</v>
          </cell>
          <cell r="E17" t="str">
            <v>Average</v>
          </cell>
        </row>
        <row r="19">
          <cell r="B19" t="str">
            <v>Q1- 2015</v>
          </cell>
          <cell r="C19">
            <v>72</v>
          </cell>
          <cell r="D19">
            <v>63</v>
          </cell>
          <cell r="E19">
            <v>68</v>
          </cell>
        </row>
        <row r="20">
          <cell r="B20" t="str">
            <v>Q2- 2015</v>
          </cell>
          <cell r="C20">
            <v>82</v>
          </cell>
          <cell r="D20">
            <v>53</v>
          </cell>
          <cell r="E20">
            <v>67.5</v>
          </cell>
        </row>
        <row r="21">
          <cell r="B21" t="str">
            <v>Q3- 2015</v>
          </cell>
          <cell r="C21">
            <v>86</v>
          </cell>
          <cell r="D21">
            <v>66</v>
          </cell>
          <cell r="E21">
            <v>76</v>
          </cell>
        </row>
        <row r="22">
          <cell r="B22" t="str">
            <v>Q4- 2015</v>
          </cell>
          <cell r="C22">
            <v>64</v>
          </cell>
          <cell r="D22">
            <v>60</v>
          </cell>
          <cell r="E22">
            <v>62.333333333333336</v>
          </cell>
        </row>
        <row r="23">
          <cell r="B23" t="str">
            <v>Q5- 2016</v>
          </cell>
          <cell r="C23">
            <v>61</v>
          </cell>
          <cell r="D23">
            <v>49</v>
          </cell>
          <cell r="E23">
            <v>56.333333333333336</v>
          </cell>
        </row>
        <row r="24">
          <cell r="B24" t="str">
            <v>Q6- 2016</v>
          </cell>
          <cell r="C24">
            <v>63</v>
          </cell>
          <cell r="D24">
            <v>49</v>
          </cell>
          <cell r="E24">
            <v>56</v>
          </cell>
        </row>
        <row r="25">
          <cell r="B25" t="str">
            <v>Q7- 2016</v>
          </cell>
          <cell r="C25">
            <v>58</v>
          </cell>
          <cell r="D25">
            <v>53</v>
          </cell>
          <cell r="E25">
            <v>55.5</v>
          </cell>
        </row>
        <row r="26">
          <cell r="B26" t="str">
            <v>Q8- 2016</v>
          </cell>
          <cell r="C26">
            <v>54</v>
          </cell>
          <cell r="D26">
            <v>45</v>
          </cell>
          <cell r="E26">
            <v>49.333333333333336</v>
          </cell>
        </row>
        <row r="27">
          <cell r="B27" t="str">
            <v>Q9- 2017</v>
          </cell>
          <cell r="C27">
            <v>91</v>
          </cell>
          <cell r="D27">
            <v>82</v>
          </cell>
          <cell r="E27">
            <v>87.666666666666671</v>
          </cell>
        </row>
        <row r="28">
          <cell r="B28" t="str">
            <v>Q10- 2017</v>
          </cell>
          <cell r="C28">
            <v>87</v>
          </cell>
          <cell r="D28">
            <v>71</v>
          </cell>
          <cell r="E28">
            <v>79</v>
          </cell>
        </row>
        <row r="29">
          <cell r="B29" t="str">
            <v>Q11- 2017</v>
          </cell>
          <cell r="C29">
            <v>123</v>
          </cell>
          <cell r="D29">
            <v>97</v>
          </cell>
          <cell r="E29">
            <v>110</v>
          </cell>
        </row>
        <row r="30">
          <cell r="B30" t="str">
            <v>Q12- 2017</v>
          </cell>
          <cell r="C30">
            <v>126</v>
          </cell>
          <cell r="D30">
            <v>101</v>
          </cell>
          <cell r="E30">
            <v>109.666666666667</v>
          </cell>
        </row>
      </sheetData>
      <sheetData sheetId="8">
        <row r="8">
          <cell r="G8" t="str">
            <v>Best Case</v>
          </cell>
          <cell r="H8">
            <v>53</v>
          </cell>
          <cell r="I8">
            <v>45</v>
          </cell>
          <cell r="J8">
            <v>71</v>
          </cell>
        </row>
        <row r="9">
          <cell r="G9" t="str">
            <v>Worst Case</v>
          </cell>
          <cell r="H9">
            <v>86</v>
          </cell>
          <cell r="I9">
            <v>63</v>
          </cell>
          <cell r="J9">
            <v>126</v>
          </cell>
        </row>
        <row r="10">
          <cell r="G10" t="str">
            <v>Average</v>
          </cell>
          <cell r="H10">
            <v>67.8</v>
          </cell>
          <cell r="I10">
            <v>54</v>
          </cell>
          <cell r="J10">
            <v>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4"/>
  <sheetViews>
    <sheetView topLeftCell="A3" zoomScale="115" zoomScaleNormal="115" workbookViewId="0">
      <selection activeCell="A3" sqref="A3"/>
    </sheetView>
  </sheetViews>
  <sheetFormatPr defaultRowHeight="12.75" x14ac:dyDescent="0.2"/>
  <cols>
    <col min="1" max="1" width="10.5703125" customWidth="1"/>
    <col min="3" max="3" width="0" hidden="1" customWidth="1"/>
  </cols>
  <sheetData>
    <row r="1" spans="1:55" x14ac:dyDescent="0.2">
      <c r="A1" s="1"/>
      <c r="B1" s="1" t="s">
        <v>14</v>
      </c>
      <c r="C1" s="1"/>
      <c r="D1" s="1"/>
      <c r="E1" s="1"/>
      <c r="F1" s="1"/>
      <c r="G1" s="1"/>
      <c r="H1" s="1"/>
      <c r="I1" s="1"/>
      <c r="J1" s="1"/>
      <c r="K1" s="10">
        <v>2017</v>
      </c>
      <c r="L1" s="10" t="s">
        <v>17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">
      <c r="A3" s="12"/>
      <c r="B3" s="12"/>
      <c r="C3" s="12"/>
      <c r="D3" s="12"/>
      <c r="E3" s="12"/>
      <c r="F3" s="12"/>
      <c r="G3" s="12" t="s">
        <v>0</v>
      </c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3.5" thickBot="1" x14ac:dyDescent="0.25">
      <c r="A4" s="13" t="s">
        <v>1</v>
      </c>
      <c r="B4" s="14" t="s">
        <v>2</v>
      </c>
      <c r="C4" s="15" t="s">
        <v>38</v>
      </c>
      <c r="D4" s="15" t="s">
        <v>39</v>
      </c>
      <c r="E4" s="15" t="s">
        <v>18</v>
      </c>
      <c r="F4" s="14" t="s">
        <v>3</v>
      </c>
      <c r="G4" s="14" t="s">
        <v>4</v>
      </c>
      <c r="H4" s="3">
        <f>DATE(2014,1,1)</f>
        <v>41640</v>
      </c>
      <c r="I4" s="4">
        <f>DATE($K$1-3,2,1)</f>
        <v>41671</v>
      </c>
      <c r="J4" s="4">
        <f>DATE($K$1-3,3,1)</f>
        <v>41699</v>
      </c>
      <c r="K4" s="4">
        <f>DATE($K$1-3,4,1)</f>
        <v>41730</v>
      </c>
      <c r="L4" s="4">
        <f>DATE($K$1-3,5,1)</f>
        <v>41760</v>
      </c>
      <c r="M4" s="4">
        <f>DATE($K$1-3,6,1)</f>
        <v>41791</v>
      </c>
      <c r="N4" s="4">
        <f>DATE($K$1-3,7,1)</f>
        <v>41821</v>
      </c>
      <c r="O4" s="4">
        <f>DATE($K$1-3,8,1)</f>
        <v>41852</v>
      </c>
      <c r="P4" s="4">
        <f>DATE($K$1-3,9,1)</f>
        <v>41883</v>
      </c>
      <c r="Q4" s="4">
        <f>DATE($K$1-3,10,1)</f>
        <v>41913</v>
      </c>
      <c r="R4" s="4">
        <f>DATE($K$1-3,11,1)</f>
        <v>41944</v>
      </c>
      <c r="S4" s="4">
        <f>DATE($K$1-3,12,1)</f>
        <v>41974</v>
      </c>
      <c r="T4" s="4">
        <f>DATE($K$1-2,1,1)</f>
        <v>42005</v>
      </c>
      <c r="U4" s="4">
        <f>DATE($K$1-2,2,1)</f>
        <v>42036</v>
      </c>
      <c r="V4" s="4">
        <f>DATE($K$1-2,3,1)</f>
        <v>42064</v>
      </c>
      <c r="W4" s="4">
        <f>DATE($K$1-2,4,1)</f>
        <v>42095</v>
      </c>
      <c r="X4" s="4">
        <f>DATE($K$1-2,5,1)</f>
        <v>42125</v>
      </c>
      <c r="Y4" s="4">
        <f>DATE($K$1-2,6,1)</f>
        <v>42156</v>
      </c>
      <c r="Z4" s="4">
        <f>DATE($K$1-2,7,1)</f>
        <v>42186</v>
      </c>
      <c r="AA4" s="4">
        <f>DATE($K$1-2,8,1)</f>
        <v>42217</v>
      </c>
      <c r="AB4" s="4">
        <f>DATE($K$1-2,9,1)</f>
        <v>42248</v>
      </c>
      <c r="AC4" s="4">
        <f>DATE($K$1-2,10,1)</f>
        <v>42278</v>
      </c>
      <c r="AD4" s="4">
        <f>DATE($K$1-2,11,1)</f>
        <v>42309</v>
      </c>
      <c r="AE4" s="4">
        <f>DATE($K$1-2,12,1)</f>
        <v>42339</v>
      </c>
      <c r="AF4" s="4">
        <f>DATE($K$1-1,1,1)</f>
        <v>42370</v>
      </c>
      <c r="AG4" s="4">
        <f>DATE($K$1-1,2,1)</f>
        <v>42401</v>
      </c>
      <c r="AH4" s="4">
        <f>DATE($K$1-1,3,1)</f>
        <v>42430</v>
      </c>
      <c r="AI4" s="4">
        <f>DATE($K$1-1,4,1)</f>
        <v>42461</v>
      </c>
      <c r="AJ4" s="4">
        <f>DATE($K$1-1,5,1)</f>
        <v>42491</v>
      </c>
      <c r="AK4" s="4">
        <f>DATE($K$1-1,6,1)</f>
        <v>42522</v>
      </c>
      <c r="AL4" s="4">
        <f>DATE($K$1-1,7,1)</f>
        <v>42552</v>
      </c>
      <c r="AM4" s="4">
        <f>DATE($K$1-1,8,1)</f>
        <v>42583</v>
      </c>
      <c r="AN4" s="4">
        <f>DATE($K$1-1,9,1)</f>
        <v>42614</v>
      </c>
      <c r="AO4" s="4">
        <f>DATE($K$1-1,10,1)</f>
        <v>42644</v>
      </c>
      <c r="AP4" s="4">
        <f>DATE($K$1-1,11,1)</f>
        <v>42675</v>
      </c>
      <c r="AQ4" s="4">
        <f>DATE($K$1-1,12,1)</f>
        <v>42705</v>
      </c>
      <c r="AR4" s="4">
        <f>DATE($K$1,1,1)</f>
        <v>42736</v>
      </c>
      <c r="AS4" s="4">
        <f>DATE($K$1,2,1)</f>
        <v>42767</v>
      </c>
      <c r="AT4" s="4">
        <f>DATE($K$1,3,1)</f>
        <v>42795</v>
      </c>
      <c r="AU4" s="4">
        <f>DATE($K$1,4,1)</f>
        <v>42826</v>
      </c>
      <c r="AV4" s="4">
        <f>DATE($K$1,5,1)</f>
        <v>42856</v>
      </c>
      <c r="AW4" s="4">
        <f>DATE($K$1,6,1)</f>
        <v>42887</v>
      </c>
      <c r="AX4" s="4">
        <f>DATE($K$1,7,1)</f>
        <v>42917</v>
      </c>
      <c r="AY4" s="4">
        <f>DATE($K$1,8,1)</f>
        <v>42948</v>
      </c>
      <c r="AZ4" s="4">
        <f>DATE($K$1,9,1)</f>
        <v>42979</v>
      </c>
      <c r="BA4" s="4">
        <f>DATE($K$1,10,1)</f>
        <v>43009</v>
      </c>
      <c r="BB4" s="4">
        <f>DATE($K$1,11,1)</f>
        <v>43040</v>
      </c>
      <c r="BC4" s="4">
        <f>DATE($K$1,12,1)</f>
        <v>43070</v>
      </c>
    </row>
    <row r="5" spans="1:55" ht="13.5" thickTop="1" x14ac:dyDescent="0.2">
      <c r="A5" s="5">
        <f>DATE($K$1-3,1,1)</f>
        <v>41640</v>
      </c>
      <c r="B5" s="6" t="s">
        <v>5</v>
      </c>
      <c r="C5" s="6">
        <f t="shared" ref="C5:C36" si="0">SUM(H5:BC5)</f>
        <v>72</v>
      </c>
      <c r="D5" s="11" t="s">
        <v>41</v>
      </c>
      <c r="E5" s="11" t="s">
        <v>43</v>
      </c>
      <c r="F5" s="1">
        <v>2400</v>
      </c>
      <c r="G5" s="7" t="s">
        <v>6</v>
      </c>
      <c r="H5" s="8">
        <v>45</v>
      </c>
      <c r="I5" s="1">
        <v>3</v>
      </c>
      <c r="J5" s="1">
        <v>5</v>
      </c>
      <c r="K5" s="1">
        <v>3</v>
      </c>
      <c r="L5" s="1">
        <v>2</v>
      </c>
      <c r="M5" s="1">
        <v>6</v>
      </c>
      <c r="N5" s="1">
        <v>3</v>
      </c>
      <c r="O5" s="1">
        <v>2</v>
      </c>
      <c r="P5" s="1">
        <v>1</v>
      </c>
      <c r="Q5" s="1">
        <v>0</v>
      </c>
      <c r="R5" s="1">
        <v>1</v>
      </c>
      <c r="S5" s="1">
        <v>0</v>
      </c>
      <c r="T5" s="1">
        <v>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">
      <c r="A6" s="5">
        <f>DATE(($K$1-3),1,1)</f>
        <v>41640</v>
      </c>
      <c r="B6" s="6" t="s">
        <v>5</v>
      </c>
      <c r="C6" s="6">
        <f t="shared" si="0"/>
        <v>67</v>
      </c>
      <c r="D6" s="11" t="s">
        <v>41</v>
      </c>
      <c r="E6" s="11" t="s">
        <v>43</v>
      </c>
      <c r="F6" s="1">
        <v>2400</v>
      </c>
      <c r="G6" s="9" t="s">
        <v>7</v>
      </c>
      <c r="H6" s="8">
        <v>0</v>
      </c>
      <c r="I6" s="1">
        <v>5</v>
      </c>
      <c r="J6" s="1">
        <v>7</v>
      </c>
      <c r="K6" s="1">
        <v>6</v>
      </c>
      <c r="L6" s="1">
        <v>6</v>
      </c>
      <c r="M6" s="1">
        <v>3</v>
      </c>
      <c r="N6" s="1">
        <v>5</v>
      </c>
      <c r="O6" s="1">
        <v>8</v>
      </c>
      <c r="P6" s="1">
        <v>12</v>
      </c>
      <c r="Q6" s="1">
        <v>5</v>
      </c>
      <c r="R6" s="1">
        <v>6</v>
      </c>
      <c r="S6" s="1">
        <v>4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">
      <c r="A7" s="5">
        <f>DATE(($K$1-3),2,1)</f>
        <v>41671</v>
      </c>
      <c r="B7" s="6" t="s">
        <v>8</v>
      </c>
      <c r="C7" s="6">
        <f t="shared" si="0"/>
        <v>69</v>
      </c>
      <c r="D7" s="11" t="s">
        <v>40</v>
      </c>
      <c r="E7" s="11" t="s">
        <v>43</v>
      </c>
      <c r="F7" s="1">
        <v>3780</v>
      </c>
      <c r="G7" s="9" t="s">
        <v>6</v>
      </c>
      <c r="H7" s="2"/>
      <c r="I7" s="8">
        <v>38</v>
      </c>
      <c r="J7" s="1">
        <v>6</v>
      </c>
      <c r="K7" s="1">
        <v>8</v>
      </c>
      <c r="L7" s="1">
        <v>2</v>
      </c>
      <c r="M7" s="1">
        <v>3</v>
      </c>
      <c r="N7" s="1">
        <v>4</v>
      </c>
      <c r="O7" s="1">
        <v>1</v>
      </c>
      <c r="P7" s="1">
        <v>5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">
      <c r="A8" s="5">
        <f>DATE(($K$1-3),2,1)</f>
        <v>41671</v>
      </c>
      <c r="B8" s="6" t="s">
        <v>8</v>
      </c>
      <c r="C8" s="6">
        <f t="shared" si="0"/>
        <v>67</v>
      </c>
      <c r="D8" s="11" t="s">
        <v>40</v>
      </c>
      <c r="E8" s="11" t="s">
        <v>43</v>
      </c>
      <c r="F8" s="1">
        <v>3780</v>
      </c>
      <c r="G8" s="9" t="s">
        <v>7</v>
      </c>
      <c r="H8" s="2"/>
      <c r="I8" s="8">
        <v>0</v>
      </c>
      <c r="J8" s="1">
        <v>4</v>
      </c>
      <c r="K8" s="1">
        <v>8</v>
      </c>
      <c r="L8" s="1">
        <v>3</v>
      </c>
      <c r="M8" s="1">
        <v>5</v>
      </c>
      <c r="N8" s="1">
        <v>5</v>
      </c>
      <c r="O8" s="1">
        <v>7</v>
      </c>
      <c r="P8" s="1">
        <v>8</v>
      </c>
      <c r="Q8" s="1">
        <v>10</v>
      </c>
      <c r="R8" s="1">
        <v>6</v>
      </c>
      <c r="S8" s="1">
        <v>7</v>
      </c>
      <c r="T8" s="1">
        <v>3</v>
      </c>
      <c r="U8" s="1"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">
      <c r="A9" s="5">
        <f>DATE(($K$1-3),3,1)</f>
        <v>41699</v>
      </c>
      <c r="B9" s="6" t="s">
        <v>7</v>
      </c>
      <c r="C9" s="6">
        <f t="shared" si="0"/>
        <v>63</v>
      </c>
      <c r="D9" s="11" t="s">
        <v>41</v>
      </c>
      <c r="E9" s="11" t="s">
        <v>42</v>
      </c>
      <c r="F9" s="1">
        <v>4593</v>
      </c>
      <c r="G9" s="9" t="s">
        <v>6</v>
      </c>
      <c r="H9" s="8"/>
      <c r="I9" s="1"/>
      <c r="J9" s="1">
        <v>41</v>
      </c>
      <c r="K9" s="1">
        <v>5</v>
      </c>
      <c r="L9" s="1">
        <v>3</v>
      </c>
      <c r="M9" s="1">
        <v>4</v>
      </c>
      <c r="N9" s="1">
        <v>3</v>
      </c>
      <c r="O9" s="1">
        <v>2</v>
      </c>
      <c r="P9" s="1">
        <v>2</v>
      </c>
      <c r="Q9" s="1">
        <v>1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">
      <c r="A10" s="5">
        <f>DATE(($K$1-3),3,1)</f>
        <v>41699</v>
      </c>
      <c r="B10" s="6" t="s">
        <v>7</v>
      </c>
      <c r="C10" s="6">
        <f t="shared" si="0"/>
        <v>62</v>
      </c>
      <c r="D10" s="11" t="s">
        <v>41</v>
      </c>
      <c r="E10" s="11" t="s">
        <v>42</v>
      </c>
      <c r="F10" s="1">
        <v>4593</v>
      </c>
      <c r="G10" s="9" t="s">
        <v>7</v>
      </c>
      <c r="H10" s="8"/>
      <c r="I10" s="1"/>
      <c r="J10" s="1">
        <v>0</v>
      </c>
      <c r="K10" s="1">
        <v>6</v>
      </c>
      <c r="L10" s="1">
        <v>8</v>
      </c>
      <c r="M10" s="1">
        <v>7</v>
      </c>
      <c r="N10" s="1">
        <v>4</v>
      </c>
      <c r="O10" s="1">
        <v>5</v>
      </c>
      <c r="P10" s="1">
        <v>3</v>
      </c>
      <c r="Q10" s="1">
        <v>10</v>
      </c>
      <c r="R10" s="1">
        <v>12</v>
      </c>
      <c r="S10" s="1">
        <v>5</v>
      </c>
      <c r="T10" s="1">
        <v>2</v>
      </c>
      <c r="U10" s="1">
        <v>0</v>
      </c>
      <c r="V10" s="1">
        <v>0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">
      <c r="A11" s="5">
        <f>DATE(($K$1-3),5,1)</f>
        <v>41760</v>
      </c>
      <c r="B11" s="6" t="s">
        <v>9</v>
      </c>
      <c r="C11" s="6">
        <f t="shared" si="0"/>
        <v>53</v>
      </c>
      <c r="D11" s="11" t="s">
        <v>41</v>
      </c>
      <c r="E11" s="11" t="s">
        <v>43</v>
      </c>
      <c r="F11" s="1">
        <v>3690</v>
      </c>
      <c r="G11" s="9" t="s">
        <v>6</v>
      </c>
      <c r="H11" s="8"/>
      <c r="I11" s="1"/>
      <c r="J11" s="1"/>
      <c r="K11" s="1"/>
      <c r="L11" s="1">
        <v>33</v>
      </c>
      <c r="M11" s="1">
        <v>4</v>
      </c>
      <c r="N11" s="1">
        <v>2</v>
      </c>
      <c r="O11" s="1">
        <v>5</v>
      </c>
      <c r="P11" s="1">
        <v>2</v>
      </c>
      <c r="Q11" s="1">
        <v>2</v>
      </c>
      <c r="R11" s="1">
        <v>1</v>
      </c>
      <c r="S11" s="1">
        <v>3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">
      <c r="A12" s="5">
        <f>DATE(($K$1-3),5,1)</f>
        <v>41760</v>
      </c>
      <c r="B12" s="6" t="s">
        <v>9</v>
      </c>
      <c r="C12" s="6">
        <f t="shared" si="0"/>
        <v>53</v>
      </c>
      <c r="D12" s="11" t="s">
        <v>41</v>
      </c>
      <c r="E12" s="11" t="s">
        <v>43</v>
      </c>
      <c r="F12" s="1">
        <v>3690</v>
      </c>
      <c r="G12" s="9" t="s">
        <v>7</v>
      </c>
      <c r="H12" s="8"/>
      <c r="I12" s="1"/>
      <c r="J12" s="1"/>
      <c r="K12" s="1"/>
      <c r="L12" s="1">
        <v>0</v>
      </c>
      <c r="M12" s="1">
        <v>8</v>
      </c>
      <c r="N12" s="1">
        <v>4</v>
      </c>
      <c r="O12" s="1">
        <v>4</v>
      </c>
      <c r="P12" s="1">
        <v>5</v>
      </c>
      <c r="Q12" s="1">
        <v>3</v>
      </c>
      <c r="R12" s="1">
        <v>7</v>
      </c>
      <c r="S12" s="1">
        <v>8</v>
      </c>
      <c r="T12" s="1">
        <v>7</v>
      </c>
      <c r="U12" s="1">
        <v>4</v>
      </c>
      <c r="V12" s="1">
        <v>2</v>
      </c>
      <c r="W12" s="1">
        <v>1</v>
      </c>
      <c r="X12" s="1"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">
      <c r="A13" s="5">
        <f>DATE(($K$1-3),6,1)</f>
        <v>41791</v>
      </c>
      <c r="B13" s="6" t="s">
        <v>10</v>
      </c>
      <c r="C13" s="6">
        <f t="shared" si="0"/>
        <v>82</v>
      </c>
      <c r="D13" s="11" t="s">
        <v>41</v>
      </c>
      <c r="E13" s="11" t="s">
        <v>43</v>
      </c>
      <c r="F13" s="1">
        <v>4400</v>
      </c>
      <c r="G13" s="9" t="s">
        <v>6</v>
      </c>
      <c r="H13" s="8"/>
      <c r="I13" s="1"/>
      <c r="J13" s="1"/>
      <c r="K13" s="1"/>
      <c r="L13" s="1"/>
      <c r="M13" s="1">
        <v>55</v>
      </c>
      <c r="N13" s="1">
        <v>3</v>
      </c>
      <c r="O13" s="1">
        <v>5</v>
      </c>
      <c r="P13" s="1">
        <v>3</v>
      </c>
      <c r="Q13" s="1">
        <v>2</v>
      </c>
      <c r="R13" s="1">
        <v>6</v>
      </c>
      <c r="S13" s="1">
        <v>3</v>
      </c>
      <c r="T13" s="1">
        <v>2</v>
      </c>
      <c r="U13" s="1">
        <v>1</v>
      </c>
      <c r="V13" s="1">
        <v>0</v>
      </c>
      <c r="W13" s="1">
        <v>1</v>
      </c>
      <c r="X13" s="1">
        <v>0</v>
      </c>
      <c r="Y13" s="1">
        <v>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">
      <c r="A14" s="5">
        <f>DATE(($K$1-3),6,1)</f>
        <v>41791</v>
      </c>
      <c r="B14" s="6" t="s">
        <v>10</v>
      </c>
      <c r="C14" s="6">
        <f t="shared" si="0"/>
        <v>76</v>
      </c>
      <c r="D14" s="11" t="s">
        <v>41</v>
      </c>
      <c r="E14" s="11" t="s">
        <v>43</v>
      </c>
      <c r="F14" s="1">
        <v>4400</v>
      </c>
      <c r="G14" s="9" t="s">
        <v>7</v>
      </c>
      <c r="H14" s="8"/>
      <c r="I14" s="1"/>
      <c r="J14" s="1"/>
      <c r="K14" s="1"/>
      <c r="L14" s="1"/>
      <c r="M14" s="1">
        <v>0</v>
      </c>
      <c r="N14" s="1">
        <v>8</v>
      </c>
      <c r="O14" s="1">
        <v>7</v>
      </c>
      <c r="P14" s="1">
        <v>9</v>
      </c>
      <c r="Q14" s="1">
        <v>6</v>
      </c>
      <c r="R14" s="1">
        <v>5</v>
      </c>
      <c r="S14" s="1">
        <v>5</v>
      </c>
      <c r="T14" s="1">
        <v>8</v>
      </c>
      <c r="U14" s="1">
        <v>12</v>
      </c>
      <c r="V14" s="1">
        <v>5</v>
      </c>
      <c r="W14" s="1">
        <v>6</v>
      </c>
      <c r="X14" s="1">
        <v>4</v>
      </c>
      <c r="Y14" s="1">
        <v>1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">
      <c r="A15" s="5">
        <f>DATE(($K$1-3),7,1)</f>
        <v>41821</v>
      </c>
      <c r="B15" s="6" t="s">
        <v>11</v>
      </c>
      <c r="C15" s="6">
        <f t="shared" si="0"/>
        <v>86</v>
      </c>
      <c r="D15" s="11" t="s">
        <v>41</v>
      </c>
      <c r="E15" s="11" t="s">
        <v>43</v>
      </c>
      <c r="F15" s="1">
        <v>4450</v>
      </c>
      <c r="G15" s="9" t="s">
        <v>6</v>
      </c>
      <c r="H15" s="8"/>
      <c r="I15" s="1"/>
      <c r="J15" s="1"/>
      <c r="K15" s="1"/>
      <c r="L15" s="1"/>
      <c r="M15" s="1"/>
      <c r="N15" s="1">
        <v>56</v>
      </c>
      <c r="O15" s="1">
        <v>6</v>
      </c>
      <c r="P15" s="1">
        <v>8</v>
      </c>
      <c r="Q15" s="1">
        <v>2</v>
      </c>
      <c r="R15" s="1">
        <v>3</v>
      </c>
      <c r="S15" s="1">
        <v>4</v>
      </c>
      <c r="T15" s="1">
        <v>1</v>
      </c>
      <c r="U15" s="1">
        <v>5</v>
      </c>
      <c r="V15" s="1">
        <v>0</v>
      </c>
      <c r="W15" s="1">
        <v>0</v>
      </c>
      <c r="X15" s="1">
        <v>1</v>
      </c>
      <c r="Y15" s="1">
        <v>0</v>
      </c>
      <c r="Z15" s="1"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">
      <c r="A16" s="5">
        <f>DATE(($K$1-3),7,1)</f>
        <v>41821</v>
      </c>
      <c r="B16" s="6" t="s">
        <v>11</v>
      </c>
      <c r="C16" s="6">
        <f t="shared" si="0"/>
        <v>84</v>
      </c>
      <c r="D16" s="11" t="s">
        <v>41</v>
      </c>
      <c r="E16" s="11" t="s">
        <v>43</v>
      </c>
      <c r="F16" s="1">
        <v>4450</v>
      </c>
      <c r="G16" s="9" t="s">
        <v>7</v>
      </c>
      <c r="H16" s="8"/>
      <c r="I16" s="1"/>
      <c r="J16" s="1"/>
      <c r="K16" s="1"/>
      <c r="L16" s="1"/>
      <c r="M16" s="1"/>
      <c r="N16" s="1">
        <v>0</v>
      </c>
      <c r="O16" s="1">
        <v>10</v>
      </c>
      <c r="P16" s="1">
        <v>8</v>
      </c>
      <c r="Q16" s="1">
        <v>13</v>
      </c>
      <c r="R16" s="1">
        <v>5</v>
      </c>
      <c r="S16" s="1">
        <v>5</v>
      </c>
      <c r="T16" s="1">
        <v>9</v>
      </c>
      <c r="U16" s="1">
        <v>8</v>
      </c>
      <c r="V16" s="1">
        <v>10</v>
      </c>
      <c r="W16" s="1">
        <v>6</v>
      </c>
      <c r="X16" s="1">
        <v>7</v>
      </c>
      <c r="Y16" s="1">
        <v>3</v>
      </c>
      <c r="Z16" s="1"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">
      <c r="A17" s="5">
        <f>DATE(($K$1-3),8,1)</f>
        <v>41852</v>
      </c>
      <c r="B17" s="6" t="s">
        <v>12</v>
      </c>
      <c r="C17" s="6">
        <f t="shared" si="0"/>
        <v>66</v>
      </c>
      <c r="D17" s="11" t="s">
        <v>40</v>
      </c>
      <c r="E17" s="11" t="s">
        <v>43</v>
      </c>
      <c r="F17" s="1">
        <v>4925</v>
      </c>
      <c r="G17" s="9" t="s">
        <v>6</v>
      </c>
      <c r="H17" s="8"/>
      <c r="I17" s="1"/>
      <c r="J17" s="1"/>
      <c r="K17" s="1"/>
      <c r="L17" s="1"/>
      <c r="M17" s="1"/>
      <c r="N17" s="1"/>
      <c r="O17" s="1">
        <v>44</v>
      </c>
      <c r="P17" s="1">
        <v>4</v>
      </c>
      <c r="Q17" s="1">
        <v>3</v>
      </c>
      <c r="R17" s="1">
        <v>5</v>
      </c>
      <c r="S17" s="1">
        <v>2</v>
      </c>
      <c r="T17" s="1">
        <v>3</v>
      </c>
      <c r="U17" s="1">
        <v>2</v>
      </c>
      <c r="V17" s="1">
        <v>1</v>
      </c>
      <c r="W17" s="1">
        <v>1</v>
      </c>
      <c r="X17" s="1">
        <v>0</v>
      </c>
      <c r="Y17" s="1">
        <v>1</v>
      </c>
      <c r="Z17" s="1">
        <v>0</v>
      </c>
      <c r="AA17" s="1"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">
      <c r="A18" s="5">
        <f>DATE(($K$1-3),8,1)</f>
        <v>41852</v>
      </c>
      <c r="B18" s="6" t="s">
        <v>12</v>
      </c>
      <c r="C18" s="6">
        <f t="shared" si="0"/>
        <v>65</v>
      </c>
      <c r="D18" s="11" t="s">
        <v>40</v>
      </c>
      <c r="E18" s="11" t="s">
        <v>43</v>
      </c>
      <c r="F18" s="1">
        <v>4925</v>
      </c>
      <c r="G18" s="9" t="s">
        <v>7</v>
      </c>
      <c r="H18" s="8"/>
      <c r="I18" s="1"/>
      <c r="J18" s="1"/>
      <c r="K18" s="1"/>
      <c r="L18" s="1"/>
      <c r="M18" s="1"/>
      <c r="N18" s="1"/>
      <c r="O18" s="1">
        <v>0</v>
      </c>
      <c r="P18" s="1">
        <v>6</v>
      </c>
      <c r="Q18" s="1">
        <v>8</v>
      </c>
      <c r="R18" s="1">
        <v>7</v>
      </c>
      <c r="S18" s="1">
        <v>4</v>
      </c>
      <c r="T18" s="1">
        <v>7</v>
      </c>
      <c r="U18" s="1">
        <v>5</v>
      </c>
      <c r="V18" s="1">
        <v>10</v>
      </c>
      <c r="W18" s="1">
        <v>11</v>
      </c>
      <c r="X18" s="1">
        <v>5</v>
      </c>
      <c r="Y18" s="1">
        <v>2</v>
      </c>
      <c r="Z18" s="1">
        <v>0</v>
      </c>
      <c r="AA18" s="1"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">
      <c r="A19" s="5">
        <f>DATE(($K$1-3),10,1)</f>
        <v>41913</v>
      </c>
      <c r="B19" s="6" t="s">
        <v>13</v>
      </c>
      <c r="C19" s="6">
        <f t="shared" si="0"/>
        <v>64</v>
      </c>
      <c r="D19" s="11" t="s">
        <v>40</v>
      </c>
      <c r="E19" s="11" t="s">
        <v>43</v>
      </c>
      <c r="F19" s="1">
        <v>5645</v>
      </c>
      <c r="G19" s="9" t="s">
        <v>6</v>
      </c>
      <c r="H19" s="8"/>
      <c r="I19" s="1"/>
      <c r="J19" s="1"/>
      <c r="K19" s="1"/>
      <c r="L19" s="1"/>
      <c r="M19" s="1"/>
      <c r="N19" s="1"/>
      <c r="O19" s="1"/>
      <c r="P19" s="1"/>
      <c r="Q19" s="1">
        <v>43</v>
      </c>
      <c r="R19" s="1">
        <v>2</v>
      </c>
      <c r="S19" s="1">
        <v>4</v>
      </c>
      <c r="T19" s="1">
        <v>3</v>
      </c>
      <c r="U19" s="1">
        <v>4</v>
      </c>
      <c r="V19" s="1">
        <v>2</v>
      </c>
      <c r="W19" s="1">
        <v>1</v>
      </c>
      <c r="X19" s="1">
        <v>3</v>
      </c>
      <c r="Y19" s="1">
        <v>0</v>
      </c>
      <c r="Z19" s="1">
        <v>0</v>
      </c>
      <c r="AA19" s="1">
        <v>1</v>
      </c>
      <c r="AB19" s="1">
        <v>0</v>
      </c>
      <c r="AC19" s="1">
        <v>1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">
      <c r="A20" s="5">
        <f>DATE(($K$1-3),10,1)</f>
        <v>41913</v>
      </c>
      <c r="B20" s="6" t="s">
        <v>13</v>
      </c>
      <c r="C20" s="6">
        <f t="shared" si="0"/>
        <v>62</v>
      </c>
      <c r="D20" s="11" t="s">
        <v>40</v>
      </c>
      <c r="E20" s="11" t="s">
        <v>43</v>
      </c>
      <c r="F20" s="1">
        <v>5645</v>
      </c>
      <c r="G20" s="9" t="s">
        <v>7</v>
      </c>
      <c r="H20" s="8"/>
      <c r="I20" s="1"/>
      <c r="J20" s="1"/>
      <c r="K20" s="1"/>
      <c r="L20" s="1"/>
      <c r="M20" s="1"/>
      <c r="N20" s="1"/>
      <c r="O20" s="1"/>
      <c r="P20" s="1"/>
      <c r="Q20" s="1">
        <v>0</v>
      </c>
      <c r="R20" s="1">
        <v>8</v>
      </c>
      <c r="S20" s="1">
        <v>6</v>
      </c>
      <c r="T20" s="1">
        <v>4</v>
      </c>
      <c r="U20" s="1">
        <v>5</v>
      </c>
      <c r="V20" s="1">
        <v>5</v>
      </c>
      <c r="W20" s="1">
        <v>7</v>
      </c>
      <c r="X20" s="1">
        <v>8</v>
      </c>
      <c r="Y20" s="1">
        <v>7</v>
      </c>
      <c r="Z20" s="1">
        <v>6</v>
      </c>
      <c r="AA20" s="1">
        <v>3</v>
      </c>
      <c r="AB20" s="1">
        <v>2</v>
      </c>
      <c r="AC20" s="1">
        <v>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">
      <c r="A21" s="5">
        <f>DATE(($K$1-3),11,1)</f>
        <v>41944</v>
      </c>
      <c r="B21" s="6" t="s">
        <v>15</v>
      </c>
      <c r="C21" s="6">
        <f t="shared" si="0"/>
        <v>60</v>
      </c>
      <c r="D21" s="11" t="s">
        <v>40</v>
      </c>
      <c r="E21" s="11" t="s">
        <v>42</v>
      </c>
      <c r="F21" s="1">
        <v>6323</v>
      </c>
      <c r="G21" s="9" t="s">
        <v>6</v>
      </c>
      <c r="H21" s="8"/>
      <c r="I21" s="1"/>
      <c r="J21" s="1"/>
      <c r="K21" s="1"/>
      <c r="L21" s="1"/>
      <c r="M21" s="1"/>
      <c r="N21" s="1"/>
      <c r="O21" s="1"/>
      <c r="P21" s="1"/>
      <c r="Q21" s="1"/>
      <c r="R21" s="1">
        <v>38</v>
      </c>
      <c r="S21" s="1">
        <v>4</v>
      </c>
      <c r="T21" s="1">
        <v>3</v>
      </c>
      <c r="U21" s="1">
        <v>5</v>
      </c>
      <c r="V21" s="1">
        <v>2</v>
      </c>
      <c r="W21" s="1">
        <v>3</v>
      </c>
      <c r="X21" s="1">
        <v>2</v>
      </c>
      <c r="Y21" s="1">
        <v>1</v>
      </c>
      <c r="Z21" s="1">
        <v>1</v>
      </c>
      <c r="AA21" s="1">
        <v>0</v>
      </c>
      <c r="AB21" s="1">
        <v>1</v>
      </c>
      <c r="AC21" s="1">
        <v>0</v>
      </c>
      <c r="AD21" s="1"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">
      <c r="A22" s="5">
        <f>DATE(($K$1-3),11,1)</f>
        <v>41944</v>
      </c>
      <c r="B22" s="6" t="s">
        <v>15</v>
      </c>
      <c r="C22" s="6">
        <f t="shared" si="0"/>
        <v>59</v>
      </c>
      <c r="D22" s="11" t="s">
        <v>40</v>
      </c>
      <c r="E22" s="11" t="s">
        <v>42</v>
      </c>
      <c r="F22" s="1">
        <v>6323</v>
      </c>
      <c r="G22" s="9" t="s">
        <v>7</v>
      </c>
      <c r="H22" s="8"/>
      <c r="I22" s="1"/>
      <c r="J22" s="1"/>
      <c r="K22" s="1"/>
      <c r="L22" s="1"/>
      <c r="M22" s="1"/>
      <c r="N22" s="1"/>
      <c r="O22" s="1"/>
      <c r="P22" s="1"/>
      <c r="Q22" s="1"/>
      <c r="R22" s="1">
        <v>0</v>
      </c>
      <c r="S22" s="1">
        <v>6</v>
      </c>
      <c r="T22" s="1">
        <v>6</v>
      </c>
      <c r="U22" s="1">
        <v>7</v>
      </c>
      <c r="V22" s="1">
        <v>4</v>
      </c>
      <c r="W22" s="1">
        <v>7</v>
      </c>
      <c r="X22" s="1">
        <v>5</v>
      </c>
      <c r="Y22" s="1">
        <v>6</v>
      </c>
      <c r="Z22" s="1">
        <v>11</v>
      </c>
      <c r="AA22" s="1">
        <v>5</v>
      </c>
      <c r="AB22" s="1">
        <v>2</v>
      </c>
      <c r="AC22" s="1">
        <v>0</v>
      </c>
      <c r="AD22" s="1"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">
      <c r="A23" s="5">
        <f>DATE(($K$1-3),12,1)</f>
        <v>41974</v>
      </c>
      <c r="B23" s="6" t="s">
        <v>16</v>
      </c>
      <c r="C23" s="6">
        <f t="shared" si="0"/>
        <v>63</v>
      </c>
      <c r="D23" s="11" t="s">
        <v>40</v>
      </c>
      <c r="E23" s="11" t="s">
        <v>42</v>
      </c>
      <c r="F23" s="1">
        <v>3809</v>
      </c>
      <c r="G23" s="9" t="s">
        <v>6</v>
      </c>
      <c r="H23" s="8"/>
      <c r="I23" s="1"/>
      <c r="J23" s="1"/>
      <c r="K23" s="1"/>
      <c r="L23" s="1"/>
      <c r="M23" s="1"/>
      <c r="N23" s="1"/>
      <c r="O23" s="1"/>
      <c r="P23" s="1"/>
      <c r="Q23" s="1"/>
      <c r="R23" s="1"/>
      <c r="S23" s="1">
        <v>42</v>
      </c>
      <c r="T23" s="1">
        <v>2</v>
      </c>
      <c r="U23" s="1">
        <v>4</v>
      </c>
      <c r="V23" s="1">
        <v>3</v>
      </c>
      <c r="W23" s="1">
        <v>4</v>
      </c>
      <c r="X23" s="1">
        <v>2</v>
      </c>
      <c r="Y23" s="1">
        <v>1</v>
      </c>
      <c r="Z23" s="1">
        <v>3</v>
      </c>
      <c r="AA23" s="1">
        <v>0</v>
      </c>
      <c r="AB23" s="1">
        <v>0</v>
      </c>
      <c r="AC23" s="1">
        <v>1</v>
      </c>
      <c r="AD23" s="1">
        <v>0</v>
      </c>
      <c r="AE23" s="1">
        <v>1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">
      <c r="A24" s="5">
        <f>DATE(($K$1-3),12,1)</f>
        <v>41974</v>
      </c>
      <c r="B24" s="6" t="s">
        <v>16</v>
      </c>
      <c r="C24" s="6">
        <f t="shared" si="0"/>
        <v>61</v>
      </c>
      <c r="D24" s="11" t="s">
        <v>40</v>
      </c>
      <c r="E24" s="11" t="s">
        <v>42</v>
      </c>
      <c r="F24" s="1">
        <v>3809</v>
      </c>
      <c r="G24" s="9" t="s">
        <v>7</v>
      </c>
      <c r="H24" s="8"/>
      <c r="I24" s="1"/>
      <c r="J24" s="1"/>
      <c r="K24" s="1"/>
      <c r="L24" s="1"/>
      <c r="M24" s="1"/>
      <c r="N24" s="1"/>
      <c r="O24" s="1"/>
      <c r="P24" s="1"/>
      <c r="Q24" s="1"/>
      <c r="R24" s="1"/>
      <c r="S24" s="1">
        <v>0</v>
      </c>
      <c r="T24" s="1">
        <v>8</v>
      </c>
      <c r="U24" s="1">
        <v>6</v>
      </c>
      <c r="V24" s="1">
        <v>4</v>
      </c>
      <c r="W24" s="1">
        <v>5</v>
      </c>
      <c r="X24" s="1">
        <v>5</v>
      </c>
      <c r="Y24" s="1">
        <v>7</v>
      </c>
      <c r="Z24" s="1">
        <v>8</v>
      </c>
      <c r="AA24" s="1">
        <v>6</v>
      </c>
      <c r="AB24" s="1">
        <v>6</v>
      </c>
      <c r="AC24" s="1">
        <v>3</v>
      </c>
      <c r="AD24" s="1">
        <v>2</v>
      </c>
      <c r="AE24" s="1">
        <v>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">
      <c r="A25" s="5">
        <f>DATE(($K$1-2),1,1)</f>
        <v>42005</v>
      </c>
      <c r="B25" s="11" t="s">
        <v>19</v>
      </c>
      <c r="C25" s="6">
        <f t="shared" si="0"/>
        <v>61</v>
      </c>
      <c r="D25" s="11" t="s">
        <v>41</v>
      </c>
      <c r="E25" s="11" t="s">
        <v>43</v>
      </c>
      <c r="F25" s="1">
        <v>2900</v>
      </c>
      <c r="G25" s="9" t="s">
        <v>6</v>
      </c>
      <c r="H25" s="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v>40</v>
      </c>
      <c r="U25" s="1">
        <v>2</v>
      </c>
      <c r="V25" s="1">
        <v>6</v>
      </c>
      <c r="W25" s="1">
        <v>2</v>
      </c>
      <c r="X25" s="1">
        <v>1</v>
      </c>
      <c r="Y25" s="1">
        <v>2</v>
      </c>
      <c r="Z25" s="1">
        <v>3</v>
      </c>
      <c r="AA25" s="1">
        <v>2</v>
      </c>
      <c r="AB25" s="1">
        <v>1</v>
      </c>
      <c r="AC25" s="1">
        <v>0</v>
      </c>
      <c r="AD25" s="1">
        <v>1</v>
      </c>
      <c r="AE25" s="1">
        <v>0</v>
      </c>
      <c r="AF25" s="1">
        <v>1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">
      <c r="A26" s="5">
        <f>DATE(($K$1-2),1,1)</f>
        <v>42005</v>
      </c>
      <c r="B26" s="11" t="s">
        <v>19</v>
      </c>
      <c r="C26" s="6">
        <f t="shared" si="0"/>
        <v>59</v>
      </c>
      <c r="D26" s="11" t="s">
        <v>41</v>
      </c>
      <c r="E26" s="11" t="s">
        <v>43</v>
      </c>
      <c r="F26" s="1">
        <v>2900</v>
      </c>
      <c r="G26" s="9" t="s">
        <v>7</v>
      </c>
      <c r="H26" s="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v>0</v>
      </c>
      <c r="U26" s="1">
        <v>5</v>
      </c>
      <c r="V26" s="1">
        <v>4</v>
      </c>
      <c r="W26" s="1">
        <v>6</v>
      </c>
      <c r="X26" s="1">
        <v>7</v>
      </c>
      <c r="Y26" s="1">
        <v>3</v>
      </c>
      <c r="Z26" s="1">
        <v>2</v>
      </c>
      <c r="AA26" s="1">
        <v>9</v>
      </c>
      <c r="AB26" s="1">
        <v>8</v>
      </c>
      <c r="AC26" s="1">
        <v>5</v>
      </c>
      <c r="AD26" s="1">
        <v>6</v>
      </c>
      <c r="AE26" s="1">
        <v>4</v>
      </c>
      <c r="AF26" s="1"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">
      <c r="A27" s="5">
        <f>DATE(($K$1-2),2,15)</f>
        <v>42050</v>
      </c>
      <c r="B27" s="11" t="s">
        <v>20</v>
      </c>
      <c r="C27" s="6">
        <f t="shared" si="0"/>
        <v>49</v>
      </c>
      <c r="D27" s="11" t="s">
        <v>41</v>
      </c>
      <c r="E27" s="11" t="s">
        <v>42</v>
      </c>
      <c r="F27" s="1">
        <v>3800</v>
      </c>
      <c r="G27" s="9" t="s">
        <v>6</v>
      </c>
      <c r="H27" s="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25</v>
      </c>
      <c r="V27" s="1">
        <v>4</v>
      </c>
      <c r="W27" s="1">
        <v>6</v>
      </c>
      <c r="X27" s="1">
        <v>3</v>
      </c>
      <c r="Y27" s="1">
        <v>1</v>
      </c>
      <c r="Z27" s="1">
        <v>2</v>
      </c>
      <c r="AA27" s="1">
        <v>2</v>
      </c>
      <c r="AB27" s="1">
        <v>3</v>
      </c>
      <c r="AC27" s="1">
        <v>1</v>
      </c>
      <c r="AD27" s="1">
        <v>0</v>
      </c>
      <c r="AE27" s="1">
        <v>1</v>
      </c>
      <c r="AF27" s="1">
        <v>0</v>
      </c>
      <c r="AG27" s="1">
        <v>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">
      <c r="A28" s="5">
        <f>DATE(($K$1-2),2,15)</f>
        <v>42050</v>
      </c>
      <c r="B28" s="11" t="s">
        <v>20</v>
      </c>
      <c r="C28" s="6">
        <f t="shared" si="0"/>
        <v>49</v>
      </c>
      <c r="D28" s="11" t="s">
        <v>41</v>
      </c>
      <c r="E28" s="11" t="s">
        <v>42</v>
      </c>
      <c r="F28" s="1">
        <v>3800</v>
      </c>
      <c r="G28" s="9" t="s">
        <v>7</v>
      </c>
      <c r="H28" s="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>
        <v>0</v>
      </c>
      <c r="V28" s="1">
        <v>4</v>
      </c>
      <c r="W28" s="1">
        <v>8</v>
      </c>
      <c r="X28" s="1">
        <v>3</v>
      </c>
      <c r="Y28" s="1">
        <v>5</v>
      </c>
      <c r="Z28" s="1">
        <v>5</v>
      </c>
      <c r="AA28" s="1">
        <v>7</v>
      </c>
      <c r="AB28" s="1">
        <v>8</v>
      </c>
      <c r="AC28" s="1">
        <v>6</v>
      </c>
      <c r="AD28" s="1">
        <v>1</v>
      </c>
      <c r="AE28" s="1">
        <v>0</v>
      </c>
      <c r="AF28" s="1">
        <v>1</v>
      </c>
      <c r="AG28" s="1">
        <v>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">
      <c r="A29" s="5">
        <f>DATE(($K$1-2),3,1)</f>
        <v>42064</v>
      </c>
      <c r="B29" s="11" t="s">
        <v>21</v>
      </c>
      <c r="C29" s="6">
        <f t="shared" si="0"/>
        <v>59</v>
      </c>
      <c r="D29" s="11" t="s">
        <v>40</v>
      </c>
      <c r="E29" s="11" t="s">
        <v>43</v>
      </c>
      <c r="F29" s="1">
        <v>5215</v>
      </c>
      <c r="G29" s="9" t="s">
        <v>6</v>
      </c>
      <c r="H29" s="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>
        <v>36</v>
      </c>
      <c r="W29" s="1">
        <v>3</v>
      </c>
      <c r="X29" s="1">
        <v>4</v>
      </c>
      <c r="Y29" s="1">
        <v>5</v>
      </c>
      <c r="Z29" s="1">
        <v>1</v>
      </c>
      <c r="AA29" s="1">
        <v>4</v>
      </c>
      <c r="AB29" s="1">
        <v>1</v>
      </c>
      <c r="AC29" s="1">
        <v>2</v>
      </c>
      <c r="AD29" s="1">
        <v>1</v>
      </c>
      <c r="AE29" s="1">
        <v>0</v>
      </c>
      <c r="AF29" s="1">
        <v>1</v>
      </c>
      <c r="AG29" s="1">
        <v>0</v>
      </c>
      <c r="AH29" s="1">
        <v>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">
      <c r="A30" s="5">
        <f>DATE(($K$1-2),3,1)</f>
        <v>42064</v>
      </c>
      <c r="B30" s="11" t="s">
        <v>21</v>
      </c>
      <c r="C30" s="6">
        <f t="shared" si="0"/>
        <v>59</v>
      </c>
      <c r="D30" s="11" t="s">
        <v>40</v>
      </c>
      <c r="E30" s="11" t="s">
        <v>43</v>
      </c>
      <c r="F30" s="1">
        <v>5215</v>
      </c>
      <c r="G30" s="9" t="s">
        <v>7</v>
      </c>
      <c r="H30" s="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>
        <v>0</v>
      </c>
      <c r="W30" s="1">
        <v>6</v>
      </c>
      <c r="X30" s="1">
        <v>7</v>
      </c>
      <c r="Y30" s="1">
        <v>5</v>
      </c>
      <c r="Z30" s="1">
        <v>4</v>
      </c>
      <c r="AA30" s="1">
        <v>6</v>
      </c>
      <c r="AB30" s="1">
        <v>3</v>
      </c>
      <c r="AC30" s="1">
        <v>10</v>
      </c>
      <c r="AD30" s="1">
        <v>10</v>
      </c>
      <c r="AE30" s="1">
        <v>5</v>
      </c>
      <c r="AF30" s="1">
        <v>2</v>
      </c>
      <c r="AG30" s="1">
        <v>0</v>
      </c>
      <c r="AH30" s="1">
        <v>1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">
      <c r="A31" s="5">
        <f>DATE(($K$1-2),5,1)</f>
        <v>42125</v>
      </c>
      <c r="B31" s="11" t="s">
        <v>6</v>
      </c>
      <c r="C31" s="6">
        <f t="shared" si="0"/>
        <v>49</v>
      </c>
      <c r="D31" s="11" t="s">
        <v>40</v>
      </c>
      <c r="E31" s="11" t="s">
        <v>43</v>
      </c>
      <c r="F31" s="1">
        <v>3900</v>
      </c>
      <c r="G31" s="9" t="s">
        <v>6</v>
      </c>
      <c r="H31" s="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v>28</v>
      </c>
      <c r="Y31" s="1">
        <v>2</v>
      </c>
      <c r="Z31" s="1">
        <v>3</v>
      </c>
      <c r="AA31" s="1">
        <v>4</v>
      </c>
      <c r="AB31" s="1">
        <v>3</v>
      </c>
      <c r="AC31" s="1">
        <v>3</v>
      </c>
      <c r="AD31" s="1">
        <v>2</v>
      </c>
      <c r="AE31" s="1">
        <v>2</v>
      </c>
      <c r="AF31" s="1">
        <v>1</v>
      </c>
      <c r="AG31" s="1">
        <v>0</v>
      </c>
      <c r="AH31" s="1">
        <v>1</v>
      </c>
      <c r="AI31" s="1">
        <v>0</v>
      </c>
      <c r="AJ31" s="1"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">
      <c r="A32" s="5">
        <f>DATE(($K$1-2),5,1)</f>
        <v>42125</v>
      </c>
      <c r="B32" s="11" t="s">
        <v>6</v>
      </c>
      <c r="C32" s="6">
        <f t="shared" si="0"/>
        <v>49</v>
      </c>
      <c r="D32" s="11" t="s">
        <v>40</v>
      </c>
      <c r="E32" s="11" t="s">
        <v>43</v>
      </c>
      <c r="F32" s="1">
        <v>3900</v>
      </c>
      <c r="G32" s="9" t="s">
        <v>7</v>
      </c>
      <c r="H32" s="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>
        <v>0</v>
      </c>
      <c r="Y32" s="1">
        <v>8</v>
      </c>
      <c r="Z32" s="1">
        <v>4</v>
      </c>
      <c r="AA32" s="1">
        <v>4</v>
      </c>
      <c r="AB32" s="1">
        <v>5</v>
      </c>
      <c r="AC32" s="1">
        <v>5</v>
      </c>
      <c r="AD32" s="1">
        <v>7</v>
      </c>
      <c r="AE32" s="1">
        <v>8</v>
      </c>
      <c r="AF32" s="1">
        <v>4</v>
      </c>
      <c r="AG32" s="1">
        <v>1</v>
      </c>
      <c r="AH32" s="1">
        <v>2</v>
      </c>
      <c r="AI32" s="1">
        <v>1</v>
      </c>
      <c r="AJ32" s="1"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">
      <c r="A33" s="5">
        <f>DATE(($K$1-2),6,15)</f>
        <v>42170</v>
      </c>
      <c r="B33" s="11" t="s">
        <v>22</v>
      </c>
      <c r="C33" s="6">
        <f t="shared" si="0"/>
        <v>63</v>
      </c>
      <c r="D33" s="11" t="s">
        <v>41</v>
      </c>
      <c r="E33" s="11" t="s">
        <v>42</v>
      </c>
      <c r="F33" s="1">
        <v>5100</v>
      </c>
      <c r="G33" s="9" t="s">
        <v>6</v>
      </c>
      <c r="H33" s="8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>
        <v>43</v>
      </c>
      <c r="Z33" s="1">
        <v>2</v>
      </c>
      <c r="AA33" s="1">
        <v>6</v>
      </c>
      <c r="AB33" s="1">
        <v>2</v>
      </c>
      <c r="AC33" s="1">
        <v>1</v>
      </c>
      <c r="AD33" s="1">
        <v>2</v>
      </c>
      <c r="AE33" s="1">
        <v>3</v>
      </c>
      <c r="AF33" s="1">
        <v>2</v>
      </c>
      <c r="AG33" s="1">
        <v>1</v>
      </c>
      <c r="AH33" s="1">
        <v>0</v>
      </c>
      <c r="AI33" s="1">
        <v>1</v>
      </c>
      <c r="AJ33" s="1">
        <v>0</v>
      </c>
      <c r="AK33" s="1"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">
      <c r="A34" s="5">
        <f>DATE(($K$1-2),6,15)</f>
        <v>42170</v>
      </c>
      <c r="B34" s="11" t="s">
        <v>22</v>
      </c>
      <c r="C34" s="6">
        <f t="shared" si="0"/>
        <v>62</v>
      </c>
      <c r="D34" s="11" t="s">
        <v>41</v>
      </c>
      <c r="E34" s="11" t="s">
        <v>42</v>
      </c>
      <c r="F34" s="1">
        <v>5100</v>
      </c>
      <c r="G34" s="9" t="s">
        <v>7</v>
      </c>
      <c r="H34" s="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>
        <v>0</v>
      </c>
      <c r="Z34" s="1">
        <v>5</v>
      </c>
      <c r="AA34" s="1">
        <v>4</v>
      </c>
      <c r="AB34" s="1">
        <v>6</v>
      </c>
      <c r="AC34" s="1">
        <v>7</v>
      </c>
      <c r="AD34" s="1">
        <v>3</v>
      </c>
      <c r="AE34" s="1">
        <v>5</v>
      </c>
      <c r="AF34" s="1">
        <v>9</v>
      </c>
      <c r="AG34" s="1">
        <v>8</v>
      </c>
      <c r="AH34" s="1">
        <v>5</v>
      </c>
      <c r="AI34" s="1">
        <v>6</v>
      </c>
      <c r="AJ34" s="1">
        <v>4</v>
      </c>
      <c r="AK34" s="1"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">
      <c r="A35" s="5">
        <f>DATE(($K$1-2),7,1)</f>
        <v>42186</v>
      </c>
      <c r="B35" s="11" t="s">
        <v>23</v>
      </c>
      <c r="C35" s="6">
        <f t="shared" si="0"/>
        <v>53</v>
      </c>
      <c r="D35" s="11" t="s">
        <v>40</v>
      </c>
      <c r="E35" s="11" t="s">
        <v>43</v>
      </c>
      <c r="F35" s="1">
        <v>5330</v>
      </c>
      <c r="G35" s="9" t="s">
        <v>6</v>
      </c>
      <c r="H35" s="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>
        <v>30</v>
      </c>
      <c r="AA35" s="1">
        <v>6</v>
      </c>
      <c r="AB35" s="1">
        <v>4</v>
      </c>
      <c r="AC35" s="1">
        <v>1</v>
      </c>
      <c r="AD35" s="1">
        <v>3</v>
      </c>
      <c r="AE35" s="1">
        <v>2</v>
      </c>
      <c r="AF35" s="1">
        <v>2</v>
      </c>
      <c r="AG35" s="1">
        <v>3</v>
      </c>
      <c r="AH35" s="1">
        <v>1</v>
      </c>
      <c r="AI35" s="1">
        <v>0</v>
      </c>
      <c r="AJ35" s="1">
        <v>1</v>
      </c>
      <c r="AK35" s="1">
        <v>0</v>
      </c>
      <c r="AL35" s="1"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">
      <c r="A36" s="5">
        <f>DATE(($K$1-2),7,1)</f>
        <v>42186</v>
      </c>
      <c r="B36" s="11" t="s">
        <v>23</v>
      </c>
      <c r="C36" s="6">
        <f t="shared" si="0"/>
        <v>53</v>
      </c>
      <c r="D36" s="11" t="s">
        <v>40</v>
      </c>
      <c r="E36" s="11" t="s">
        <v>43</v>
      </c>
      <c r="F36" s="1">
        <v>5330</v>
      </c>
      <c r="G36" s="9" t="s">
        <v>7</v>
      </c>
      <c r="H36" s="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>
        <v>0</v>
      </c>
      <c r="AA36" s="1">
        <v>4</v>
      </c>
      <c r="AB36" s="1">
        <v>8</v>
      </c>
      <c r="AC36" s="1">
        <v>6</v>
      </c>
      <c r="AD36" s="1">
        <v>8</v>
      </c>
      <c r="AE36" s="1">
        <v>5</v>
      </c>
      <c r="AF36" s="1">
        <v>7</v>
      </c>
      <c r="AG36" s="1">
        <v>6</v>
      </c>
      <c r="AH36" s="1">
        <v>7</v>
      </c>
      <c r="AI36" s="1">
        <v>1</v>
      </c>
      <c r="AJ36" s="1">
        <v>0</v>
      </c>
      <c r="AK36" s="1">
        <v>1</v>
      </c>
      <c r="AL36" s="1"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">
      <c r="A37" s="5">
        <f>DATE(($K$1-2),8,1)</f>
        <v>42217</v>
      </c>
      <c r="B37" s="11" t="s">
        <v>24</v>
      </c>
      <c r="C37" s="6">
        <f t="shared" ref="C37:C64" si="1">SUM(H37:BC37)</f>
        <v>58</v>
      </c>
      <c r="D37" s="11" t="s">
        <v>40</v>
      </c>
      <c r="E37" s="11" t="s">
        <v>42</v>
      </c>
      <c r="F37" s="1">
        <v>5455</v>
      </c>
      <c r="G37" s="9" t="s">
        <v>6</v>
      </c>
      <c r="H37" s="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>
        <v>36</v>
      </c>
      <c r="AB37" s="1">
        <v>3</v>
      </c>
      <c r="AC37" s="1">
        <v>4</v>
      </c>
      <c r="AD37" s="1">
        <v>5</v>
      </c>
      <c r="AE37" s="1">
        <v>1</v>
      </c>
      <c r="AF37" s="1">
        <v>4</v>
      </c>
      <c r="AG37" s="1">
        <v>1</v>
      </c>
      <c r="AH37" s="1">
        <v>2</v>
      </c>
      <c r="AI37" s="1">
        <v>1</v>
      </c>
      <c r="AJ37" s="1">
        <v>0</v>
      </c>
      <c r="AK37" s="1">
        <v>1</v>
      </c>
      <c r="AL37" s="1">
        <v>0</v>
      </c>
      <c r="AM37" s="1"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">
      <c r="A38" s="5">
        <f>DATE(($K$1-2),8,1)</f>
        <v>42217</v>
      </c>
      <c r="B38" s="11" t="s">
        <v>24</v>
      </c>
      <c r="C38" s="6">
        <f t="shared" si="1"/>
        <v>58</v>
      </c>
      <c r="D38" s="11" t="s">
        <v>40</v>
      </c>
      <c r="E38" s="11" t="s">
        <v>42</v>
      </c>
      <c r="F38" s="1">
        <v>5455</v>
      </c>
      <c r="G38" s="9" t="s">
        <v>7</v>
      </c>
      <c r="H38" s="8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>
        <v>0</v>
      </c>
      <c r="AB38" s="1">
        <v>6</v>
      </c>
      <c r="AC38" s="1">
        <v>7</v>
      </c>
      <c r="AD38" s="1">
        <v>5</v>
      </c>
      <c r="AE38" s="1">
        <v>4</v>
      </c>
      <c r="AF38" s="1">
        <v>6</v>
      </c>
      <c r="AG38" s="1">
        <v>3</v>
      </c>
      <c r="AH38" s="1">
        <v>10</v>
      </c>
      <c r="AI38" s="1">
        <v>10</v>
      </c>
      <c r="AJ38" s="1">
        <v>5</v>
      </c>
      <c r="AK38" s="1">
        <v>2</v>
      </c>
      <c r="AL38" s="1">
        <v>0</v>
      </c>
      <c r="AM38" s="1"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">
      <c r="A39" s="5">
        <f>DATE(($K$1-2),10,1)</f>
        <v>42278</v>
      </c>
      <c r="B39" s="11" t="s">
        <v>25</v>
      </c>
      <c r="C39" s="6">
        <f t="shared" si="1"/>
        <v>49</v>
      </c>
      <c r="D39" s="11" t="s">
        <v>40</v>
      </c>
      <c r="E39" s="11" t="s">
        <v>42</v>
      </c>
      <c r="F39" s="1">
        <v>6200</v>
      </c>
      <c r="G39" s="9" t="s">
        <v>6</v>
      </c>
      <c r="H39" s="8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>
        <v>28</v>
      </c>
      <c r="AD39" s="1">
        <v>2</v>
      </c>
      <c r="AE39" s="1">
        <v>3</v>
      </c>
      <c r="AF39" s="1">
        <v>4</v>
      </c>
      <c r="AG39" s="1">
        <v>3</v>
      </c>
      <c r="AH39" s="1">
        <v>3</v>
      </c>
      <c r="AI39" s="1">
        <v>2</v>
      </c>
      <c r="AJ39" s="1">
        <v>2</v>
      </c>
      <c r="AK39" s="1">
        <v>1</v>
      </c>
      <c r="AL39" s="1">
        <v>0</v>
      </c>
      <c r="AM39" s="1">
        <v>1</v>
      </c>
      <c r="AN39" s="1">
        <v>0</v>
      </c>
      <c r="AO39" s="1">
        <v>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">
      <c r="A40" s="5">
        <f>DATE(($K$1-2),10,1)</f>
        <v>42278</v>
      </c>
      <c r="B40" s="11" t="s">
        <v>25</v>
      </c>
      <c r="C40" s="6">
        <f t="shared" si="1"/>
        <v>49</v>
      </c>
      <c r="D40" s="11" t="s">
        <v>40</v>
      </c>
      <c r="E40" s="11" t="s">
        <v>42</v>
      </c>
      <c r="F40" s="1">
        <v>6200</v>
      </c>
      <c r="G40" s="9" t="s">
        <v>7</v>
      </c>
      <c r="H40" s="8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>
        <v>0</v>
      </c>
      <c r="AD40" s="1">
        <v>8</v>
      </c>
      <c r="AE40" s="1">
        <v>4</v>
      </c>
      <c r="AF40" s="1">
        <v>4</v>
      </c>
      <c r="AG40" s="1">
        <v>5</v>
      </c>
      <c r="AH40" s="1">
        <v>5</v>
      </c>
      <c r="AI40" s="1">
        <v>7</v>
      </c>
      <c r="AJ40" s="1">
        <v>8</v>
      </c>
      <c r="AK40" s="1">
        <v>4</v>
      </c>
      <c r="AL40" s="1">
        <v>1</v>
      </c>
      <c r="AM40" s="1">
        <v>2</v>
      </c>
      <c r="AN40" s="1">
        <v>1</v>
      </c>
      <c r="AO40" s="1">
        <v>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">
      <c r="A41" s="5">
        <f>DATE(($K$1-2),11,1)</f>
        <v>42309</v>
      </c>
      <c r="B41" s="11" t="s">
        <v>26</v>
      </c>
      <c r="C41" s="6">
        <f t="shared" si="1"/>
        <v>54</v>
      </c>
      <c r="D41" s="11" t="s">
        <v>40</v>
      </c>
      <c r="E41" s="11" t="s">
        <v>43</v>
      </c>
      <c r="F41" s="1">
        <v>7100</v>
      </c>
      <c r="G41" s="9" t="s">
        <v>6</v>
      </c>
      <c r="H41" s="8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>
        <v>32</v>
      </c>
      <c r="AE41" s="1">
        <v>3</v>
      </c>
      <c r="AF41" s="1">
        <v>4</v>
      </c>
      <c r="AG41" s="1">
        <v>5</v>
      </c>
      <c r="AH41" s="1">
        <v>1</v>
      </c>
      <c r="AI41" s="1">
        <v>4</v>
      </c>
      <c r="AJ41" s="1">
        <v>1</v>
      </c>
      <c r="AK41" s="1">
        <v>2</v>
      </c>
      <c r="AL41" s="1">
        <v>1</v>
      </c>
      <c r="AM41" s="1">
        <v>0</v>
      </c>
      <c r="AN41" s="1">
        <v>1</v>
      </c>
      <c r="AO41" s="1">
        <v>0</v>
      </c>
      <c r="AP41" s="1">
        <v>0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">
      <c r="A42" s="5">
        <f>DATE(($K$1-2),11,1)</f>
        <v>42309</v>
      </c>
      <c r="B42" s="11" t="s">
        <v>26</v>
      </c>
      <c r="C42" s="6">
        <f t="shared" si="1"/>
        <v>54</v>
      </c>
      <c r="D42" s="11" t="s">
        <v>40</v>
      </c>
      <c r="E42" s="11" t="s">
        <v>43</v>
      </c>
      <c r="F42" s="1">
        <v>7100</v>
      </c>
      <c r="G42" s="9" t="s">
        <v>7</v>
      </c>
      <c r="H42" s="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>
        <v>0</v>
      </c>
      <c r="AE42" s="1">
        <v>6</v>
      </c>
      <c r="AF42" s="1">
        <v>7</v>
      </c>
      <c r="AG42" s="1">
        <v>5</v>
      </c>
      <c r="AH42" s="1">
        <v>4</v>
      </c>
      <c r="AI42" s="1">
        <v>6</v>
      </c>
      <c r="AJ42" s="1">
        <v>3</v>
      </c>
      <c r="AK42" s="1">
        <v>8</v>
      </c>
      <c r="AL42" s="1">
        <v>8</v>
      </c>
      <c r="AM42" s="1">
        <v>5</v>
      </c>
      <c r="AN42" s="1">
        <v>2</v>
      </c>
      <c r="AO42" s="1">
        <v>0</v>
      </c>
      <c r="AP42" s="1">
        <v>0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">
      <c r="A43" s="5">
        <f>DATE(($K$1-2),12,1)</f>
        <v>42339</v>
      </c>
      <c r="B43" s="11" t="s">
        <v>27</v>
      </c>
      <c r="C43" s="6">
        <f t="shared" si="1"/>
        <v>45</v>
      </c>
      <c r="D43" s="11" t="s">
        <v>40</v>
      </c>
      <c r="E43" s="11" t="s">
        <v>42</v>
      </c>
      <c r="F43" s="1">
        <v>4204</v>
      </c>
      <c r="G43" s="9" t="s">
        <v>6</v>
      </c>
      <c r="H43" s="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>
        <v>24</v>
      </c>
      <c r="AF43" s="1">
        <v>2</v>
      </c>
      <c r="AG43" s="1">
        <v>3</v>
      </c>
      <c r="AH43" s="1">
        <v>4</v>
      </c>
      <c r="AI43" s="1">
        <v>3</v>
      </c>
      <c r="AJ43" s="1">
        <v>3</v>
      </c>
      <c r="AK43" s="1">
        <v>2</v>
      </c>
      <c r="AL43" s="1">
        <v>2</v>
      </c>
      <c r="AM43" s="1">
        <v>1</v>
      </c>
      <c r="AN43" s="1">
        <v>0</v>
      </c>
      <c r="AO43" s="1">
        <v>1</v>
      </c>
      <c r="AP43" s="1">
        <v>0</v>
      </c>
      <c r="AQ43" s="1">
        <v>0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">
      <c r="A44" s="5">
        <f>DATE(($K$1-2),12,1)</f>
        <v>42339</v>
      </c>
      <c r="B44" s="11" t="s">
        <v>27</v>
      </c>
      <c r="C44" s="6">
        <f t="shared" si="1"/>
        <v>45</v>
      </c>
      <c r="D44" s="11" t="s">
        <v>40</v>
      </c>
      <c r="E44" s="11" t="s">
        <v>42</v>
      </c>
      <c r="F44" s="1">
        <v>4204</v>
      </c>
      <c r="G44" s="9" t="s">
        <v>7</v>
      </c>
      <c r="H44" s="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>
        <v>0</v>
      </c>
      <c r="AF44" s="1">
        <v>8</v>
      </c>
      <c r="AG44" s="1">
        <v>4</v>
      </c>
      <c r="AH44" s="1">
        <v>4</v>
      </c>
      <c r="AI44" s="1">
        <v>5</v>
      </c>
      <c r="AJ44" s="1">
        <v>5</v>
      </c>
      <c r="AK44" s="1">
        <v>7</v>
      </c>
      <c r="AL44" s="1">
        <v>6</v>
      </c>
      <c r="AM44" s="1">
        <v>2</v>
      </c>
      <c r="AN44" s="1">
        <v>1</v>
      </c>
      <c r="AO44" s="1">
        <v>2</v>
      </c>
      <c r="AP44" s="1">
        <v>1</v>
      </c>
      <c r="AQ44" s="1">
        <v>0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">
      <c r="A45" s="5">
        <f>DATE(($K$1-1),1,1)</f>
        <v>42370</v>
      </c>
      <c r="B45" s="11" t="s">
        <v>28</v>
      </c>
      <c r="C45" s="6">
        <f t="shared" si="1"/>
        <v>90</v>
      </c>
      <c r="D45" s="11" t="s">
        <v>41</v>
      </c>
      <c r="E45" s="11" t="s">
        <v>43</v>
      </c>
      <c r="F45" s="1">
        <v>3200</v>
      </c>
      <c r="G45" s="9" t="s">
        <v>6</v>
      </c>
      <c r="H45" s="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>
        <v>48</v>
      </c>
      <c r="AG45" s="1">
        <v>7</v>
      </c>
      <c r="AH45" s="1">
        <v>14</v>
      </c>
      <c r="AI45" s="1">
        <v>10</v>
      </c>
      <c r="AJ45" s="1">
        <v>5</v>
      </c>
      <c r="AK45" s="1">
        <v>2</v>
      </c>
      <c r="AL45" s="1">
        <v>1</v>
      </c>
      <c r="AM45" s="1">
        <v>2</v>
      </c>
      <c r="AN45" s="1">
        <v>1</v>
      </c>
      <c r="AO45" s="1">
        <v>0</v>
      </c>
      <c r="AP45" s="1">
        <v>0</v>
      </c>
      <c r="AQ45" s="1">
        <v>0</v>
      </c>
      <c r="AR45" s="1">
        <v>0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">
      <c r="A46" s="5">
        <f>DATE(($K$1-1),1,1)</f>
        <v>42370</v>
      </c>
      <c r="B46" s="11" t="s">
        <v>28</v>
      </c>
      <c r="C46" s="6">
        <f t="shared" si="1"/>
        <v>74</v>
      </c>
      <c r="D46" s="11" t="s">
        <v>41</v>
      </c>
      <c r="E46" s="11" t="s">
        <v>43</v>
      </c>
      <c r="F46" s="1">
        <v>3200</v>
      </c>
      <c r="G46" s="9" t="s">
        <v>7</v>
      </c>
      <c r="H46" s="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>
        <v>0</v>
      </c>
      <c r="AG46" s="1">
        <v>5</v>
      </c>
      <c r="AH46" s="1">
        <v>7</v>
      </c>
      <c r="AI46" s="1">
        <v>6</v>
      </c>
      <c r="AJ46" s="1">
        <v>6</v>
      </c>
      <c r="AK46" s="1">
        <v>7</v>
      </c>
      <c r="AL46" s="1">
        <v>5</v>
      </c>
      <c r="AM46" s="1">
        <v>8</v>
      </c>
      <c r="AN46" s="1">
        <v>12</v>
      </c>
      <c r="AO46" s="1">
        <v>5</v>
      </c>
      <c r="AP46" s="1">
        <v>8</v>
      </c>
      <c r="AQ46" s="1">
        <v>5</v>
      </c>
      <c r="AR46" s="1">
        <v>0</v>
      </c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">
      <c r="A47" s="5">
        <f>DATE(($K$1-1),2,28)</f>
        <v>42428</v>
      </c>
      <c r="B47" s="11" t="s">
        <v>29</v>
      </c>
      <c r="C47" s="6">
        <f t="shared" si="1"/>
        <v>91</v>
      </c>
      <c r="D47" s="11" t="s">
        <v>41</v>
      </c>
      <c r="E47" s="11" t="s">
        <v>42</v>
      </c>
      <c r="F47" s="1">
        <v>5020</v>
      </c>
      <c r="G47" s="9" t="s">
        <v>6</v>
      </c>
      <c r="H47" s="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>
        <v>40</v>
      </c>
      <c r="AH47" s="1">
        <v>10</v>
      </c>
      <c r="AI47" s="1">
        <v>16</v>
      </c>
      <c r="AJ47" s="1">
        <v>8</v>
      </c>
      <c r="AK47" s="1">
        <v>5</v>
      </c>
      <c r="AL47" s="1">
        <v>1</v>
      </c>
      <c r="AM47" s="1">
        <v>6</v>
      </c>
      <c r="AN47" s="1">
        <v>3</v>
      </c>
      <c r="AO47" s="1">
        <v>1</v>
      </c>
      <c r="AP47" s="1">
        <v>0</v>
      </c>
      <c r="AQ47" s="1">
        <v>1</v>
      </c>
      <c r="AR47" s="1">
        <v>0</v>
      </c>
      <c r="AS47" s="1">
        <v>0</v>
      </c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">
      <c r="A48" s="5">
        <f>DATE(($K$1-1),2,28)</f>
        <v>42428</v>
      </c>
      <c r="B48" s="11" t="s">
        <v>29</v>
      </c>
      <c r="C48" s="6">
        <f t="shared" si="1"/>
        <v>63</v>
      </c>
      <c r="D48" s="11" t="s">
        <v>41</v>
      </c>
      <c r="E48" s="11" t="s">
        <v>42</v>
      </c>
      <c r="F48" s="1">
        <v>5020</v>
      </c>
      <c r="G48" s="9" t="s">
        <v>7</v>
      </c>
      <c r="H48" s="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>
        <v>0</v>
      </c>
      <c r="AH48" s="1">
        <v>4</v>
      </c>
      <c r="AI48" s="1">
        <v>11</v>
      </c>
      <c r="AJ48" s="1">
        <v>5</v>
      </c>
      <c r="AK48" s="1">
        <v>4</v>
      </c>
      <c r="AL48" s="1">
        <v>6</v>
      </c>
      <c r="AM48" s="1">
        <v>4</v>
      </c>
      <c r="AN48" s="1">
        <v>6</v>
      </c>
      <c r="AO48" s="1">
        <v>6</v>
      </c>
      <c r="AP48" s="1">
        <v>3</v>
      </c>
      <c r="AQ48" s="1">
        <v>5</v>
      </c>
      <c r="AR48" s="1">
        <v>9</v>
      </c>
      <c r="AS48" s="1">
        <v>0</v>
      </c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">
      <c r="A49" s="5">
        <f>DATE(($K$1-1),3,1)</f>
        <v>42430</v>
      </c>
      <c r="B49" s="11" t="s">
        <v>30</v>
      </c>
      <c r="C49" s="6">
        <f t="shared" si="1"/>
        <v>82</v>
      </c>
      <c r="D49" s="11" t="s">
        <v>40</v>
      </c>
      <c r="E49" s="11" t="s">
        <v>42</v>
      </c>
      <c r="F49" s="1">
        <v>5500</v>
      </c>
      <c r="G49" s="9" t="s">
        <v>6</v>
      </c>
      <c r="H49" s="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>
        <v>30</v>
      </c>
      <c r="AI49" s="1">
        <v>5</v>
      </c>
      <c r="AJ49" s="1">
        <v>13</v>
      </c>
      <c r="AK49" s="1">
        <v>14</v>
      </c>
      <c r="AL49" s="1">
        <v>8</v>
      </c>
      <c r="AM49" s="1">
        <v>6</v>
      </c>
      <c r="AN49" s="1">
        <v>2</v>
      </c>
      <c r="AO49" s="1">
        <v>1</v>
      </c>
      <c r="AP49" s="1">
        <v>1</v>
      </c>
      <c r="AQ49" s="1">
        <v>0</v>
      </c>
      <c r="AR49" s="1">
        <v>1</v>
      </c>
      <c r="AS49" s="1">
        <v>0</v>
      </c>
      <c r="AT49" s="1">
        <v>1</v>
      </c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">
      <c r="A50" s="5">
        <f>DATE(($K$1-1),3,1)</f>
        <v>42430</v>
      </c>
      <c r="B50" s="11" t="s">
        <v>30</v>
      </c>
      <c r="C50" s="6">
        <f t="shared" si="1"/>
        <v>74</v>
      </c>
      <c r="D50" s="11" t="s">
        <v>40</v>
      </c>
      <c r="E50" s="11" t="s">
        <v>42</v>
      </c>
      <c r="F50" s="1">
        <v>5500</v>
      </c>
      <c r="G50" s="9" t="s">
        <v>7</v>
      </c>
      <c r="H50" s="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>
        <v>0</v>
      </c>
      <c r="AI50" s="1">
        <v>6</v>
      </c>
      <c r="AJ50" s="1">
        <v>8</v>
      </c>
      <c r="AK50" s="1">
        <v>7</v>
      </c>
      <c r="AL50" s="1">
        <v>7</v>
      </c>
      <c r="AM50" s="1">
        <v>6</v>
      </c>
      <c r="AN50" s="1">
        <v>3</v>
      </c>
      <c r="AO50" s="1">
        <v>10</v>
      </c>
      <c r="AP50" s="1">
        <v>12</v>
      </c>
      <c r="AQ50" s="1">
        <v>5</v>
      </c>
      <c r="AR50" s="1">
        <v>6</v>
      </c>
      <c r="AS50" s="1">
        <v>4</v>
      </c>
      <c r="AT50" s="1">
        <v>0</v>
      </c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">
      <c r="A51" s="5">
        <f>DATE(($K$1-1),5,1)</f>
        <v>42491</v>
      </c>
      <c r="B51" s="11" t="s">
        <v>31</v>
      </c>
      <c r="C51" s="6">
        <f t="shared" si="1"/>
        <v>71</v>
      </c>
      <c r="D51" s="11" t="s">
        <v>41</v>
      </c>
      <c r="E51" s="11" t="s">
        <v>42</v>
      </c>
      <c r="F51" s="1">
        <v>4500</v>
      </c>
      <c r="G51" s="9" t="s">
        <v>6</v>
      </c>
      <c r="H51" s="8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>
        <v>33</v>
      </c>
      <c r="AK51" s="1">
        <v>4</v>
      </c>
      <c r="AL51" s="1">
        <v>12</v>
      </c>
      <c r="AM51" s="1">
        <v>9</v>
      </c>
      <c r="AN51" s="1">
        <v>3</v>
      </c>
      <c r="AO51" s="1">
        <v>2</v>
      </c>
      <c r="AP51" s="1">
        <v>1</v>
      </c>
      <c r="AQ51" s="1">
        <v>3</v>
      </c>
      <c r="AR51" s="1">
        <v>0</v>
      </c>
      <c r="AS51" s="1">
        <v>0</v>
      </c>
      <c r="AT51" s="1">
        <v>1</v>
      </c>
      <c r="AU51" s="1">
        <v>2</v>
      </c>
      <c r="AV51" s="1">
        <v>1</v>
      </c>
      <c r="AW51" s="1"/>
      <c r="AX51" s="1"/>
      <c r="AY51" s="1"/>
      <c r="AZ51" s="1"/>
      <c r="BA51" s="1"/>
      <c r="BB51" s="1"/>
      <c r="BC51" s="1"/>
    </row>
    <row r="52" spans="1:55" x14ac:dyDescent="0.2">
      <c r="A52" s="5">
        <f>DATE(($K$1-1),5,1)</f>
        <v>42491</v>
      </c>
      <c r="B52" s="11" t="s">
        <v>31</v>
      </c>
      <c r="C52" s="6">
        <f t="shared" si="1"/>
        <v>64</v>
      </c>
      <c r="D52" s="11" t="s">
        <v>41</v>
      </c>
      <c r="E52" s="11" t="s">
        <v>42</v>
      </c>
      <c r="F52" s="1">
        <v>4500</v>
      </c>
      <c r="G52" s="9" t="s">
        <v>7</v>
      </c>
      <c r="H52" s="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>
        <v>0</v>
      </c>
      <c r="AK52" s="1">
        <v>8</v>
      </c>
      <c r="AL52" s="1">
        <v>8</v>
      </c>
      <c r="AM52" s="1">
        <v>6</v>
      </c>
      <c r="AN52" s="1">
        <v>5</v>
      </c>
      <c r="AO52" s="1">
        <v>7</v>
      </c>
      <c r="AP52" s="1">
        <v>7</v>
      </c>
      <c r="AQ52" s="1">
        <v>2</v>
      </c>
      <c r="AR52" s="1">
        <v>7</v>
      </c>
      <c r="AS52" s="1">
        <v>6</v>
      </c>
      <c r="AT52" s="1">
        <v>7</v>
      </c>
      <c r="AU52" s="1">
        <v>1</v>
      </c>
      <c r="AV52" s="1">
        <v>0</v>
      </c>
      <c r="AW52" s="1"/>
      <c r="AX52" s="1"/>
      <c r="AY52" s="1"/>
      <c r="AZ52" s="1"/>
      <c r="BA52" s="1"/>
      <c r="BB52" s="1"/>
      <c r="BC52" s="1"/>
    </row>
    <row r="53" spans="1:55" x14ac:dyDescent="0.2">
      <c r="A53" s="5">
        <f>DATE(($K$1-1),6,1)</f>
        <v>42522</v>
      </c>
      <c r="B53" s="11" t="s">
        <v>32</v>
      </c>
      <c r="C53" s="6">
        <f t="shared" si="1"/>
        <v>87</v>
      </c>
      <c r="D53" s="11" t="s">
        <v>41</v>
      </c>
      <c r="E53" s="11" t="s">
        <v>42</v>
      </c>
      <c r="F53" s="1">
        <v>5600</v>
      </c>
      <c r="G53" s="9" t="s">
        <v>6</v>
      </c>
      <c r="H53" s="8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>
        <v>45</v>
      </c>
      <c r="AL53" s="1">
        <v>7</v>
      </c>
      <c r="AM53" s="1">
        <v>14</v>
      </c>
      <c r="AN53" s="1">
        <v>10</v>
      </c>
      <c r="AO53" s="1">
        <v>5</v>
      </c>
      <c r="AP53" s="1">
        <v>2</v>
      </c>
      <c r="AQ53" s="1">
        <v>1</v>
      </c>
      <c r="AR53" s="1">
        <v>2</v>
      </c>
      <c r="AS53" s="1">
        <v>1</v>
      </c>
      <c r="AT53" s="1">
        <v>0</v>
      </c>
      <c r="AU53" s="1">
        <v>0</v>
      </c>
      <c r="AV53" s="1">
        <v>0</v>
      </c>
      <c r="AW53" s="1">
        <v>0</v>
      </c>
      <c r="AX53" s="1"/>
      <c r="AY53" s="1"/>
      <c r="AZ53" s="1"/>
      <c r="BA53" s="1"/>
      <c r="BB53" s="1"/>
      <c r="BC53" s="1"/>
    </row>
    <row r="54" spans="1:55" x14ac:dyDescent="0.2">
      <c r="A54" s="5">
        <f>DATE(($K$1-1),6,1)</f>
        <v>42522</v>
      </c>
      <c r="B54" s="11" t="s">
        <v>32</v>
      </c>
      <c r="C54" s="6">
        <f t="shared" si="1"/>
        <v>72</v>
      </c>
      <c r="D54" s="11" t="s">
        <v>41</v>
      </c>
      <c r="E54" s="11" t="s">
        <v>42</v>
      </c>
      <c r="F54" s="1">
        <v>5600</v>
      </c>
      <c r="G54" s="9" t="s">
        <v>7</v>
      </c>
      <c r="H54" s="8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>
        <v>0</v>
      </c>
      <c r="AL54" s="1">
        <v>5</v>
      </c>
      <c r="AM54" s="1">
        <v>7</v>
      </c>
      <c r="AN54" s="1">
        <v>6</v>
      </c>
      <c r="AO54" s="1">
        <v>6</v>
      </c>
      <c r="AP54" s="1">
        <v>7</v>
      </c>
      <c r="AQ54" s="1">
        <v>5</v>
      </c>
      <c r="AR54" s="1">
        <v>8</v>
      </c>
      <c r="AS54" s="1">
        <v>12</v>
      </c>
      <c r="AT54" s="1">
        <v>5</v>
      </c>
      <c r="AU54" s="1">
        <v>6</v>
      </c>
      <c r="AV54" s="1">
        <v>5</v>
      </c>
      <c r="AW54" s="1">
        <v>0</v>
      </c>
      <c r="AX54" s="1"/>
      <c r="AY54" s="1"/>
      <c r="AZ54" s="1"/>
      <c r="BA54" s="1"/>
      <c r="BB54" s="1"/>
      <c r="BC54" s="1"/>
    </row>
    <row r="55" spans="1:55" x14ac:dyDescent="0.2">
      <c r="A55" s="5">
        <f>DATE(($K$1-1),7,30)</f>
        <v>42581</v>
      </c>
      <c r="B55" s="11" t="s">
        <v>33</v>
      </c>
      <c r="C55" s="6">
        <f t="shared" si="1"/>
        <v>97</v>
      </c>
      <c r="D55" s="11" t="s">
        <v>41</v>
      </c>
      <c r="E55" s="11" t="s">
        <v>42</v>
      </c>
      <c r="F55" s="1">
        <v>5600</v>
      </c>
      <c r="G55" s="9" t="s">
        <v>6</v>
      </c>
      <c r="H55" s="8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>
        <v>46</v>
      </c>
      <c r="AM55" s="1">
        <v>10</v>
      </c>
      <c r="AN55" s="1">
        <v>16</v>
      </c>
      <c r="AO55" s="1">
        <v>8</v>
      </c>
      <c r="AP55" s="1">
        <v>5</v>
      </c>
      <c r="AQ55" s="1">
        <v>1</v>
      </c>
      <c r="AR55" s="1">
        <v>6</v>
      </c>
      <c r="AS55" s="1">
        <v>3</v>
      </c>
      <c r="AT55" s="1">
        <v>1</v>
      </c>
      <c r="AU55" s="1">
        <v>0</v>
      </c>
      <c r="AV55" s="1">
        <v>1</v>
      </c>
      <c r="AW55" s="1">
        <v>0</v>
      </c>
      <c r="AX55" s="1">
        <v>0</v>
      </c>
      <c r="AY55" s="1"/>
      <c r="AZ55" s="1"/>
      <c r="BA55" s="1"/>
      <c r="BB55" s="1"/>
      <c r="BC55" s="1"/>
    </row>
    <row r="56" spans="1:55" x14ac:dyDescent="0.2">
      <c r="A56" s="5">
        <f>DATE(($K$1-1),7,30)</f>
        <v>42581</v>
      </c>
      <c r="B56" s="11" t="s">
        <v>33</v>
      </c>
      <c r="C56" s="6">
        <f t="shared" si="1"/>
        <v>69</v>
      </c>
      <c r="D56" s="11" t="s">
        <v>41</v>
      </c>
      <c r="E56" s="11" t="s">
        <v>42</v>
      </c>
      <c r="F56" s="1">
        <v>5600</v>
      </c>
      <c r="G56" s="9" t="s">
        <v>7</v>
      </c>
      <c r="H56" s="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>
        <v>0</v>
      </c>
      <c r="AM56" s="1">
        <v>4</v>
      </c>
      <c r="AN56" s="1">
        <v>11</v>
      </c>
      <c r="AO56" s="1">
        <v>5</v>
      </c>
      <c r="AP56" s="1">
        <v>8</v>
      </c>
      <c r="AQ56" s="1">
        <v>6</v>
      </c>
      <c r="AR56" s="1">
        <v>4</v>
      </c>
      <c r="AS56" s="1">
        <v>6</v>
      </c>
      <c r="AT56" s="1">
        <v>8</v>
      </c>
      <c r="AU56" s="1">
        <v>3</v>
      </c>
      <c r="AV56" s="1">
        <v>5</v>
      </c>
      <c r="AW56" s="1">
        <v>9</v>
      </c>
      <c r="AX56" s="1">
        <v>0</v>
      </c>
      <c r="AY56" s="1"/>
      <c r="AZ56" s="1"/>
      <c r="BA56" s="1"/>
      <c r="BB56" s="1"/>
      <c r="BC56" s="1"/>
    </row>
    <row r="57" spans="1:55" x14ac:dyDescent="0.2">
      <c r="A57" s="5">
        <f>DATE(($K$1-1),8,1)</f>
        <v>42583</v>
      </c>
      <c r="B57" s="11" t="s">
        <v>34</v>
      </c>
      <c r="C57" s="6">
        <f t="shared" si="1"/>
        <v>123</v>
      </c>
      <c r="D57" s="11" t="s">
        <v>40</v>
      </c>
      <c r="E57" s="11" t="s">
        <v>42</v>
      </c>
      <c r="F57" s="1">
        <v>6100</v>
      </c>
      <c r="G57" s="9" t="s">
        <v>6</v>
      </c>
      <c r="H57" s="8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>
        <v>60</v>
      </c>
      <c r="AN57" s="1">
        <v>15</v>
      </c>
      <c r="AO57" s="1">
        <v>13</v>
      </c>
      <c r="AP57" s="1">
        <v>14</v>
      </c>
      <c r="AQ57" s="1">
        <v>8</v>
      </c>
      <c r="AR57" s="1">
        <v>6</v>
      </c>
      <c r="AS57" s="1">
        <v>2</v>
      </c>
      <c r="AT57" s="1">
        <v>1</v>
      </c>
      <c r="AU57" s="1">
        <v>1</v>
      </c>
      <c r="AV57" s="1">
        <v>0</v>
      </c>
      <c r="AW57" s="1">
        <v>1</v>
      </c>
      <c r="AX57" s="1">
        <v>2</v>
      </c>
      <c r="AY57" s="1">
        <v>0</v>
      </c>
      <c r="AZ57" s="1"/>
      <c r="BA57" s="1"/>
      <c r="BB57" s="1"/>
      <c r="BC57" s="1"/>
    </row>
    <row r="58" spans="1:55" x14ac:dyDescent="0.2">
      <c r="A58" s="5">
        <f>DATE(($K$1-1),8,1)</f>
        <v>42583</v>
      </c>
      <c r="B58" s="11" t="s">
        <v>34</v>
      </c>
      <c r="C58" s="6">
        <f t="shared" si="1"/>
        <v>99</v>
      </c>
      <c r="D58" s="11" t="s">
        <v>40</v>
      </c>
      <c r="E58" s="11" t="s">
        <v>42</v>
      </c>
      <c r="F58" s="1">
        <v>6100</v>
      </c>
      <c r="G58" s="9" t="s">
        <v>7</v>
      </c>
      <c r="H58" s="8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>
        <v>0</v>
      </c>
      <c r="AN58" s="1">
        <v>6</v>
      </c>
      <c r="AO58" s="1">
        <v>8</v>
      </c>
      <c r="AP58" s="1">
        <v>7</v>
      </c>
      <c r="AQ58" s="1">
        <v>7</v>
      </c>
      <c r="AR58" s="1">
        <v>6</v>
      </c>
      <c r="AS58" s="1">
        <v>5</v>
      </c>
      <c r="AT58" s="1">
        <v>10</v>
      </c>
      <c r="AU58" s="1">
        <v>12</v>
      </c>
      <c r="AV58" s="1">
        <v>15</v>
      </c>
      <c r="AW58" s="1">
        <v>16</v>
      </c>
      <c r="AX58" s="1">
        <v>7</v>
      </c>
      <c r="AY58" s="1">
        <v>0</v>
      </c>
      <c r="AZ58" s="1"/>
      <c r="BA58" s="1"/>
      <c r="BB58" s="1"/>
      <c r="BC58" s="1"/>
    </row>
    <row r="59" spans="1:55" x14ac:dyDescent="0.2">
      <c r="A59" s="5">
        <f>DATE(($K$1-1),10,1)</f>
        <v>42644</v>
      </c>
      <c r="B59" s="11" t="s">
        <v>35</v>
      </c>
      <c r="C59" s="6">
        <f t="shared" si="1"/>
        <v>102</v>
      </c>
      <c r="D59" s="11" t="s">
        <v>41</v>
      </c>
      <c r="E59" s="11" t="s">
        <v>43</v>
      </c>
      <c r="F59" s="1">
        <v>6750</v>
      </c>
      <c r="G59" s="9" t="s">
        <v>6</v>
      </c>
      <c r="H59" s="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>
        <v>55</v>
      </c>
      <c r="AP59" s="1">
        <v>14</v>
      </c>
      <c r="AQ59" s="1">
        <v>12</v>
      </c>
      <c r="AR59" s="1">
        <v>9</v>
      </c>
      <c r="AS59" s="1">
        <v>3</v>
      </c>
      <c r="AT59" s="1">
        <v>2</v>
      </c>
      <c r="AU59" s="1">
        <v>1</v>
      </c>
      <c r="AV59" s="1">
        <v>3</v>
      </c>
      <c r="AW59" s="1">
        <v>0</v>
      </c>
      <c r="AX59" s="1">
        <v>0</v>
      </c>
      <c r="AY59" s="1">
        <v>1</v>
      </c>
      <c r="AZ59" s="1">
        <v>2</v>
      </c>
      <c r="BA59" s="1">
        <v>0</v>
      </c>
      <c r="BB59" s="1"/>
      <c r="BC59" s="1"/>
    </row>
    <row r="60" spans="1:55" x14ac:dyDescent="0.2">
      <c r="A60" s="5">
        <f>DATE(($K$1-1),10,1)</f>
        <v>42644</v>
      </c>
      <c r="B60" s="11" t="s">
        <v>35</v>
      </c>
      <c r="C60" s="6">
        <f t="shared" si="1"/>
        <v>88</v>
      </c>
      <c r="D60" s="11" t="s">
        <v>41</v>
      </c>
      <c r="E60" s="11" t="s">
        <v>43</v>
      </c>
      <c r="F60" s="1">
        <v>6750</v>
      </c>
      <c r="G60" s="9" t="s">
        <v>7</v>
      </c>
      <c r="H60" s="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>
        <v>0</v>
      </c>
      <c r="AP60" s="1">
        <v>8</v>
      </c>
      <c r="AQ60" s="1">
        <v>8</v>
      </c>
      <c r="AR60" s="1">
        <v>16</v>
      </c>
      <c r="AS60" s="1">
        <v>9</v>
      </c>
      <c r="AT60" s="1">
        <v>7</v>
      </c>
      <c r="AU60" s="1">
        <v>7</v>
      </c>
      <c r="AV60" s="1">
        <v>2</v>
      </c>
      <c r="AW60" s="1">
        <v>17</v>
      </c>
      <c r="AX60" s="1">
        <v>6</v>
      </c>
      <c r="AY60" s="1">
        <v>7</v>
      </c>
      <c r="AZ60" s="1">
        <v>1</v>
      </c>
      <c r="BA60" s="1">
        <v>0</v>
      </c>
      <c r="BB60" s="1"/>
      <c r="BC60" s="1"/>
    </row>
    <row r="61" spans="1:55" x14ac:dyDescent="0.2">
      <c r="A61" s="5">
        <f>DATE(($K$1-1),11,1)</f>
        <v>42675</v>
      </c>
      <c r="B61" s="11" t="s">
        <v>36</v>
      </c>
      <c r="C61" s="6">
        <f t="shared" si="1"/>
        <v>101</v>
      </c>
      <c r="D61" s="11" t="s">
        <v>41</v>
      </c>
      <c r="E61" s="11" t="s">
        <v>42</v>
      </c>
      <c r="F61" s="1">
        <v>7504</v>
      </c>
      <c r="G61" s="9" t="s">
        <v>6</v>
      </c>
      <c r="H61" s="8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>
        <v>50</v>
      </c>
      <c r="AQ61" s="1">
        <v>10</v>
      </c>
      <c r="AR61" s="1">
        <v>16</v>
      </c>
      <c r="AS61" s="1">
        <v>8</v>
      </c>
      <c r="AT61" s="1">
        <v>5</v>
      </c>
      <c r="AU61" s="1">
        <v>1</v>
      </c>
      <c r="AV61" s="1">
        <v>6</v>
      </c>
      <c r="AW61" s="1">
        <v>3</v>
      </c>
      <c r="AX61" s="1">
        <v>1</v>
      </c>
      <c r="AY61" s="1">
        <v>0</v>
      </c>
      <c r="AZ61" s="1">
        <v>1</v>
      </c>
      <c r="BA61" s="1">
        <v>0</v>
      </c>
      <c r="BB61" s="1">
        <v>0</v>
      </c>
      <c r="BC61" s="1"/>
    </row>
    <row r="62" spans="1:55" x14ac:dyDescent="0.2">
      <c r="A62" s="5">
        <f>DATE(($K$1-1),11,1)</f>
        <v>42675</v>
      </c>
      <c r="B62" s="11" t="s">
        <v>36</v>
      </c>
      <c r="C62" s="6">
        <f t="shared" si="1"/>
        <v>69</v>
      </c>
      <c r="D62" s="11" t="s">
        <v>41</v>
      </c>
      <c r="E62" s="11" t="s">
        <v>42</v>
      </c>
      <c r="F62" s="1">
        <v>7504</v>
      </c>
      <c r="G62" s="9" t="s">
        <v>7</v>
      </c>
      <c r="H62" s="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>
        <v>0</v>
      </c>
      <c r="AQ62" s="1">
        <v>4</v>
      </c>
      <c r="AR62" s="1">
        <v>11</v>
      </c>
      <c r="AS62" s="1">
        <v>5</v>
      </c>
      <c r="AT62" s="1">
        <v>8</v>
      </c>
      <c r="AU62" s="1">
        <v>6</v>
      </c>
      <c r="AV62" s="1">
        <v>4</v>
      </c>
      <c r="AW62" s="1">
        <v>6</v>
      </c>
      <c r="AX62" s="1">
        <v>8</v>
      </c>
      <c r="AY62" s="1">
        <v>3</v>
      </c>
      <c r="AZ62" s="1">
        <v>5</v>
      </c>
      <c r="BA62" s="1">
        <v>9</v>
      </c>
      <c r="BB62" s="1">
        <v>0</v>
      </c>
      <c r="BC62" s="1"/>
    </row>
    <row r="63" spans="1:55" x14ac:dyDescent="0.2">
      <c r="A63" s="5">
        <f>DATE(($K$1-1),12,1)</f>
        <v>42705</v>
      </c>
      <c r="B63" s="11" t="s">
        <v>37</v>
      </c>
      <c r="C63" s="6">
        <f t="shared" si="1"/>
        <v>126</v>
      </c>
      <c r="D63" s="11" t="s">
        <v>40</v>
      </c>
      <c r="E63" s="11" t="s">
        <v>43</v>
      </c>
      <c r="F63" s="1">
        <v>4932</v>
      </c>
      <c r="G63" s="9" t="s">
        <v>6</v>
      </c>
      <c r="H63" s="8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>
        <v>63</v>
      </c>
      <c r="AR63" s="1">
        <v>15</v>
      </c>
      <c r="AS63" s="1">
        <v>13</v>
      </c>
      <c r="AT63" s="1">
        <v>14</v>
      </c>
      <c r="AU63" s="1">
        <v>8</v>
      </c>
      <c r="AV63" s="1">
        <v>6</v>
      </c>
      <c r="AW63" s="1">
        <v>2</v>
      </c>
      <c r="AX63" s="1">
        <v>1</v>
      </c>
      <c r="AY63" s="1">
        <v>1</v>
      </c>
      <c r="AZ63" s="1">
        <v>0</v>
      </c>
      <c r="BA63" s="1">
        <v>1</v>
      </c>
      <c r="BB63" s="1">
        <v>2</v>
      </c>
      <c r="BC63" s="1">
        <v>0</v>
      </c>
    </row>
    <row r="64" spans="1:55" x14ac:dyDescent="0.2">
      <c r="A64" s="5">
        <f>DATE(($K$1-1),12,1)</f>
        <v>42705</v>
      </c>
      <c r="B64" s="11" t="s">
        <v>37</v>
      </c>
      <c r="C64" s="6">
        <f t="shared" si="1"/>
        <v>99</v>
      </c>
      <c r="D64" s="11" t="s">
        <v>40</v>
      </c>
      <c r="E64" s="11" t="s">
        <v>43</v>
      </c>
      <c r="F64" s="1">
        <v>4932</v>
      </c>
      <c r="G64" s="9" t="s">
        <v>7</v>
      </c>
      <c r="H64" s="8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>
        <v>0</v>
      </c>
      <c r="AR64" s="1">
        <v>6</v>
      </c>
      <c r="AS64" s="1">
        <v>8</v>
      </c>
      <c r="AT64" s="1">
        <v>7</v>
      </c>
      <c r="AU64" s="1">
        <v>7</v>
      </c>
      <c r="AV64" s="1">
        <v>6</v>
      </c>
      <c r="AW64" s="1">
        <v>5</v>
      </c>
      <c r="AX64" s="1">
        <v>10</v>
      </c>
      <c r="AY64" s="1">
        <v>12</v>
      </c>
      <c r="AZ64" s="1">
        <v>15</v>
      </c>
      <c r="BA64" s="1">
        <v>16</v>
      </c>
      <c r="BB64" s="1">
        <v>7</v>
      </c>
      <c r="BC64" s="1">
        <v>0</v>
      </c>
    </row>
  </sheetData>
  <sortState ref="A5:BC64">
    <sortCondition ref="A5:A64"/>
    <sortCondition descending="1" ref="G5:G64"/>
  </sortState>
  <phoneticPr fontId="0" type="noConversion"/>
  <pageMargins left="0.75" right="0.75" top="1" bottom="1" header="0.5" footer="0.5"/>
  <pageSetup orientation="landscape" verticalDpi="4294967292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F6D65-C6EB-4592-92DC-295115CAB03E}">
  <dimension ref="A1:T19"/>
  <sheetViews>
    <sheetView zoomScaleNormal="100" workbookViewId="0">
      <selection activeCell="C6" sqref="C6"/>
    </sheetView>
  </sheetViews>
  <sheetFormatPr defaultRowHeight="12.75" x14ac:dyDescent="0.2"/>
  <sheetData>
    <row r="1" spans="1:20" ht="13.5" thickBot="1" x14ac:dyDescent="0.25">
      <c r="A1" s="16" t="s">
        <v>1</v>
      </c>
      <c r="B1" s="17" t="s">
        <v>2</v>
      </c>
      <c r="C1" s="18" t="s">
        <v>38</v>
      </c>
      <c r="D1" s="18" t="s">
        <v>39</v>
      </c>
      <c r="E1" s="18" t="s">
        <v>18</v>
      </c>
      <c r="F1" s="17" t="s">
        <v>3</v>
      </c>
      <c r="G1" s="17" t="s">
        <v>4</v>
      </c>
      <c r="H1" s="19">
        <v>42705</v>
      </c>
      <c r="I1" s="19">
        <v>42736</v>
      </c>
      <c r="J1" s="19">
        <v>42767</v>
      </c>
      <c r="K1" s="19">
        <v>42795</v>
      </c>
      <c r="L1" s="19">
        <v>42826</v>
      </c>
      <c r="M1" s="19">
        <v>42856</v>
      </c>
      <c r="N1" s="19">
        <v>42887</v>
      </c>
      <c r="O1" s="19">
        <v>42917</v>
      </c>
      <c r="P1" s="19">
        <v>42948</v>
      </c>
      <c r="Q1" s="19">
        <v>42979</v>
      </c>
      <c r="R1" s="19">
        <v>43009</v>
      </c>
      <c r="S1" s="19">
        <v>43040</v>
      </c>
      <c r="T1" s="19">
        <v>43070</v>
      </c>
    </row>
    <row r="2" spans="1:20" ht="13.5" thickTop="1" x14ac:dyDescent="0.2">
      <c r="A2" s="20">
        <v>42705</v>
      </c>
      <c r="B2" s="21" t="s">
        <v>37</v>
      </c>
      <c r="C2" s="22">
        <v>126</v>
      </c>
      <c r="D2" s="21" t="s">
        <v>40</v>
      </c>
      <c r="E2" s="21" t="s">
        <v>43</v>
      </c>
      <c r="F2" s="23">
        <v>4932</v>
      </c>
      <c r="G2" s="24" t="s">
        <v>6</v>
      </c>
      <c r="H2" s="23">
        <v>63</v>
      </c>
      <c r="I2" s="23">
        <v>15</v>
      </c>
      <c r="J2" s="23">
        <v>13</v>
      </c>
      <c r="K2" s="23">
        <v>14</v>
      </c>
      <c r="L2" s="23">
        <v>8</v>
      </c>
      <c r="M2" s="23">
        <v>6</v>
      </c>
      <c r="N2" s="23">
        <v>2</v>
      </c>
      <c r="O2" s="23">
        <v>1</v>
      </c>
      <c r="P2" s="23">
        <v>1</v>
      </c>
      <c r="Q2" s="23">
        <v>0</v>
      </c>
      <c r="R2" s="23">
        <v>1</v>
      </c>
      <c r="S2" s="23">
        <v>2</v>
      </c>
      <c r="T2" s="23">
        <v>0</v>
      </c>
    </row>
    <row r="3" spans="1:20" x14ac:dyDescent="0.2">
      <c r="A3" s="20">
        <v>42705</v>
      </c>
      <c r="B3" s="21" t="s">
        <v>37</v>
      </c>
      <c r="C3" s="22">
        <v>99</v>
      </c>
      <c r="D3" s="21" t="s">
        <v>40</v>
      </c>
      <c r="E3" s="21" t="s">
        <v>43</v>
      </c>
      <c r="F3" s="23">
        <v>4932</v>
      </c>
      <c r="G3" s="24" t="s">
        <v>7</v>
      </c>
      <c r="H3" s="23">
        <v>0</v>
      </c>
      <c r="I3" s="23">
        <v>6</v>
      </c>
      <c r="J3" s="23">
        <v>8</v>
      </c>
      <c r="K3" s="23">
        <v>7</v>
      </c>
      <c r="L3" s="23">
        <v>7</v>
      </c>
      <c r="M3" s="23">
        <v>6</v>
      </c>
      <c r="N3" s="23">
        <v>5</v>
      </c>
      <c r="O3" s="23">
        <v>10</v>
      </c>
      <c r="P3" s="23">
        <v>12</v>
      </c>
      <c r="Q3" s="23">
        <v>15</v>
      </c>
      <c r="R3" s="23">
        <v>16</v>
      </c>
      <c r="S3" s="23">
        <v>7</v>
      </c>
      <c r="T3" s="23">
        <v>0</v>
      </c>
    </row>
    <row r="6" spans="1:20" x14ac:dyDescent="0.2">
      <c r="A6" s="25" t="s">
        <v>44</v>
      </c>
      <c r="B6" s="25" t="s">
        <v>45</v>
      </c>
      <c r="C6" s="25" t="s">
        <v>46</v>
      </c>
      <c r="D6" s="25" t="s">
        <v>47</v>
      </c>
      <c r="E6" s="25" t="s">
        <v>58</v>
      </c>
      <c r="F6" s="25"/>
    </row>
    <row r="7" spans="1:20" x14ac:dyDescent="0.2">
      <c r="A7" s="25">
        <v>0</v>
      </c>
      <c r="B7" s="26">
        <v>63</v>
      </c>
      <c r="C7" s="26">
        <v>0</v>
      </c>
      <c r="D7" s="26">
        <v>63</v>
      </c>
      <c r="E7" s="26">
        <v>63</v>
      </c>
      <c r="F7" s="26"/>
      <c r="G7" s="23"/>
      <c r="H7" s="23"/>
      <c r="I7" s="23"/>
      <c r="J7" s="23"/>
      <c r="K7" s="23"/>
      <c r="L7" s="23"/>
      <c r="M7" s="23"/>
      <c r="N7" s="23"/>
    </row>
    <row r="8" spans="1:20" x14ac:dyDescent="0.2">
      <c r="A8" s="25">
        <v>1</v>
      </c>
      <c r="B8" s="26">
        <v>15</v>
      </c>
      <c r="C8" s="26">
        <v>6</v>
      </c>
      <c r="D8" s="26">
        <f>D7+B8</f>
        <v>78</v>
      </c>
      <c r="E8" s="26">
        <f>D8-SUM(C7:C8)</f>
        <v>72</v>
      </c>
      <c r="F8" s="26"/>
      <c r="G8" s="23"/>
      <c r="H8" s="23"/>
      <c r="I8" s="23"/>
      <c r="J8" s="23"/>
      <c r="K8" s="23"/>
      <c r="L8" s="23"/>
      <c r="M8" s="23"/>
      <c r="N8" s="23"/>
    </row>
    <row r="9" spans="1:20" x14ac:dyDescent="0.2">
      <c r="A9" s="25">
        <v>2</v>
      </c>
      <c r="B9" s="26">
        <v>13</v>
      </c>
      <c r="C9" s="26">
        <v>8</v>
      </c>
      <c r="D9" s="26">
        <f>D8+B9</f>
        <v>91</v>
      </c>
      <c r="E9" s="26">
        <f>D9-SUM(C7:C9)</f>
        <v>77</v>
      </c>
      <c r="F9" s="26"/>
      <c r="G9" s="23"/>
      <c r="H9" s="23"/>
      <c r="I9" s="23"/>
      <c r="J9" s="23"/>
      <c r="K9" s="23"/>
      <c r="L9" s="23"/>
      <c r="M9" s="23"/>
      <c r="N9" s="23"/>
    </row>
    <row r="10" spans="1:20" x14ac:dyDescent="0.2">
      <c r="A10" s="25">
        <v>3</v>
      </c>
      <c r="B10" s="26">
        <v>14</v>
      </c>
      <c r="C10" s="26">
        <v>7</v>
      </c>
      <c r="D10" s="26">
        <f t="shared" ref="D10:D19" si="0">D9+B10</f>
        <v>105</v>
      </c>
      <c r="E10" s="26">
        <f>D10-SUM(C7:C10)</f>
        <v>84</v>
      </c>
      <c r="F10" s="26"/>
      <c r="G10" s="23"/>
      <c r="H10" s="23"/>
      <c r="I10" s="23"/>
      <c r="J10" s="23"/>
      <c r="K10" s="23"/>
      <c r="L10" s="23"/>
      <c r="M10" s="23"/>
      <c r="N10" s="23"/>
    </row>
    <row r="11" spans="1:20" x14ac:dyDescent="0.2">
      <c r="A11" s="25">
        <v>4</v>
      </c>
      <c r="B11" s="26">
        <v>8</v>
      </c>
      <c r="C11" s="26">
        <v>7</v>
      </c>
      <c r="D11" s="26">
        <f t="shared" si="0"/>
        <v>113</v>
      </c>
      <c r="E11" s="26">
        <f>D11-SUM(C7:C11)</f>
        <v>85</v>
      </c>
      <c r="F11" s="26"/>
      <c r="G11" s="23"/>
      <c r="H11" s="23"/>
      <c r="I11" s="23"/>
      <c r="J11" s="23"/>
      <c r="K11" s="23"/>
      <c r="L11" s="23"/>
      <c r="M11" s="23"/>
      <c r="N11" s="23"/>
    </row>
    <row r="12" spans="1:20" x14ac:dyDescent="0.2">
      <c r="A12" s="25">
        <v>5</v>
      </c>
      <c r="B12" s="26">
        <v>6</v>
      </c>
      <c r="C12" s="26">
        <v>6</v>
      </c>
      <c r="D12" s="26">
        <f t="shared" si="0"/>
        <v>119</v>
      </c>
      <c r="E12" s="26">
        <f>D12-SUM(C7:C12)</f>
        <v>85</v>
      </c>
      <c r="F12" s="26"/>
      <c r="G12" s="23"/>
      <c r="H12" s="23"/>
      <c r="I12" s="23"/>
      <c r="J12" s="23"/>
      <c r="K12" s="23"/>
      <c r="L12" s="23"/>
      <c r="M12" s="23"/>
      <c r="N12" s="23"/>
    </row>
    <row r="13" spans="1:20" x14ac:dyDescent="0.2">
      <c r="A13" s="25">
        <v>6</v>
      </c>
      <c r="B13" s="26">
        <v>2</v>
      </c>
      <c r="C13" s="26">
        <v>5</v>
      </c>
      <c r="D13" s="26">
        <f t="shared" si="0"/>
        <v>121</v>
      </c>
      <c r="E13" s="26">
        <f>D13-SUM(C7:C13)</f>
        <v>82</v>
      </c>
      <c r="F13" s="26"/>
      <c r="G13" s="23"/>
      <c r="H13" s="23"/>
      <c r="I13" s="23"/>
      <c r="J13" s="23"/>
      <c r="K13" s="23"/>
      <c r="L13" s="23"/>
      <c r="M13" s="23"/>
      <c r="N13" s="23"/>
    </row>
    <row r="14" spans="1:20" x14ac:dyDescent="0.2">
      <c r="A14" s="25">
        <v>7</v>
      </c>
      <c r="B14" s="26">
        <v>1</v>
      </c>
      <c r="C14" s="26">
        <v>10</v>
      </c>
      <c r="D14" s="26">
        <f t="shared" si="0"/>
        <v>122</v>
      </c>
      <c r="E14" s="26">
        <f>D14-SUM(C7:C14)</f>
        <v>73</v>
      </c>
      <c r="F14" s="26"/>
      <c r="G14" s="23"/>
      <c r="H14" s="23"/>
      <c r="I14" s="23"/>
      <c r="J14" s="23"/>
      <c r="K14" s="23"/>
      <c r="L14" s="23"/>
      <c r="M14" s="23"/>
      <c r="N14" s="23"/>
    </row>
    <row r="15" spans="1:20" x14ac:dyDescent="0.2">
      <c r="A15" s="25">
        <v>8</v>
      </c>
      <c r="B15" s="26">
        <v>1</v>
      </c>
      <c r="C15" s="26">
        <v>12</v>
      </c>
      <c r="D15" s="26">
        <f t="shared" si="0"/>
        <v>123</v>
      </c>
      <c r="E15" s="26">
        <f>D15-SUM(C7:C15)</f>
        <v>62</v>
      </c>
      <c r="F15" s="26"/>
      <c r="G15" s="23"/>
      <c r="H15" s="23"/>
      <c r="I15" s="23"/>
      <c r="J15" s="23"/>
      <c r="K15" s="23"/>
      <c r="L15" s="23"/>
      <c r="M15" s="23"/>
      <c r="N15" s="23"/>
    </row>
    <row r="16" spans="1:20" x14ac:dyDescent="0.2">
      <c r="A16" s="25">
        <v>9</v>
      </c>
      <c r="B16" s="26">
        <v>0</v>
      </c>
      <c r="C16" s="26">
        <v>15</v>
      </c>
      <c r="D16" s="26">
        <f t="shared" si="0"/>
        <v>123</v>
      </c>
      <c r="E16" s="26">
        <f>D16-SUM(C7:C16)</f>
        <v>47</v>
      </c>
      <c r="F16" s="26"/>
      <c r="G16" s="23"/>
      <c r="H16" s="23"/>
      <c r="I16" s="23"/>
      <c r="J16" s="23"/>
      <c r="K16" s="23"/>
      <c r="L16" s="23"/>
      <c r="M16" s="23"/>
      <c r="N16" s="23"/>
    </row>
    <row r="17" spans="1:14" x14ac:dyDescent="0.2">
      <c r="A17" s="25">
        <v>10</v>
      </c>
      <c r="B17" s="26">
        <v>1</v>
      </c>
      <c r="C17" s="26">
        <v>16</v>
      </c>
      <c r="D17" s="26">
        <f t="shared" si="0"/>
        <v>124</v>
      </c>
      <c r="E17" s="26">
        <f>D17-SUM(C7:C17)</f>
        <v>32</v>
      </c>
      <c r="F17" s="26"/>
      <c r="G17" s="23"/>
      <c r="H17" s="23"/>
      <c r="I17" s="23"/>
      <c r="J17" s="23"/>
      <c r="K17" s="23"/>
      <c r="L17" s="23"/>
      <c r="M17" s="23"/>
      <c r="N17" s="23"/>
    </row>
    <row r="18" spans="1:14" x14ac:dyDescent="0.2">
      <c r="A18" s="25">
        <v>11</v>
      </c>
      <c r="B18" s="26">
        <v>2</v>
      </c>
      <c r="C18" s="26">
        <v>7</v>
      </c>
      <c r="D18" s="26">
        <f t="shared" si="0"/>
        <v>126</v>
      </c>
      <c r="E18" s="26">
        <f>D18-SUM(C12:C18)</f>
        <v>55</v>
      </c>
      <c r="F18" s="26"/>
      <c r="G18" s="23"/>
      <c r="H18" s="23"/>
      <c r="I18" s="23"/>
      <c r="J18" s="23"/>
      <c r="K18" s="23"/>
      <c r="L18" s="23"/>
      <c r="M18" s="23"/>
      <c r="N18" s="23"/>
    </row>
    <row r="19" spans="1:14" x14ac:dyDescent="0.2">
      <c r="A19" s="25">
        <v>12</v>
      </c>
      <c r="B19" s="26">
        <v>0</v>
      </c>
      <c r="C19" s="26">
        <v>0</v>
      </c>
      <c r="D19" s="26">
        <f t="shared" si="0"/>
        <v>126</v>
      </c>
      <c r="E19" s="26">
        <f>D19-SUM(C7:C19)</f>
        <v>27</v>
      </c>
      <c r="F19" s="26"/>
      <c r="G19" s="23"/>
      <c r="H19" s="23"/>
      <c r="I19" s="23"/>
      <c r="J19" s="23"/>
      <c r="K19" s="23"/>
      <c r="L19" s="23"/>
      <c r="M19" s="23"/>
      <c r="N19" s="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F86BB-9652-4D6E-96DA-C272016128B4}">
  <dimension ref="B1:AE64"/>
  <sheetViews>
    <sheetView topLeftCell="A29" zoomScaleNormal="100" workbookViewId="0">
      <selection activeCell="AC54" sqref="AC54"/>
    </sheetView>
  </sheetViews>
  <sheetFormatPr defaultRowHeight="12.75" x14ac:dyDescent="0.2"/>
  <cols>
    <col min="1" max="3" width="9.140625" style="27"/>
    <col min="4" max="4" width="10.7109375" style="27" customWidth="1"/>
    <col min="5" max="16384" width="9.140625" style="27"/>
  </cols>
  <sheetData>
    <row r="1" spans="2:28" x14ac:dyDescent="0.2">
      <c r="B1" s="108" t="s">
        <v>51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 t="s">
        <v>52</v>
      </c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</row>
    <row r="2" spans="2:28" s="38" customFormat="1" ht="25.5" x14ac:dyDescent="0.2">
      <c r="B2" s="36" t="s">
        <v>53</v>
      </c>
      <c r="C2" s="37">
        <v>0</v>
      </c>
      <c r="D2" s="37">
        <v>1</v>
      </c>
      <c r="E2" s="37">
        <v>2</v>
      </c>
      <c r="F2" s="37">
        <v>3</v>
      </c>
      <c r="G2" s="37">
        <v>4</v>
      </c>
      <c r="H2" s="37">
        <v>5</v>
      </c>
      <c r="I2" s="37">
        <v>6</v>
      </c>
      <c r="J2" s="37">
        <v>7</v>
      </c>
      <c r="K2" s="37">
        <v>8</v>
      </c>
      <c r="L2" s="37">
        <v>9</v>
      </c>
      <c r="M2" s="37">
        <v>10</v>
      </c>
      <c r="N2" s="37">
        <v>11</v>
      </c>
      <c r="O2" s="37">
        <v>12</v>
      </c>
      <c r="P2" s="37">
        <v>0</v>
      </c>
      <c r="Q2" s="37">
        <v>1</v>
      </c>
      <c r="R2" s="37">
        <v>2</v>
      </c>
      <c r="S2" s="37">
        <v>3</v>
      </c>
      <c r="T2" s="37">
        <v>4</v>
      </c>
      <c r="U2" s="37">
        <v>5</v>
      </c>
      <c r="V2" s="37">
        <v>6</v>
      </c>
      <c r="W2" s="37">
        <v>7</v>
      </c>
      <c r="X2" s="37">
        <v>8</v>
      </c>
      <c r="Y2" s="37">
        <v>9</v>
      </c>
      <c r="Z2" s="37">
        <v>10</v>
      </c>
      <c r="AA2" s="37">
        <v>11</v>
      </c>
      <c r="AB2" s="37">
        <v>12</v>
      </c>
    </row>
    <row r="3" spans="2:28" x14ac:dyDescent="0.2">
      <c r="B3" s="32" t="s">
        <v>5</v>
      </c>
      <c r="C3" s="29">
        <v>45</v>
      </c>
      <c r="D3" s="28">
        <v>48</v>
      </c>
      <c r="E3" s="28">
        <v>53</v>
      </c>
      <c r="F3" s="28">
        <v>56</v>
      </c>
      <c r="G3" s="28">
        <v>58</v>
      </c>
      <c r="H3" s="28">
        <v>64</v>
      </c>
      <c r="I3" s="28">
        <v>67</v>
      </c>
      <c r="J3" s="28">
        <v>69</v>
      </c>
      <c r="K3" s="28">
        <v>70</v>
      </c>
      <c r="L3" s="28">
        <v>70</v>
      </c>
      <c r="M3" s="28">
        <v>71</v>
      </c>
      <c r="N3" s="28">
        <v>71</v>
      </c>
      <c r="O3" s="33">
        <v>72</v>
      </c>
      <c r="P3" s="28">
        <v>45</v>
      </c>
      <c r="Q3" s="28">
        <v>43</v>
      </c>
      <c r="R3" s="28">
        <v>41</v>
      </c>
      <c r="S3" s="28">
        <v>38</v>
      </c>
      <c r="T3" s="28">
        <v>34</v>
      </c>
      <c r="U3" s="28">
        <v>37</v>
      </c>
      <c r="V3" s="28">
        <v>35</v>
      </c>
      <c r="W3" s="28">
        <v>29</v>
      </c>
      <c r="X3" s="28">
        <v>18</v>
      </c>
      <c r="Y3" s="28">
        <v>13</v>
      </c>
      <c r="Z3" s="28">
        <v>8</v>
      </c>
      <c r="AA3" s="28">
        <v>4</v>
      </c>
      <c r="AB3" s="30">
        <v>5</v>
      </c>
    </row>
    <row r="4" spans="2:28" x14ac:dyDescent="0.2">
      <c r="B4" s="32" t="s">
        <v>8</v>
      </c>
      <c r="C4" s="29">
        <v>38</v>
      </c>
      <c r="D4" s="28">
        <v>44</v>
      </c>
      <c r="E4" s="28">
        <v>52</v>
      </c>
      <c r="F4" s="28">
        <v>54</v>
      </c>
      <c r="G4" s="28">
        <v>57</v>
      </c>
      <c r="H4" s="28">
        <v>61</v>
      </c>
      <c r="I4" s="28">
        <v>62</v>
      </c>
      <c r="J4" s="28">
        <v>67</v>
      </c>
      <c r="K4" s="28">
        <v>67</v>
      </c>
      <c r="L4" s="28">
        <v>67</v>
      </c>
      <c r="M4" s="28">
        <v>68</v>
      </c>
      <c r="N4" s="28">
        <v>68</v>
      </c>
      <c r="O4" s="30">
        <v>69</v>
      </c>
      <c r="P4" s="28">
        <v>38</v>
      </c>
      <c r="Q4" s="28">
        <v>40</v>
      </c>
      <c r="R4" s="28">
        <v>40</v>
      </c>
      <c r="S4" s="28">
        <v>39</v>
      </c>
      <c r="T4" s="28">
        <v>37</v>
      </c>
      <c r="U4" s="28">
        <v>36</v>
      </c>
      <c r="V4" s="28">
        <v>30</v>
      </c>
      <c r="W4" s="28">
        <v>27</v>
      </c>
      <c r="X4" s="28">
        <v>17</v>
      </c>
      <c r="Y4" s="28">
        <v>11</v>
      </c>
      <c r="Z4" s="28">
        <v>5</v>
      </c>
      <c r="AA4" s="28">
        <v>2</v>
      </c>
      <c r="AB4" s="30">
        <v>2</v>
      </c>
    </row>
    <row r="5" spans="2:28" x14ac:dyDescent="0.2">
      <c r="B5" s="32" t="s">
        <v>7</v>
      </c>
      <c r="C5" s="29">
        <v>41</v>
      </c>
      <c r="D5" s="28">
        <v>46</v>
      </c>
      <c r="E5" s="28">
        <v>49</v>
      </c>
      <c r="F5" s="28">
        <v>53</v>
      </c>
      <c r="G5" s="28">
        <v>56</v>
      </c>
      <c r="H5" s="28">
        <v>58</v>
      </c>
      <c r="I5" s="28">
        <v>60</v>
      </c>
      <c r="J5" s="28">
        <v>61</v>
      </c>
      <c r="K5" s="28">
        <v>62</v>
      </c>
      <c r="L5" s="28">
        <v>62</v>
      </c>
      <c r="M5" s="28">
        <v>63</v>
      </c>
      <c r="N5" s="28">
        <v>63</v>
      </c>
      <c r="O5" s="30">
        <v>63</v>
      </c>
      <c r="P5" s="28">
        <v>41</v>
      </c>
      <c r="Q5" s="28">
        <v>40</v>
      </c>
      <c r="R5" s="28">
        <v>35</v>
      </c>
      <c r="S5" s="28">
        <v>32</v>
      </c>
      <c r="T5" s="28">
        <v>31</v>
      </c>
      <c r="U5" s="28">
        <v>28</v>
      </c>
      <c r="V5" s="28">
        <v>27</v>
      </c>
      <c r="W5" s="28">
        <v>18</v>
      </c>
      <c r="X5" s="28">
        <v>7</v>
      </c>
      <c r="Y5" s="28">
        <v>2</v>
      </c>
      <c r="Z5" s="28">
        <v>1</v>
      </c>
      <c r="AA5" s="28">
        <v>1</v>
      </c>
      <c r="AB5" s="30">
        <v>1</v>
      </c>
    </row>
    <row r="6" spans="2:28" x14ac:dyDescent="0.2">
      <c r="B6" s="32" t="s">
        <v>9</v>
      </c>
      <c r="C6" s="29">
        <v>33</v>
      </c>
      <c r="D6" s="28">
        <v>37</v>
      </c>
      <c r="E6" s="28">
        <v>39</v>
      </c>
      <c r="F6" s="28">
        <v>44</v>
      </c>
      <c r="G6" s="28">
        <v>46</v>
      </c>
      <c r="H6" s="28">
        <v>48</v>
      </c>
      <c r="I6" s="28">
        <v>49</v>
      </c>
      <c r="J6" s="28">
        <v>52</v>
      </c>
      <c r="K6" s="28">
        <v>52</v>
      </c>
      <c r="L6" s="28">
        <v>52</v>
      </c>
      <c r="M6" s="28">
        <v>53</v>
      </c>
      <c r="N6" s="28">
        <v>53</v>
      </c>
      <c r="O6" s="30">
        <v>53</v>
      </c>
      <c r="P6" s="28">
        <v>33</v>
      </c>
      <c r="Q6" s="28">
        <v>29</v>
      </c>
      <c r="R6" s="28">
        <v>27</v>
      </c>
      <c r="S6" s="28">
        <v>28</v>
      </c>
      <c r="T6" s="28">
        <v>25</v>
      </c>
      <c r="U6" s="28">
        <v>24</v>
      </c>
      <c r="V6" s="28">
        <v>18</v>
      </c>
      <c r="W6" s="28">
        <v>13</v>
      </c>
      <c r="X6" s="28">
        <v>6</v>
      </c>
      <c r="Y6" s="28">
        <v>2</v>
      </c>
      <c r="Z6" s="28">
        <v>1</v>
      </c>
      <c r="AA6" s="28">
        <v>0</v>
      </c>
      <c r="AB6" s="30">
        <v>0</v>
      </c>
    </row>
    <row r="7" spans="2:28" x14ac:dyDescent="0.2">
      <c r="B7" s="32" t="s">
        <v>10</v>
      </c>
      <c r="C7" s="29">
        <v>55</v>
      </c>
      <c r="D7" s="28">
        <v>58</v>
      </c>
      <c r="E7" s="28">
        <v>63</v>
      </c>
      <c r="F7" s="28">
        <v>66</v>
      </c>
      <c r="G7" s="28">
        <v>68</v>
      </c>
      <c r="H7" s="28">
        <v>74</v>
      </c>
      <c r="I7" s="28">
        <v>77</v>
      </c>
      <c r="J7" s="28">
        <v>79</v>
      </c>
      <c r="K7" s="28">
        <v>80</v>
      </c>
      <c r="L7" s="28">
        <v>80</v>
      </c>
      <c r="M7" s="28">
        <v>81</v>
      </c>
      <c r="N7" s="28">
        <v>81</v>
      </c>
      <c r="O7" s="30">
        <v>82</v>
      </c>
      <c r="P7" s="28">
        <v>55</v>
      </c>
      <c r="Q7" s="28">
        <v>50</v>
      </c>
      <c r="R7" s="28">
        <v>48</v>
      </c>
      <c r="S7" s="28">
        <v>42</v>
      </c>
      <c r="T7" s="28">
        <v>38</v>
      </c>
      <c r="U7" s="28">
        <v>39</v>
      </c>
      <c r="V7" s="28">
        <v>37</v>
      </c>
      <c r="W7" s="28">
        <v>31</v>
      </c>
      <c r="X7" s="28">
        <v>20</v>
      </c>
      <c r="Y7" s="28">
        <v>15</v>
      </c>
      <c r="Z7" s="28">
        <v>10</v>
      </c>
      <c r="AA7" s="28">
        <v>6</v>
      </c>
      <c r="AB7" s="30">
        <v>6</v>
      </c>
    </row>
    <row r="8" spans="2:28" x14ac:dyDescent="0.2">
      <c r="B8" s="32" t="s">
        <v>11</v>
      </c>
      <c r="C8" s="29">
        <v>56</v>
      </c>
      <c r="D8" s="28">
        <v>62</v>
      </c>
      <c r="E8" s="28">
        <v>70</v>
      </c>
      <c r="F8" s="28">
        <v>72</v>
      </c>
      <c r="G8" s="28">
        <v>75</v>
      </c>
      <c r="H8" s="28">
        <v>79</v>
      </c>
      <c r="I8" s="28">
        <v>80</v>
      </c>
      <c r="J8" s="28">
        <v>85</v>
      </c>
      <c r="K8" s="28">
        <v>85</v>
      </c>
      <c r="L8" s="28">
        <v>85</v>
      </c>
      <c r="M8" s="28">
        <v>86</v>
      </c>
      <c r="N8" s="28">
        <v>86</v>
      </c>
      <c r="O8" s="30">
        <v>86</v>
      </c>
      <c r="P8" s="28">
        <v>56</v>
      </c>
      <c r="Q8" s="28">
        <v>52</v>
      </c>
      <c r="R8" s="28">
        <v>52</v>
      </c>
      <c r="S8" s="28">
        <v>41</v>
      </c>
      <c r="T8" s="28">
        <v>39</v>
      </c>
      <c r="U8" s="28">
        <v>38</v>
      </c>
      <c r="V8" s="28">
        <v>30</v>
      </c>
      <c r="W8" s="28">
        <v>27</v>
      </c>
      <c r="X8" s="28">
        <v>17</v>
      </c>
      <c r="Y8" s="28">
        <v>11</v>
      </c>
      <c r="Z8" s="28">
        <v>5</v>
      </c>
      <c r="AA8" s="28">
        <v>2</v>
      </c>
      <c r="AB8" s="30">
        <v>2</v>
      </c>
    </row>
    <row r="9" spans="2:28" x14ac:dyDescent="0.2">
      <c r="B9" s="32" t="s">
        <v>12</v>
      </c>
      <c r="C9" s="29">
        <v>44</v>
      </c>
      <c r="D9" s="28">
        <v>48</v>
      </c>
      <c r="E9" s="28">
        <v>51</v>
      </c>
      <c r="F9" s="28">
        <v>56</v>
      </c>
      <c r="G9" s="28">
        <v>58</v>
      </c>
      <c r="H9" s="28">
        <v>61</v>
      </c>
      <c r="I9" s="28">
        <v>63</v>
      </c>
      <c r="J9" s="28">
        <v>64</v>
      </c>
      <c r="K9" s="28">
        <v>65</v>
      </c>
      <c r="L9" s="28">
        <v>65</v>
      </c>
      <c r="M9" s="28">
        <v>66</v>
      </c>
      <c r="N9" s="28">
        <v>66</v>
      </c>
      <c r="O9" s="30">
        <v>66</v>
      </c>
      <c r="P9" s="28">
        <v>44</v>
      </c>
      <c r="Q9" s="28">
        <v>42</v>
      </c>
      <c r="R9" s="28">
        <v>37</v>
      </c>
      <c r="S9" s="28">
        <v>35</v>
      </c>
      <c r="T9" s="28">
        <v>33</v>
      </c>
      <c r="U9" s="28">
        <v>29</v>
      </c>
      <c r="V9" s="28">
        <v>26</v>
      </c>
      <c r="W9" s="28">
        <v>17</v>
      </c>
      <c r="X9" s="28">
        <v>7</v>
      </c>
      <c r="Y9" s="28">
        <v>2</v>
      </c>
      <c r="Z9" s="28">
        <v>1</v>
      </c>
      <c r="AA9" s="28">
        <v>1</v>
      </c>
      <c r="AB9" s="30">
        <v>1</v>
      </c>
    </row>
    <row r="10" spans="2:28" x14ac:dyDescent="0.2">
      <c r="B10" s="32" t="s">
        <v>13</v>
      </c>
      <c r="C10" s="29">
        <v>43</v>
      </c>
      <c r="D10" s="28">
        <v>45</v>
      </c>
      <c r="E10" s="28">
        <v>49</v>
      </c>
      <c r="F10" s="28">
        <v>52</v>
      </c>
      <c r="G10" s="28">
        <v>56</v>
      </c>
      <c r="H10" s="28">
        <v>58</v>
      </c>
      <c r="I10" s="28">
        <v>59</v>
      </c>
      <c r="J10" s="28">
        <v>62</v>
      </c>
      <c r="K10" s="28">
        <v>62</v>
      </c>
      <c r="L10" s="28">
        <v>62</v>
      </c>
      <c r="M10" s="28">
        <v>63</v>
      </c>
      <c r="N10" s="28">
        <v>63</v>
      </c>
      <c r="O10" s="30">
        <v>64</v>
      </c>
      <c r="P10" s="28">
        <v>43</v>
      </c>
      <c r="Q10" s="28">
        <v>37</v>
      </c>
      <c r="R10" s="28">
        <v>35</v>
      </c>
      <c r="S10" s="28">
        <v>34</v>
      </c>
      <c r="T10" s="28">
        <v>33</v>
      </c>
      <c r="U10" s="28">
        <v>30</v>
      </c>
      <c r="V10" s="28">
        <v>24</v>
      </c>
      <c r="W10" s="28">
        <v>19</v>
      </c>
      <c r="X10" s="28">
        <v>12</v>
      </c>
      <c r="Y10" s="28">
        <v>6</v>
      </c>
      <c r="Z10" s="28">
        <v>4</v>
      </c>
      <c r="AA10" s="28">
        <v>2</v>
      </c>
      <c r="AB10" s="30">
        <v>2</v>
      </c>
    </row>
    <row r="11" spans="2:28" x14ac:dyDescent="0.2">
      <c r="B11" s="32" t="s">
        <v>15</v>
      </c>
      <c r="C11" s="29">
        <v>38</v>
      </c>
      <c r="D11" s="28">
        <v>42</v>
      </c>
      <c r="E11" s="28">
        <v>45</v>
      </c>
      <c r="F11" s="28">
        <v>50</v>
      </c>
      <c r="G11" s="28">
        <v>52</v>
      </c>
      <c r="H11" s="28">
        <v>55</v>
      </c>
      <c r="I11" s="28">
        <v>57</v>
      </c>
      <c r="J11" s="28">
        <v>58</v>
      </c>
      <c r="K11" s="28">
        <v>59</v>
      </c>
      <c r="L11" s="28">
        <v>59</v>
      </c>
      <c r="M11" s="28">
        <v>60</v>
      </c>
      <c r="N11" s="28">
        <v>60</v>
      </c>
      <c r="O11" s="30">
        <v>60</v>
      </c>
      <c r="P11" s="28">
        <v>38</v>
      </c>
      <c r="Q11" s="28">
        <v>36</v>
      </c>
      <c r="R11" s="28">
        <v>33</v>
      </c>
      <c r="S11" s="28">
        <v>31</v>
      </c>
      <c r="T11" s="28">
        <v>29</v>
      </c>
      <c r="U11" s="28">
        <v>25</v>
      </c>
      <c r="V11" s="28">
        <v>22</v>
      </c>
      <c r="W11" s="28">
        <v>17</v>
      </c>
      <c r="X11" s="28">
        <v>7</v>
      </c>
      <c r="Y11" s="28">
        <v>2</v>
      </c>
      <c r="Z11" s="28">
        <v>1</v>
      </c>
      <c r="AA11" s="28">
        <v>1</v>
      </c>
      <c r="AB11" s="30">
        <v>1</v>
      </c>
    </row>
    <row r="12" spans="2:28" x14ac:dyDescent="0.2">
      <c r="B12" s="32" t="s">
        <v>16</v>
      </c>
      <c r="C12" s="29">
        <v>42</v>
      </c>
      <c r="D12" s="28">
        <v>44</v>
      </c>
      <c r="E12" s="28">
        <v>48</v>
      </c>
      <c r="F12" s="28">
        <v>51</v>
      </c>
      <c r="G12" s="28">
        <v>55</v>
      </c>
      <c r="H12" s="28">
        <v>57</v>
      </c>
      <c r="I12" s="28">
        <v>58</v>
      </c>
      <c r="J12" s="28">
        <v>61</v>
      </c>
      <c r="K12" s="28">
        <v>61</v>
      </c>
      <c r="L12" s="28">
        <v>61</v>
      </c>
      <c r="M12" s="28">
        <v>62</v>
      </c>
      <c r="N12" s="28">
        <v>62</v>
      </c>
      <c r="O12" s="30">
        <v>63</v>
      </c>
      <c r="P12" s="28">
        <v>42</v>
      </c>
      <c r="Q12" s="28">
        <v>36</v>
      </c>
      <c r="R12" s="28">
        <v>34</v>
      </c>
      <c r="S12" s="28">
        <v>33</v>
      </c>
      <c r="T12" s="28">
        <v>32</v>
      </c>
      <c r="U12" s="28">
        <v>29</v>
      </c>
      <c r="V12" s="28">
        <v>23</v>
      </c>
      <c r="W12" s="28">
        <v>18</v>
      </c>
      <c r="X12" s="28">
        <v>12</v>
      </c>
      <c r="Y12" s="28">
        <v>6</v>
      </c>
      <c r="Z12" s="28">
        <v>4</v>
      </c>
      <c r="AA12" s="28">
        <v>2</v>
      </c>
      <c r="AB12" s="30">
        <v>2</v>
      </c>
    </row>
    <row r="13" spans="2:28" x14ac:dyDescent="0.2">
      <c r="B13" s="32" t="s">
        <v>19</v>
      </c>
      <c r="C13" s="29">
        <v>40</v>
      </c>
      <c r="D13" s="28">
        <v>42</v>
      </c>
      <c r="E13" s="28">
        <v>48</v>
      </c>
      <c r="F13" s="28">
        <v>50</v>
      </c>
      <c r="G13" s="28">
        <v>51</v>
      </c>
      <c r="H13" s="28">
        <v>53</v>
      </c>
      <c r="I13" s="28">
        <v>56</v>
      </c>
      <c r="J13" s="28">
        <v>58</v>
      </c>
      <c r="K13" s="28">
        <v>59</v>
      </c>
      <c r="L13" s="28">
        <v>59</v>
      </c>
      <c r="M13" s="28">
        <v>60</v>
      </c>
      <c r="N13" s="28">
        <v>60</v>
      </c>
      <c r="O13" s="30">
        <v>61</v>
      </c>
      <c r="P13" s="28">
        <v>40</v>
      </c>
      <c r="Q13" s="28">
        <v>37</v>
      </c>
      <c r="R13" s="28">
        <v>39</v>
      </c>
      <c r="S13" s="28">
        <v>35</v>
      </c>
      <c r="T13" s="28">
        <v>29</v>
      </c>
      <c r="U13" s="28">
        <v>28</v>
      </c>
      <c r="V13" s="28">
        <v>29</v>
      </c>
      <c r="W13" s="28">
        <v>22</v>
      </c>
      <c r="X13" s="28">
        <v>15</v>
      </c>
      <c r="Y13" s="28">
        <v>10</v>
      </c>
      <c r="Z13" s="28">
        <v>5</v>
      </c>
      <c r="AA13" s="28">
        <v>1</v>
      </c>
      <c r="AB13" s="30">
        <v>2</v>
      </c>
    </row>
    <row r="14" spans="2:28" x14ac:dyDescent="0.2">
      <c r="B14" s="32" t="s">
        <v>20</v>
      </c>
      <c r="C14" s="29">
        <v>25</v>
      </c>
      <c r="D14" s="28">
        <v>29</v>
      </c>
      <c r="E14" s="28">
        <v>35</v>
      </c>
      <c r="F14" s="28">
        <v>38</v>
      </c>
      <c r="G14" s="28">
        <v>39</v>
      </c>
      <c r="H14" s="28">
        <v>41</v>
      </c>
      <c r="I14" s="28">
        <v>43</v>
      </c>
      <c r="J14" s="28">
        <v>46</v>
      </c>
      <c r="K14" s="28">
        <v>47</v>
      </c>
      <c r="L14" s="28">
        <v>47</v>
      </c>
      <c r="M14" s="28">
        <v>48</v>
      </c>
      <c r="N14" s="28">
        <v>48</v>
      </c>
      <c r="O14" s="30">
        <v>49</v>
      </c>
      <c r="P14" s="28">
        <v>25</v>
      </c>
      <c r="Q14" s="28">
        <v>25</v>
      </c>
      <c r="R14" s="28">
        <v>23</v>
      </c>
      <c r="S14" s="28">
        <v>23</v>
      </c>
      <c r="T14" s="28">
        <v>19</v>
      </c>
      <c r="U14" s="28">
        <v>16</v>
      </c>
      <c r="V14" s="28">
        <v>11</v>
      </c>
      <c r="W14" s="28">
        <v>6</v>
      </c>
      <c r="X14" s="28">
        <v>1</v>
      </c>
      <c r="Y14" s="28">
        <v>0</v>
      </c>
      <c r="Z14" s="28">
        <v>1</v>
      </c>
      <c r="AA14" s="28">
        <v>0</v>
      </c>
      <c r="AB14" s="30">
        <v>0</v>
      </c>
    </row>
    <row r="15" spans="2:28" x14ac:dyDescent="0.2">
      <c r="B15" s="32" t="s">
        <v>21</v>
      </c>
      <c r="C15" s="29">
        <v>36</v>
      </c>
      <c r="D15" s="28">
        <v>39</v>
      </c>
      <c r="E15" s="28">
        <v>43</v>
      </c>
      <c r="F15" s="28">
        <v>48</v>
      </c>
      <c r="G15" s="28">
        <v>49</v>
      </c>
      <c r="H15" s="28">
        <v>53</v>
      </c>
      <c r="I15" s="28">
        <v>54</v>
      </c>
      <c r="J15" s="28">
        <v>56</v>
      </c>
      <c r="K15" s="28">
        <v>57</v>
      </c>
      <c r="L15" s="28">
        <v>57</v>
      </c>
      <c r="M15" s="28">
        <v>58</v>
      </c>
      <c r="N15" s="28">
        <v>58</v>
      </c>
      <c r="O15" s="30">
        <v>59</v>
      </c>
      <c r="P15" s="28">
        <v>36</v>
      </c>
      <c r="Q15" s="28">
        <v>33</v>
      </c>
      <c r="R15" s="28">
        <v>30</v>
      </c>
      <c r="S15" s="28">
        <v>30</v>
      </c>
      <c r="T15" s="28">
        <v>27</v>
      </c>
      <c r="U15" s="28">
        <v>25</v>
      </c>
      <c r="V15" s="28">
        <v>23</v>
      </c>
      <c r="W15" s="28">
        <v>15</v>
      </c>
      <c r="X15" s="28">
        <v>6</v>
      </c>
      <c r="Y15" s="28">
        <v>1</v>
      </c>
      <c r="Z15" s="28">
        <v>0</v>
      </c>
      <c r="AA15" s="28">
        <v>0</v>
      </c>
      <c r="AB15" s="30">
        <v>0</v>
      </c>
    </row>
    <row r="16" spans="2:28" x14ac:dyDescent="0.2">
      <c r="B16" s="32" t="s">
        <v>6</v>
      </c>
      <c r="C16" s="29">
        <v>28</v>
      </c>
      <c r="D16" s="28">
        <v>30</v>
      </c>
      <c r="E16" s="28">
        <v>33</v>
      </c>
      <c r="F16" s="28">
        <v>37</v>
      </c>
      <c r="G16" s="28">
        <v>40</v>
      </c>
      <c r="H16" s="28">
        <v>43</v>
      </c>
      <c r="I16" s="28">
        <v>45</v>
      </c>
      <c r="J16" s="28">
        <v>47</v>
      </c>
      <c r="K16" s="28">
        <v>48</v>
      </c>
      <c r="L16" s="28">
        <v>48</v>
      </c>
      <c r="M16" s="28">
        <v>49</v>
      </c>
      <c r="N16" s="28">
        <v>49</v>
      </c>
      <c r="O16" s="30">
        <v>49</v>
      </c>
      <c r="P16" s="28">
        <v>28</v>
      </c>
      <c r="Q16" s="28">
        <v>22</v>
      </c>
      <c r="R16" s="28">
        <v>21</v>
      </c>
      <c r="S16" s="28">
        <v>21</v>
      </c>
      <c r="T16" s="28">
        <v>19</v>
      </c>
      <c r="U16" s="28">
        <v>17</v>
      </c>
      <c r="V16" s="28">
        <v>12</v>
      </c>
      <c r="W16" s="28">
        <v>6</v>
      </c>
      <c r="X16" s="28">
        <v>3</v>
      </c>
      <c r="Y16" s="28">
        <v>2</v>
      </c>
      <c r="Z16" s="28">
        <v>1</v>
      </c>
      <c r="AA16" s="28">
        <v>0</v>
      </c>
      <c r="AB16" s="30">
        <v>0</v>
      </c>
    </row>
    <row r="17" spans="2:28" x14ac:dyDescent="0.2">
      <c r="B17" s="32" t="s">
        <v>22</v>
      </c>
      <c r="C17" s="29">
        <v>43</v>
      </c>
      <c r="D17" s="28">
        <v>45</v>
      </c>
      <c r="E17" s="28">
        <v>51</v>
      </c>
      <c r="F17" s="28">
        <v>3</v>
      </c>
      <c r="G17" s="28">
        <v>54</v>
      </c>
      <c r="H17" s="28">
        <v>56</v>
      </c>
      <c r="I17" s="28">
        <v>59</v>
      </c>
      <c r="J17" s="28">
        <v>61</v>
      </c>
      <c r="K17" s="28">
        <v>62</v>
      </c>
      <c r="L17" s="28">
        <v>62</v>
      </c>
      <c r="M17" s="28">
        <v>63</v>
      </c>
      <c r="N17" s="28">
        <v>63</v>
      </c>
      <c r="O17" s="30">
        <v>63</v>
      </c>
      <c r="P17" s="28">
        <v>43</v>
      </c>
      <c r="Q17" s="28">
        <v>40</v>
      </c>
      <c r="R17" s="28">
        <v>42</v>
      </c>
      <c r="S17" s="28">
        <v>38</v>
      </c>
      <c r="T17" s="28">
        <v>32</v>
      </c>
      <c r="U17" s="28">
        <v>31</v>
      </c>
      <c r="V17" s="28">
        <v>29</v>
      </c>
      <c r="W17" s="28">
        <v>22</v>
      </c>
      <c r="X17" s="28">
        <v>15</v>
      </c>
      <c r="Y17" s="28">
        <v>10</v>
      </c>
      <c r="Z17" s="28">
        <v>5</v>
      </c>
      <c r="AA17" s="28">
        <v>1</v>
      </c>
      <c r="AB17" s="30">
        <v>1</v>
      </c>
    </row>
    <row r="18" spans="2:28" x14ac:dyDescent="0.2">
      <c r="B18" s="32" t="s">
        <v>23</v>
      </c>
      <c r="C18" s="29">
        <v>30</v>
      </c>
      <c r="D18" s="28">
        <v>36</v>
      </c>
      <c r="E18" s="28">
        <v>40</v>
      </c>
      <c r="F18" s="28">
        <v>41</v>
      </c>
      <c r="G18" s="28">
        <v>44</v>
      </c>
      <c r="H18" s="28">
        <v>46</v>
      </c>
      <c r="I18" s="28">
        <v>48</v>
      </c>
      <c r="J18" s="28">
        <v>51</v>
      </c>
      <c r="K18" s="28">
        <v>52</v>
      </c>
      <c r="L18" s="28">
        <v>52</v>
      </c>
      <c r="M18" s="28">
        <v>53</v>
      </c>
      <c r="N18" s="28">
        <v>53</v>
      </c>
      <c r="O18" s="30">
        <v>53</v>
      </c>
      <c r="P18" s="28">
        <v>30</v>
      </c>
      <c r="Q18" s="28">
        <v>32</v>
      </c>
      <c r="R18" s="28">
        <v>28</v>
      </c>
      <c r="S18" s="28">
        <v>23</v>
      </c>
      <c r="T18" s="28">
        <v>18</v>
      </c>
      <c r="U18" s="28">
        <v>15</v>
      </c>
      <c r="V18" s="28">
        <v>10</v>
      </c>
      <c r="W18" s="28">
        <v>7</v>
      </c>
      <c r="X18" s="28">
        <v>1</v>
      </c>
      <c r="Y18" s="28">
        <v>0</v>
      </c>
      <c r="Z18" s="28">
        <v>1</v>
      </c>
      <c r="AA18" s="28">
        <v>0</v>
      </c>
      <c r="AB18" s="30">
        <v>0</v>
      </c>
    </row>
    <row r="19" spans="2:28" x14ac:dyDescent="0.2">
      <c r="B19" s="32" t="s">
        <v>24</v>
      </c>
      <c r="C19" s="29">
        <v>36</v>
      </c>
      <c r="D19" s="28">
        <v>39</v>
      </c>
      <c r="E19" s="28">
        <v>43</v>
      </c>
      <c r="F19" s="28">
        <v>48</v>
      </c>
      <c r="G19" s="28">
        <v>49</v>
      </c>
      <c r="H19" s="28">
        <v>53</v>
      </c>
      <c r="I19" s="28">
        <v>54</v>
      </c>
      <c r="J19" s="28">
        <v>56</v>
      </c>
      <c r="K19" s="28">
        <v>57</v>
      </c>
      <c r="L19" s="28">
        <v>57</v>
      </c>
      <c r="M19" s="28">
        <v>58</v>
      </c>
      <c r="N19" s="28">
        <v>58</v>
      </c>
      <c r="O19" s="30">
        <v>58</v>
      </c>
      <c r="P19" s="28">
        <v>36</v>
      </c>
      <c r="Q19" s="28">
        <v>33</v>
      </c>
      <c r="R19" s="28">
        <v>30</v>
      </c>
      <c r="S19" s="28">
        <v>30</v>
      </c>
      <c r="T19" s="28">
        <v>27</v>
      </c>
      <c r="U19" s="28">
        <v>25</v>
      </c>
      <c r="V19" s="28">
        <v>23</v>
      </c>
      <c r="W19" s="28">
        <v>15</v>
      </c>
      <c r="X19" s="28">
        <v>6</v>
      </c>
      <c r="Y19" s="28">
        <v>1</v>
      </c>
      <c r="Z19" s="28">
        <v>0</v>
      </c>
      <c r="AA19" s="28">
        <v>0</v>
      </c>
      <c r="AB19" s="30">
        <v>0</v>
      </c>
    </row>
    <row r="20" spans="2:28" x14ac:dyDescent="0.2">
      <c r="B20" s="32" t="s">
        <v>25</v>
      </c>
      <c r="C20" s="29">
        <v>28</v>
      </c>
      <c r="D20" s="28">
        <v>30</v>
      </c>
      <c r="E20" s="28">
        <v>33</v>
      </c>
      <c r="F20" s="28">
        <v>37</v>
      </c>
      <c r="G20" s="28">
        <v>40</v>
      </c>
      <c r="H20" s="28">
        <v>43</v>
      </c>
      <c r="I20" s="28">
        <v>45</v>
      </c>
      <c r="J20" s="28">
        <v>47</v>
      </c>
      <c r="K20" s="28">
        <v>48</v>
      </c>
      <c r="L20" s="28">
        <v>48</v>
      </c>
      <c r="M20" s="28">
        <v>49</v>
      </c>
      <c r="N20" s="28">
        <v>49</v>
      </c>
      <c r="O20" s="30">
        <v>49</v>
      </c>
      <c r="P20" s="28">
        <v>28</v>
      </c>
      <c r="Q20" s="28">
        <v>22</v>
      </c>
      <c r="R20" s="28">
        <v>21</v>
      </c>
      <c r="S20" s="28">
        <v>21</v>
      </c>
      <c r="T20" s="28">
        <v>19</v>
      </c>
      <c r="U20" s="28">
        <v>17</v>
      </c>
      <c r="V20" s="28">
        <v>12</v>
      </c>
      <c r="W20" s="28">
        <v>6</v>
      </c>
      <c r="X20" s="28">
        <v>3</v>
      </c>
      <c r="Y20" s="28">
        <v>2</v>
      </c>
      <c r="Z20" s="28">
        <v>1</v>
      </c>
      <c r="AA20" s="28">
        <v>0</v>
      </c>
      <c r="AB20" s="30">
        <v>0</v>
      </c>
    </row>
    <row r="21" spans="2:28" x14ac:dyDescent="0.2">
      <c r="B21" s="32" t="s">
        <v>26</v>
      </c>
      <c r="C21" s="29">
        <v>32</v>
      </c>
      <c r="D21" s="28">
        <v>35</v>
      </c>
      <c r="E21" s="28">
        <v>39</v>
      </c>
      <c r="F21" s="28">
        <v>44</v>
      </c>
      <c r="G21" s="28">
        <v>45</v>
      </c>
      <c r="H21" s="28">
        <v>49</v>
      </c>
      <c r="I21" s="28">
        <v>50</v>
      </c>
      <c r="J21" s="28">
        <v>52</v>
      </c>
      <c r="K21" s="28">
        <v>53</v>
      </c>
      <c r="L21" s="28">
        <v>53</v>
      </c>
      <c r="M21" s="28">
        <v>54</v>
      </c>
      <c r="N21" s="28">
        <v>54</v>
      </c>
      <c r="O21" s="30">
        <v>54</v>
      </c>
      <c r="P21" s="28">
        <v>32</v>
      </c>
      <c r="Q21" s="28">
        <v>29</v>
      </c>
      <c r="R21" s="28">
        <v>26</v>
      </c>
      <c r="S21" s="28">
        <v>26</v>
      </c>
      <c r="T21" s="28">
        <v>23</v>
      </c>
      <c r="U21" s="28">
        <v>21</v>
      </c>
      <c r="V21" s="28">
        <v>19</v>
      </c>
      <c r="W21" s="28">
        <v>13</v>
      </c>
      <c r="X21" s="28">
        <v>6</v>
      </c>
      <c r="Y21" s="28">
        <v>1</v>
      </c>
      <c r="Z21" s="28">
        <v>0</v>
      </c>
      <c r="AA21" s="28">
        <v>0</v>
      </c>
      <c r="AB21" s="30">
        <v>0</v>
      </c>
    </row>
    <row r="22" spans="2:28" x14ac:dyDescent="0.2">
      <c r="B22" s="32" t="s">
        <v>27</v>
      </c>
      <c r="C22" s="29">
        <v>24</v>
      </c>
      <c r="D22" s="28">
        <v>26</v>
      </c>
      <c r="E22" s="28">
        <v>29</v>
      </c>
      <c r="F22" s="28">
        <v>33</v>
      </c>
      <c r="G22" s="28">
        <v>36</v>
      </c>
      <c r="H22" s="28">
        <v>39</v>
      </c>
      <c r="I22" s="28">
        <v>41</v>
      </c>
      <c r="J22" s="28">
        <v>43</v>
      </c>
      <c r="K22" s="28">
        <v>44</v>
      </c>
      <c r="L22" s="28">
        <v>44</v>
      </c>
      <c r="M22" s="28">
        <v>45</v>
      </c>
      <c r="N22" s="28">
        <v>45</v>
      </c>
      <c r="O22" s="30">
        <v>45</v>
      </c>
      <c r="P22" s="28">
        <v>24</v>
      </c>
      <c r="Q22" s="28">
        <v>18</v>
      </c>
      <c r="R22" s="28">
        <v>17</v>
      </c>
      <c r="S22" s="28">
        <v>17</v>
      </c>
      <c r="T22" s="28">
        <v>15</v>
      </c>
      <c r="U22" s="28">
        <v>13</v>
      </c>
      <c r="V22" s="28">
        <v>8</v>
      </c>
      <c r="W22" s="28">
        <v>4</v>
      </c>
      <c r="X22" s="28">
        <v>3</v>
      </c>
      <c r="Y22" s="28">
        <v>2</v>
      </c>
      <c r="Z22" s="28">
        <v>1</v>
      </c>
      <c r="AA22" s="28">
        <v>0</v>
      </c>
      <c r="AB22" s="30">
        <v>0</v>
      </c>
    </row>
    <row r="23" spans="2:28" x14ac:dyDescent="0.2">
      <c r="B23" s="32" t="s">
        <v>28</v>
      </c>
      <c r="C23" s="29">
        <v>48</v>
      </c>
      <c r="D23" s="28">
        <v>55</v>
      </c>
      <c r="E23" s="28">
        <v>69</v>
      </c>
      <c r="F23" s="28">
        <v>79</v>
      </c>
      <c r="G23" s="28">
        <v>84</v>
      </c>
      <c r="H23" s="28">
        <v>86</v>
      </c>
      <c r="I23" s="28">
        <v>87</v>
      </c>
      <c r="J23" s="28">
        <v>89</v>
      </c>
      <c r="K23" s="28">
        <v>90</v>
      </c>
      <c r="L23" s="28">
        <v>90</v>
      </c>
      <c r="M23" s="28">
        <v>90</v>
      </c>
      <c r="N23" s="28">
        <v>90</v>
      </c>
      <c r="O23" s="30">
        <v>90</v>
      </c>
      <c r="P23" s="28">
        <v>48</v>
      </c>
      <c r="Q23" s="28">
        <v>50</v>
      </c>
      <c r="R23" s="28">
        <v>57</v>
      </c>
      <c r="S23" s="28">
        <v>61</v>
      </c>
      <c r="T23" s="28">
        <v>60</v>
      </c>
      <c r="U23" s="28">
        <v>55</v>
      </c>
      <c r="V23" s="28">
        <v>51</v>
      </c>
      <c r="W23" s="28">
        <v>45</v>
      </c>
      <c r="X23" s="28">
        <v>34</v>
      </c>
      <c r="Y23" s="28">
        <v>29</v>
      </c>
      <c r="Z23" s="28">
        <v>21</v>
      </c>
      <c r="AA23" s="28">
        <v>16</v>
      </c>
      <c r="AB23" s="30">
        <v>16</v>
      </c>
    </row>
    <row r="24" spans="2:28" x14ac:dyDescent="0.2">
      <c r="B24" s="32" t="s">
        <v>29</v>
      </c>
      <c r="C24" s="29">
        <v>40</v>
      </c>
      <c r="D24" s="28">
        <v>50</v>
      </c>
      <c r="E24" s="28">
        <v>66</v>
      </c>
      <c r="F24" s="28">
        <v>74</v>
      </c>
      <c r="G24" s="28">
        <v>79</v>
      </c>
      <c r="H24" s="28">
        <v>80</v>
      </c>
      <c r="I24" s="28">
        <v>86</v>
      </c>
      <c r="J24" s="28">
        <v>89</v>
      </c>
      <c r="K24" s="28">
        <v>90</v>
      </c>
      <c r="L24" s="28">
        <v>90</v>
      </c>
      <c r="M24" s="28">
        <v>91</v>
      </c>
      <c r="N24" s="28">
        <v>91</v>
      </c>
      <c r="O24" s="30">
        <v>91</v>
      </c>
      <c r="P24" s="28">
        <v>40</v>
      </c>
      <c r="Q24" s="28">
        <v>46</v>
      </c>
      <c r="R24" s="28">
        <v>51</v>
      </c>
      <c r="S24" s="28">
        <v>54</v>
      </c>
      <c r="T24" s="28">
        <v>55</v>
      </c>
      <c r="U24" s="28">
        <v>50</v>
      </c>
      <c r="V24" s="28">
        <v>52</v>
      </c>
      <c r="W24" s="28">
        <v>49</v>
      </c>
      <c r="X24" s="28">
        <v>44</v>
      </c>
      <c r="Y24" s="28">
        <v>41</v>
      </c>
      <c r="Z24" s="28">
        <v>37</v>
      </c>
      <c r="AA24" s="28">
        <v>28</v>
      </c>
      <c r="AB24" s="30">
        <v>28</v>
      </c>
    </row>
    <row r="25" spans="2:28" x14ac:dyDescent="0.2">
      <c r="B25" s="32" t="s">
        <v>30</v>
      </c>
      <c r="C25" s="29">
        <v>30</v>
      </c>
      <c r="D25" s="28">
        <v>35</v>
      </c>
      <c r="E25" s="28">
        <v>48</v>
      </c>
      <c r="F25" s="28">
        <v>62</v>
      </c>
      <c r="G25" s="28">
        <v>70</v>
      </c>
      <c r="H25" s="28">
        <v>76</v>
      </c>
      <c r="I25" s="28">
        <v>78</v>
      </c>
      <c r="J25" s="28">
        <v>79</v>
      </c>
      <c r="K25" s="28">
        <v>80</v>
      </c>
      <c r="L25" s="28">
        <v>80</v>
      </c>
      <c r="M25" s="28">
        <v>81</v>
      </c>
      <c r="N25" s="28">
        <v>81</v>
      </c>
      <c r="O25" s="30">
        <v>82</v>
      </c>
      <c r="P25" s="28">
        <v>30</v>
      </c>
      <c r="Q25" s="28">
        <v>29</v>
      </c>
      <c r="R25" s="28">
        <v>34</v>
      </c>
      <c r="S25" s="28">
        <v>41</v>
      </c>
      <c r="T25" s="28">
        <v>42</v>
      </c>
      <c r="U25" s="28">
        <v>42</v>
      </c>
      <c r="V25" s="28">
        <v>41</v>
      </c>
      <c r="W25" s="28">
        <v>32</v>
      </c>
      <c r="X25" s="28">
        <v>21</v>
      </c>
      <c r="Y25" s="28">
        <v>16</v>
      </c>
      <c r="Z25" s="28">
        <v>11</v>
      </c>
      <c r="AA25" s="28">
        <v>7</v>
      </c>
      <c r="AB25" s="30">
        <v>8</v>
      </c>
    </row>
    <row r="26" spans="2:28" x14ac:dyDescent="0.2">
      <c r="B26" s="32" t="s">
        <v>31</v>
      </c>
      <c r="C26" s="29">
        <v>33</v>
      </c>
      <c r="D26" s="28">
        <v>37</v>
      </c>
      <c r="E26" s="28">
        <v>49</v>
      </c>
      <c r="F26" s="28">
        <v>58</v>
      </c>
      <c r="G26" s="28">
        <v>61</v>
      </c>
      <c r="H26" s="28">
        <v>63</v>
      </c>
      <c r="I26" s="28">
        <v>64</v>
      </c>
      <c r="J26" s="28">
        <v>67</v>
      </c>
      <c r="K26" s="28">
        <v>67</v>
      </c>
      <c r="L26" s="28">
        <v>67</v>
      </c>
      <c r="M26" s="28">
        <v>68</v>
      </c>
      <c r="N26" s="28">
        <v>70</v>
      </c>
      <c r="O26" s="30">
        <v>71</v>
      </c>
      <c r="P26" s="28">
        <v>33</v>
      </c>
      <c r="Q26" s="28">
        <v>29</v>
      </c>
      <c r="R26" s="28">
        <v>33</v>
      </c>
      <c r="S26" s="28">
        <v>36</v>
      </c>
      <c r="T26" s="28">
        <v>34</v>
      </c>
      <c r="U26" s="28">
        <v>29</v>
      </c>
      <c r="V26" s="28">
        <v>23</v>
      </c>
      <c r="W26" s="28">
        <v>24</v>
      </c>
      <c r="X26" s="28">
        <v>17</v>
      </c>
      <c r="Y26" s="28">
        <v>11</v>
      </c>
      <c r="Z26" s="28">
        <v>5</v>
      </c>
      <c r="AA26" s="28">
        <v>6</v>
      </c>
      <c r="AB26" s="30">
        <v>7</v>
      </c>
    </row>
    <row r="27" spans="2:28" x14ac:dyDescent="0.2">
      <c r="B27" s="32" t="s">
        <v>32</v>
      </c>
      <c r="C27" s="29">
        <v>45</v>
      </c>
      <c r="D27" s="28">
        <v>52</v>
      </c>
      <c r="E27" s="28">
        <v>66</v>
      </c>
      <c r="F27" s="28">
        <v>76</v>
      </c>
      <c r="G27" s="28">
        <v>81</v>
      </c>
      <c r="H27" s="28">
        <v>83</v>
      </c>
      <c r="I27" s="28">
        <v>84</v>
      </c>
      <c r="J27" s="28">
        <v>86</v>
      </c>
      <c r="K27" s="28">
        <v>87</v>
      </c>
      <c r="L27" s="28">
        <v>87</v>
      </c>
      <c r="M27" s="28">
        <v>87</v>
      </c>
      <c r="N27" s="28">
        <v>87</v>
      </c>
      <c r="O27" s="30">
        <v>87</v>
      </c>
      <c r="P27" s="28">
        <v>45</v>
      </c>
      <c r="Q27" s="28">
        <v>47</v>
      </c>
      <c r="R27" s="28">
        <v>54</v>
      </c>
      <c r="S27" s="28">
        <v>58</v>
      </c>
      <c r="T27" s="28">
        <v>57</v>
      </c>
      <c r="U27" s="28">
        <v>52</v>
      </c>
      <c r="V27" s="28">
        <v>48</v>
      </c>
      <c r="W27" s="28">
        <v>42</v>
      </c>
      <c r="X27" s="28">
        <v>31</v>
      </c>
      <c r="Y27" s="28">
        <v>26</v>
      </c>
      <c r="Z27" s="28">
        <v>20</v>
      </c>
      <c r="AA27" s="28">
        <v>15</v>
      </c>
      <c r="AB27" s="30">
        <v>15</v>
      </c>
    </row>
    <row r="28" spans="2:28" x14ac:dyDescent="0.2">
      <c r="B28" s="32" t="s">
        <v>33</v>
      </c>
      <c r="C28" s="29">
        <v>46</v>
      </c>
      <c r="D28" s="28">
        <v>56</v>
      </c>
      <c r="E28" s="28">
        <v>72</v>
      </c>
      <c r="F28" s="28">
        <v>80</v>
      </c>
      <c r="G28" s="28">
        <v>85</v>
      </c>
      <c r="H28" s="28">
        <v>86</v>
      </c>
      <c r="I28" s="28">
        <v>92</v>
      </c>
      <c r="J28" s="28">
        <v>95</v>
      </c>
      <c r="K28" s="28">
        <v>96</v>
      </c>
      <c r="L28" s="28">
        <v>96</v>
      </c>
      <c r="M28" s="28">
        <v>97</v>
      </c>
      <c r="N28" s="28">
        <v>97</v>
      </c>
      <c r="O28" s="30">
        <v>97</v>
      </c>
      <c r="P28" s="28">
        <v>46</v>
      </c>
      <c r="Q28" s="28">
        <v>52</v>
      </c>
      <c r="R28" s="28">
        <v>57</v>
      </c>
      <c r="S28" s="28">
        <v>60</v>
      </c>
      <c r="T28" s="28">
        <v>57</v>
      </c>
      <c r="U28" s="28">
        <v>52</v>
      </c>
      <c r="V28" s="28">
        <v>54</v>
      </c>
      <c r="W28" s="28">
        <v>51</v>
      </c>
      <c r="X28" s="28">
        <v>44</v>
      </c>
      <c r="Y28" s="28">
        <v>41</v>
      </c>
      <c r="Z28" s="28">
        <v>37</v>
      </c>
      <c r="AA28" s="28">
        <v>28</v>
      </c>
      <c r="AB28" s="30">
        <v>28</v>
      </c>
    </row>
    <row r="29" spans="2:28" x14ac:dyDescent="0.2">
      <c r="B29" s="32" t="s">
        <v>34</v>
      </c>
      <c r="C29" s="29">
        <v>60</v>
      </c>
      <c r="D29" s="28">
        <v>75</v>
      </c>
      <c r="E29" s="28">
        <v>88</v>
      </c>
      <c r="F29" s="28">
        <v>102</v>
      </c>
      <c r="G29" s="28">
        <v>110</v>
      </c>
      <c r="H29" s="28">
        <v>116</v>
      </c>
      <c r="I29" s="28">
        <v>118</v>
      </c>
      <c r="J29" s="28">
        <v>119</v>
      </c>
      <c r="K29" s="28">
        <v>120</v>
      </c>
      <c r="L29" s="28">
        <v>120</v>
      </c>
      <c r="M29" s="28">
        <v>121</v>
      </c>
      <c r="N29" s="28">
        <v>123</v>
      </c>
      <c r="O29" s="30">
        <v>123</v>
      </c>
      <c r="P29" s="28">
        <v>60</v>
      </c>
      <c r="Q29" s="28">
        <v>69</v>
      </c>
      <c r="R29" s="28">
        <v>74</v>
      </c>
      <c r="S29" s="28">
        <v>81</v>
      </c>
      <c r="T29" s="28">
        <v>82</v>
      </c>
      <c r="U29" s="28">
        <v>82</v>
      </c>
      <c r="V29" s="28">
        <v>79</v>
      </c>
      <c r="W29" s="28">
        <v>70</v>
      </c>
      <c r="X29" s="28">
        <v>59</v>
      </c>
      <c r="Y29" s="28">
        <v>44</v>
      </c>
      <c r="Z29" s="28">
        <v>29</v>
      </c>
      <c r="AA29" s="28">
        <v>24</v>
      </c>
      <c r="AB29" s="30">
        <v>24</v>
      </c>
    </row>
    <row r="30" spans="2:28" x14ac:dyDescent="0.2">
      <c r="B30" s="32" t="s">
        <v>35</v>
      </c>
      <c r="C30" s="29">
        <v>55</v>
      </c>
      <c r="D30" s="28">
        <v>69</v>
      </c>
      <c r="E30" s="28">
        <v>81</v>
      </c>
      <c r="F30" s="28">
        <v>90</v>
      </c>
      <c r="G30" s="28">
        <v>93</v>
      </c>
      <c r="H30" s="28">
        <v>95</v>
      </c>
      <c r="I30" s="28">
        <v>96</v>
      </c>
      <c r="J30" s="28">
        <v>99</v>
      </c>
      <c r="K30" s="28">
        <v>99</v>
      </c>
      <c r="L30" s="28">
        <v>99</v>
      </c>
      <c r="M30" s="28">
        <v>100</v>
      </c>
      <c r="N30" s="28">
        <v>102</v>
      </c>
      <c r="O30" s="30">
        <v>102</v>
      </c>
      <c r="P30" s="28">
        <v>55</v>
      </c>
      <c r="Q30" s="28">
        <v>61</v>
      </c>
      <c r="R30" s="28">
        <v>65</v>
      </c>
      <c r="S30" s="28">
        <v>58</v>
      </c>
      <c r="T30" s="28">
        <v>52</v>
      </c>
      <c r="U30" s="28">
        <v>47</v>
      </c>
      <c r="V30" s="28">
        <v>41</v>
      </c>
      <c r="W30" s="28">
        <v>42</v>
      </c>
      <c r="X30" s="28">
        <v>25</v>
      </c>
      <c r="Y30" s="28">
        <v>19</v>
      </c>
      <c r="Z30" s="28">
        <v>13</v>
      </c>
      <c r="AA30" s="28">
        <v>14</v>
      </c>
      <c r="AB30" s="30">
        <v>14</v>
      </c>
    </row>
    <row r="31" spans="2:28" x14ac:dyDescent="0.2">
      <c r="B31" s="32" t="s">
        <v>36</v>
      </c>
      <c r="C31" s="29">
        <v>50</v>
      </c>
      <c r="D31" s="28">
        <v>60</v>
      </c>
      <c r="E31" s="28">
        <v>76</v>
      </c>
      <c r="F31" s="28">
        <v>84</v>
      </c>
      <c r="G31" s="28">
        <v>89</v>
      </c>
      <c r="H31" s="28">
        <v>90</v>
      </c>
      <c r="I31" s="28">
        <v>96</v>
      </c>
      <c r="J31" s="28">
        <v>99</v>
      </c>
      <c r="K31" s="28">
        <v>100</v>
      </c>
      <c r="L31" s="28">
        <v>100</v>
      </c>
      <c r="M31" s="28">
        <v>101</v>
      </c>
      <c r="N31" s="28">
        <v>101</v>
      </c>
      <c r="O31" s="30">
        <v>101</v>
      </c>
      <c r="P31" s="28">
        <v>50</v>
      </c>
      <c r="Q31" s="28">
        <v>56</v>
      </c>
      <c r="R31" s="28">
        <v>61</v>
      </c>
      <c r="S31" s="28">
        <v>64</v>
      </c>
      <c r="T31" s="28">
        <v>61</v>
      </c>
      <c r="U31" s="28">
        <v>56</v>
      </c>
      <c r="V31" s="28">
        <v>58</v>
      </c>
      <c r="W31" s="28">
        <v>55</v>
      </c>
      <c r="X31" s="28">
        <v>48</v>
      </c>
      <c r="Y31" s="28">
        <v>45</v>
      </c>
      <c r="Z31" s="28">
        <v>41</v>
      </c>
      <c r="AA31" s="28">
        <v>32</v>
      </c>
      <c r="AB31" s="30">
        <v>32</v>
      </c>
    </row>
    <row r="32" spans="2:28" x14ac:dyDescent="0.2">
      <c r="B32" s="32" t="s">
        <v>37</v>
      </c>
      <c r="C32" s="29">
        <v>63</v>
      </c>
      <c r="D32" s="28">
        <v>78</v>
      </c>
      <c r="E32" s="28">
        <v>91</v>
      </c>
      <c r="F32" s="28">
        <v>105</v>
      </c>
      <c r="G32" s="28">
        <v>113</v>
      </c>
      <c r="H32" s="28">
        <v>119</v>
      </c>
      <c r="I32" s="28">
        <v>121</v>
      </c>
      <c r="J32" s="28">
        <v>122</v>
      </c>
      <c r="K32" s="28">
        <v>123</v>
      </c>
      <c r="L32" s="28">
        <v>123</v>
      </c>
      <c r="M32" s="28">
        <v>124</v>
      </c>
      <c r="N32" s="28">
        <v>126</v>
      </c>
      <c r="O32" s="34">
        <v>126</v>
      </c>
      <c r="P32" s="28">
        <v>63</v>
      </c>
      <c r="Q32" s="28">
        <v>72</v>
      </c>
      <c r="R32" s="28">
        <v>77</v>
      </c>
      <c r="S32" s="28">
        <v>84</v>
      </c>
      <c r="T32" s="28">
        <v>85</v>
      </c>
      <c r="U32" s="28">
        <v>85</v>
      </c>
      <c r="V32" s="28">
        <v>82</v>
      </c>
      <c r="W32" s="28">
        <v>73</v>
      </c>
      <c r="X32" s="28">
        <v>62</v>
      </c>
      <c r="Y32" s="28">
        <v>47</v>
      </c>
      <c r="Z32" s="28">
        <v>32</v>
      </c>
      <c r="AA32" s="28">
        <v>27</v>
      </c>
      <c r="AB32" s="30">
        <v>27</v>
      </c>
    </row>
    <row r="33" spans="2:31" x14ac:dyDescent="0.2">
      <c r="B33" s="32" t="s">
        <v>48</v>
      </c>
      <c r="C33" s="31">
        <f>AVERAGE(C3:C32)</f>
        <v>40.9</v>
      </c>
      <c r="D33" s="31">
        <f t="shared" ref="D33:K33" si="0">AVERAGE(D3:D32)</f>
        <v>46.4</v>
      </c>
      <c r="E33" s="31">
        <f t="shared" si="0"/>
        <v>53.966666666666669</v>
      </c>
      <c r="F33" s="31">
        <f t="shared" si="0"/>
        <v>58.1</v>
      </c>
      <c r="G33" s="31">
        <f t="shared" si="0"/>
        <v>63.1</v>
      </c>
      <c r="H33" s="31">
        <f t="shared" si="0"/>
        <v>66.166666666666671</v>
      </c>
      <c r="I33" s="31">
        <f t="shared" si="0"/>
        <v>68.3</v>
      </c>
      <c r="J33" s="31">
        <f t="shared" si="0"/>
        <v>70.63333333333334</v>
      </c>
      <c r="K33" s="31">
        <f t="shared" si="0"/>
        <v>71.400000000000006</v>
      </c>
      <c r="L33" s="31">
        <f t="shared" ref="L33" si="1">AVERAGE(L3:L32)</f>
        <v>71.400000000000006</v>
      </c>
      <c r="M33" s="31">
        <f t="shared" ref="M33" si="2">AVERAGE(M3:M32)</f>
        <v>72.333333333333329</v>
      </c>
      <c r="N33" s="31">
        <f t="shared" ref="N33" si="3">AVERAGE(N3:N32)</f>
        <v>72.599999999999994</v>
      </c>
      <c r="O33" s="31">
        <f t="shared" ref="O33" si="4">AVERAGE(O3:O32)</f>
        <v>72.933333333333337</v>
      </c>
      <c r="P33" s="31">
        <f t="shared" ref="P33" si="5">AVERAGE(P3:P32)</f>
        <v>40.9</v>
      </c>
      <c r="Q33" s="31">
        <f t="shared" ref="Q33" si="6">AVERAGE(Q3:Q32)</f>
        <v>40.233333333333334</v>
      </c>
      <c r="R33" s="31">
        <f t="shared" ref="R33:S33" si="7">AVERAGE(R3:R32)</f>
        <v>40.733333333333334</v>
      </c>
      <c r="S33" s="31">
        <f t="shared" si="7"/>
        <v>40.466666666666669</v>
      </c>
      <c r="T33" s="31">
        <f t="shared" ref="T33" si="8">AVERAGE(T3:T32)</f>
        <v>38.133333333333333</v>
      </c>
      <c r="U33" s="31">
        <f t="shared" ref="U33" si="9">AVERAGE(U3:U32)</f>
        <v>35.766666666666666</v>
      </c>
      <c r="V33" s="31">
        <f t="shared" ref="V33" si="10">AVERAGE(V3:V32)</f>
        <v>32.56666666666667</v>
      </c>
      <c r="W33" s="31">
        <f t="shared" ref="W33" si="11">AVERAGE(W3:W32)</f>
        <v>27.166666666666668</v>
      </c>
      <c r="X33" s="31">
        <f t="shared" ref="X33" si="12">AVERAGE(X3:X32)</f>
        <v>18.899999999999999</v>
      </c>
      <c r="Y33" s="31">
        <f t="shared" ref="Y33" si="13">AVERAGE(Y3:Y32)</f>
        <v>13.933333333333334</v>
      </c>
      <c r="Z33" s="31">
        <f t="shared" ref="Z33:AA33" si="14">AVERAGE(Z3:Z32)</f>
        <v>10.033333333333333</v>
      </c>
      <c r="AA33" s="31">
        <f t="shared" si="14"/>
        <v>7.333333333333333</v>
      </c>
      <c r="AB33" s="31">
        <f t="shared" ref="AB33" si="15">AVERAGE(AB3:AB32)</f>
        <v>7.4666666666666668</v>
      </c>
    </row>
    <row r="37" spans="2:31" ht="70.5" customHeight="1" x14ac:dyDescent="0.2">
      <c r="B37" s="35" t="s">
        <v>44</v>
      </c>
      <c r="C37" s="35" t="s">
        <v>49</v>
      </c>
      <c r="D37" s="35" t="s">
        <v>50</v>
      </c>
    </row>
    <row r="38" spans="2:31" x14ac:dyDescent="0.2">
      <c r="B38" s="27">
        <v>0</v>
      </c>
      <c r="C38" s="27">
        <v>40.9</v>
      </c>
      <c r="D38" s="27">
        <v>40.9</v>
      </c>
    </row>
    <row r="39" spans="2:31" x14ac:dyDescent="0.2">
      <c r="B39" s="27">
        <v>1</v>
      </c>
      <c r="C39" s="27">
        <v>46.4</v>
      </c>
      <c r="D39" s="27">
        <v>40.233333333333334</v>
      </c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</row>
    <row r="40" spans="2:31" x14ac:dyDescent="0.2">
      <c r="B40" s="27">
        <v>2</v>
      </c>
      <c r="C40" s="27">
        <v>53.966666666666669</v>
      </c>
      <c r="D40" s="27">
        <v>40.733333333333334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</row>
    <row r="41" spans="2:31" x14ac:dyDescent="0.2">
      <c r="B41" s="27">
        <v>3</v>
      </c>
      <c r="C41" s="27">
        <v>58.1</v>
      </c>
      <c r="D41" s="27">
        <v>40.466666666666669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</row>
    <row r="42" spans="2:31" x14ac:dyDescent="0.2">
      <c r="B42" s="27">
        <v>4</v>
      </c>
      <c r="C42" s="27">
        <v>63.1</v>
      </c>
      <c r="D42" s="27">
        <v>38.133333333333333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</row>
    <row r="43" spans="2:31" x14ac:dyDescent="0.2">
      <c r="B43" s="27">
        <v>5</v>
      </c>
      <c r="C43" s="27">
        <v>66.166666666666671</v>
      </c>
      <c r="D43" s="27">
        <v>35.766666666666666</v>
      </c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</row>
    <row r="44" spans="2:31" x14ac:dyDescent="0.2">
      <c r="B44" s="27">
        <v>6</v>
      </c>
      <c r="C44" s="27">
        <v>68.3</v>
      </c>
      <c r="D44" s="27">
        <v>32.56666666666667</v>
      </c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</row>
    <row r="45" spans="2:31" x14ac:dyDescent="0.2">
      <c r="B45" s="27">
        <v>7</v>
      </c>
      <c r="C45" s="27">
        <v>70.63333333333334</v>
      </c>
      <c r="D45" s="27">
        <v>27.166666666666668</v>
      </c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</row>
    <row r="46" spans="2:31" x14ac:dyDescent="0.2">
      <c r="B46" s="27">
        <v>8</v>
      </c>
      <c r="C46" s="27">
        <v>71.400000000000006</v>
      </c>
      <c r="D46" s="27">
        <v>18.899999999999999</v>
      </c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</row>
    <row r="47" spans="2:31" x14ac:dyDescent="0.2">
      <c r="B47" s="27">
        <v>9</v>
      </c>
      <c r="C47" s="27">
        <v>71.400000000000006</v>
      </c>
      <c r="D47" s="27">
        <v>13.933333333333334</v>
      </c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</row>
    <row r="48" spans="2:31" x14ac:dyDescent="0.2">
      <c r="B48" s="27">
        <v>10</v>
      </c>
      <c r="C48" s="27">
        <v>72.333333333333329</v>
      </c>
      <c r="D48" s="27">
        <v>10.033333333333333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</row>
    <row r="49" spans="2:31" x14ac:dyDescent="0.2">
      <c r="B49" s="27">
        <v>11</v>
      </c>
      <c r="C49" s="27">
        <v>72.599999999999994</v>
      </c>
      <c r="D49" s="27">
        <v>7.333333333333333</v>
      </c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</row>
    <row r="50" spans="2:31" x14ac:dyDescent="0.2">
      <c r="B50" s="27">
        <v>12</v>
      </c>
      <c r="C50" s="27">
        <v>72.933333333333337</v>
      </c>
      <c r="D50" s="27">
        <v>7.4666666666666668</v>
      </c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</row>
    <row r="51" spans="2:31" x14ac:dyDescent="0.2"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</row>
    <row r="52" spans="2:31" x14ac:dyDescent="0.2"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</row>
    <row r="53" spans="2:31" x14ac:dyDescent="0.2"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</row>
    <row r="54" spans="2:31" x14ac:dyDescent="0.2"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</row>
    <row r="55" spans="2:31" x14ac:dyDescent="0.2"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</row>
    <row r="56" spans="2:31" x14ac:dyDescent="0.2"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</row>
    <row r="57" spans="2:31" x14ac:dyDescent="0.2"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</row>
    <row r="58" spans="2:31" x14ac:dyDescent="0.2"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2:31" x14ac:dyDescent="0.2"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</row>
    <row r="60" spans="2:31" x14ac:dyDescent="0.2"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</row>
    <row r="61" spans="2:31" x14ac:dyDescent="0.2"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</row>
    <row r="62" spans="2:31" x14ac:dyDescent="0.2"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</row>
    <row r="63" spans="2:31" x14ac:dyDescent="0.2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</row>
    <row r="64" spans="2:31" x14ac:dyDescent="0.2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</row>
  </sheetData>
  <mergeCells count="2">
    <mergeCell ref="P1:AB1"/>
    <mergeCell ref="B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2B6D-6559-4AEB-8C17-6B4F9730BD47}">
  <dimension ref="A2:AC51"/>
  <sheetViews>
    <sheetView zoomScale="40" zoomScaleNormal="40" workbookViewId="0">
      <selection activeCell="Q41" sqref="Q41"/>
    </sheetView>
  </sheetViews>
  <sheetFormatPr defaultRowHeight="12.75" x14ac:dyDescent="0.2"/>
  <cols>
    <col min="4" max="4" width="8.5703125" customWidth="1"/>
  </cols>
  <sheetData>
    <row r="2" spans="2:29" x14ac:dyDescent="0.2">
      <c r="B2" s="108" t="s">
        <v>51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 t="s">
        <v>52</v>
      </c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</row>
    <row r="3" spans="2:29" s="39" customFormat="1" ht="25.5" x14ac:dyDescent="0.2">
      <c r="B3" s="36" t="s">
        <v>53</v>
      </c>
      <c r="C3" s="36" t="s">
        <v>3</v>
      </c>
      <c r="D3" s="41">
        <v>0</v>
      </c>
      <c r="E3" s="41">
        <v>1</v>
      </c>
      <c r="F3" s="41">
        <v>2</v>
      </c>
      <c r="G3" s="41">
        <v>3</v>
      </c>
      <c r="H3" s="41">
        <v>4</v>
      </c>
      <c r="I3" s="41">
        <v>5</v>
      </c>
      <c r="J3" s="41">
        <v>6</v>
      </c>
      <c r="K3" s="41">
        <v>7</v>
      </c>
      <c r="L3" s="41">
        <v>8</v>
      </c>
      <c r="M3" s="41">
        <v>9</v>
      </c>
      <c r="N3" s="41">
        <v>10</v>
      </c>
      <c r="O3" s="41">
        <v>11</v>
      </c>
      <c r="P3" s="41">
        <v>12</v>
      </c>
      <c r="Q3" s="41">
        <v>0</v>
      </c>
      <c r="R3" s="41">
        <v>1</v>
      </c>
      <c r="S3" s="41">
        <v>2</v>
      </c>
      <c r="T3" s="41">
        <v>3</v>
      </c>
      <c r="U3" s="41">
        <v>4</v>
      </c>
      <c r="V3" s="41">
        <v>5</v>
      </c>
      <c r="W3" s="41">
        <v>6</v>
      </c>
      <c r="X3" s="41">
        <v>7</v>
      </c>
      <c r="Y3" s="41">
        <v>8</v>
      </c>
      <c r="Z3" s="41">
        <v>9</v>
      </c>
      <c r="AA3" s="41">
        <v>10</v>
      </c>
      <c r="AB3" s="41">
        <v>11</v>
      </c>
      <c r="AC3" s="41">
        <v>12</v>
      </c>
    </row>
    <row r="4" spans="2:29" x14ac:dyDescent="0.2">
      <c r="B4" s="32" t="s">
        <v>5</v>
      </c>
      <c r="C4" s="40">
        <v>2400</v>
      </c>
      <c r="D4" s="42">
        <f>'Post-release Quality Average'!C3/'PRQ Avg Normalised by size'!C4*1000</f>
        <v>18.75</v>
      </c>
      <c r="E4" s="43">
        <f>'Post-release Quality Average'!D3/'PRQ Avg Normalised by size'!C4*1000</f>
        <v>20</v>
      </c>
      <c r="F4" s="43">
        <f>'Post-release Quality Average'!E3/'PRQ Avg Normalised by size'!C4*1000</f>
        <v>22.083333333333332</v>
      </c>
      <c r="G4" s="43">
        <f>'Post-release Quality Average'!F3/'PRQ Avg Normalised by size'!C4*1000</f>
        <v>23.333333333333336</v>
      </c>
      <c r="H4" s="43">
        <f>'Post-release Quality Average'!G3/'PRQ Avg Normalised by size'!C4*1000</f>
        <v>24.166666666666668</v>
      </c>
      <c r="I4" s="43">
        <f>'Post-release Quality Average'!H3/'PRQ Avg Normalised by size'!C4*1000</f>
        <v>26.666666666666668</v>
      </c>
      <c r="J4" s="43">
        <f>'Post-release Quality Average'!I3/'PRQ Avg Normalised by size'!C4*1000</f>
        <v>27.916666666666664</v>
      </c>
      <c r="K4" s="43">
        <f>'Post-release Quality Average'!J3/'PRQ Avg Normalised by size'!C4*1000</f>
        <v>28.75</v>
      </c>
      <c r="L4" s="43">
        <f>'Post-release Quality Average'!K3/'PRQ Avg Normalised by size'!C4*1000</f>
        <v>29.166666666666668</v>
      </c>
      <c r="M4" s="43">
        <f>'Post-release Quality Average'!L3/'PRQ Avg Normalised by size'!C4*1000</f>
        <v>29.166666666666668</v>
      </c>
      <c r="N4" s="43">
        <f>'Post-release Quality Average'!M3/'PRQ Avg Normalised by size'!C4*1000</f>
        <v>29.583333333333332</v>
      </c>
      <c r="O4" s="43">
        <f>'Post-release Quality Average'!N3/'PRQ Avg Normalised by size'!C4*1000</f>
        <v>29.583333333333332</v>
      </c>
      <c r="P4" s="43">
        <f>'Post-release Quality Average'!O3/'PRQ Avg Normalised by size'!C4*1000</f>
        <v>30</v>
      </c>
      <c r="Q4" s="42">
        <f>'Post-release Quality Average'!P3/'PRQ Avg Normalised by size'!C4*1000</f>
        <v>18.75</v>
      </c>
      <c r="R4" s="43">
        <f>'Post-release Quality Average'!Q3/'PRQ Avg Normalised by size'!C4*1000</f>
        <v>17.916666666666668</v>
      </c>
      <c r="S4" s="43">
        <f>'Post-release Quality Average'!R3/'PRQ Avg Normalised by size'!C4*1000</f>
        <v>17.083333333333332</v>
      </c>
      <c r="T4" s="43">
        <f>'Post-release Quality Average'!S3/'PRQ Avg Normalised by size'!C4*1000</f>
        <v>15.833333333333334</v>
      </c>
      <c r="U4" s="43">
        <f>'Post-release Quality Average'!T3/'PRQ Avg Normalised by size'!C4*1000</f>
        <v>14.166666666666666</v>
      </c>
      <c r="V4" s="43">
        <f>'Post-release Quality Average'!U3/'PRQ Avg Normalised by size'!C4*1000</f>
        <v>15.416666666666668</v>
      </c>
      <c r="W4" s="43">
        <f>'Post-release Quality Average'!V3/'PRQ Avg Normalised by size'!C4*1000</f>
        <v>14.583333333333334</v>
      </c>
      <c r="X4" s="43">
        <f>'Post-release Quality Average'!W3/'PRQ Avg Normalised by size'!C4*1000</f>
        <v>12.083333333333334</v>
      </c>
      <c r="Y4" s="43">
        <f>'Post-release Quality Average'!X3/'PRQ Avg Normalised by size'!C4*1000</f>
        <v>7.5</v>
      </c>
      <c r="Z4" s="43">
        <f>'Post-release Quality Average'!Y3/'PRQ Avg Normalised by size'!C4*1000</f>
        <v>5.416666666666667</v>
      </c>
      <c r="AA4" s="43">
        <f>'Post-release Quality Average'!Z3/'PRQ Avg Normalised by size'!C4*1000</f>
        <v>3.3333333333333335</v>
      </c>
      <c r="AB4" s="43">
        <f>'Post-release Quality Average'!AA3/'PRQ Avg Normalised by size'!C4*1000</f>
        <v>1.6666666666666667</v>
      </c>
      <c r="AC4" s="33">
        <f>'Post-release Quality Average'!AB3/'PRQ Avg Normalised by size'!C4*1000</f>
        <v>2.0833333333333335</v>
      </c>
    </row>
    <row r="5" spans="2:29" x14ac:dyDescent="0.2">
      <c r="B5" s="32" t="s">
        <v>8</v>
      </c>
      <c r="C5" s="40">
        <v>3780</v>
      </c>
      <c r="D5" s="29">
        <f>'Post-release Quality Average'!C4/'PRQ Avg Normalised by size'!C5*1000</f>
        <v>10.052910052910054</v>
      </c>
      <c r="E5" s="28">
        <f>'Post-release Quality Average'!D4/'PRQ Avg Normalised by size'!C5*1000</f>
        <v>11.640211640211639</v>
      </c>
      <c r="F5" s="28">
        <f>'Post-release Quality Average'!E4/'PRQ Avg Normalised by size'!C5*1000</f>
        <v>13.756613756613756</v>
      </c>
      <c r="G5" s="28">
        <f>'Post-release Quality Average'!F4/'PRQ Avg Normalised by size'!C5*1000</f>
        <v>14.285714285714285</v>
      </c>
      <c r="H5" s="28">
        <f>'Post-release Quality Average'!G4/'PRQ Avg Normalised by size'!C5*1000</f>
        <v>15.079365079365079</v>
      </c>
      <c r="I5" s="28">
        <f>'Post-release Quality Average'!H4/'PRQ Avg Normalised by size'!C5*1000</f>
        <v>16.137566137566139</v>
      </c>
      <c r="J5" s="28">
        <f>'Post-release Quality Average'!I4/'PRQ Avg Normalised by size'!C5*1000</f>
        <v>16.402116402116402</v>
      </c>
      <c r="K5" s="28">
        <f>'Post-release Quality Average'!J4/'PRQ Avg Normalised by size'!C5*1000</f>
        <v>17.724867724867725</v>
      </c>
      <c r="L5" s="28">
        <f>'Post-release Quality Average'!K4/'PRQ Avg Normalised by size'!C5*1000</f>
        <v>17.724867724867725</v>
      </c>
      <c r="M5" s="28">
        <f>'Post-release Quality Average'!L4/'PRQ Avg Normalised by size'!C5*1000</f>
        <v>17.724867724867725</v>
      </c>
      <c r="N5" s="28">
        <f>'Post-release Quality Average'!M4/'PRQ Avg Normalised by size'!C5*1000</f>
        <v>17.989417989417991</v>
      </c>
      <c r="O5" s="28">
        <f>'Post-release Quality Average'!N4/'PRQ Avg Normalised by size'!C5*1000</f>
        <v>17.989417989417991</v>
      </c>
      <c r="P5" s="28">
        <f>'Post-release Quality Average'!O4/'PRQ Avg Normalised by size'!C5*1000</f>
        <v>18.253968253968257</v>
      </c>
      <c r="Q5" s="29">
        <f>'Post-release Quality Average'!P4/'PRQ Avg Normalised by size'!C5*1000</f>
        <v>10.052910052910054</v>
      </c>
      <c r="R5" s="28">
        <f>'Post-release Quality Average'!Q4/'PRQ Avg Normalised by size'!C5*1000</f>
        <v>10.582010582010582</v>
      </c>
      <c r="S5" s="28">
        <f>'Post-release Quality Average'!R4/'PRQ Avg Normalised by size'!C5*1000</f>
        <v>10.582010582010582</v>
      </c>
      <c r="T5" s="28">
        <f>'Post-release Quality Average'!S4/'PRQ Avg Normalised by size'!C5*1000</f>
        <v>10.317460317460318</v>
      </c>
      <c r="U5" s="28">
        <f>'Post-release Quality Average'!T4/'PRQ Avg Normalised by size'!C5*1000</f>
        <v>9.7883597883597897</v>
      </c>
      <c r="V5" s="28">
        <f>'Post-release Quality Average'!U4/'PRQ Avg Normalised by size'!C5*1000</f>
        <v>9.5238095238095255</v>
      </c>
      <c r="W5" s="28">
        <f>'Post-release Quality Average'!V4/'PRQ Avg Normalised by size'!C5*1000</f>
        <v>7.9365079365079358</v>
      </c>
      <c r="X5" s="28">
        <f>'Post-release Quality Average'!W4/'PRQ Avg Normalised by size'!C5*1000</f>
        <v>7.1428571428571423</v>
      </c>
      <c r="Y5" s="28">
        <f>'Post-release Quality Average'!X4/'PRQ Avg Normalised by size'!C5*1000</f>
        <v>4.4973544973544977</v>
      </c>
      <c r="Z5" s="28">
        <f>'Post-release Quality Average'!Y4/'PRQ Avg Normalised by size'!C5*1000</f>
        <v>2.9100529100529098</v>
      </c>
      <c r="AA5" s="28">
        <f>'Post-release Quality Average'!Z4/'PRQ Avg Normalised by size'!C5*1000</f>
        <v>1.3227513227513228</v>
      </c>
      <c r="AB5" s="28">
        <f>'Post-release Quality Average'!AA4/'PRQ Avg Normalised by size'!C5*1000</f>
        <v>0.52910052910052918</v>
      </c>
      <c r="AC5" s="30">
        <f>'Post-release Quality Average'!AB4/'PRQ Avg Normalised by size'!C5*1000</f>
        <v>0.52910052910052918</v>
      </c>
    </row>
    <row r="6" spans="2:29" x14ac:dyDescent="0.2">
      <c r="B6" s="32" t="s">
        <v>7</v>
      </c>
      <c r="C6" s="40">
        <v>4593</v>
      </c>
      <c r="D6" s="29">
        <f>'Post-release Quality Average'!C5/'PRQ Avg Normalised by size'!C6*1000</f>
        <v>8.9266274765948186</v>
      </c>
      <c r="E6" s="28">
        <f>'Post-release Quality Average'!D5/'PRQ Avg Normalised by size'!C6*1000</f>
        <v>10.015240583496626</v>
      </c>
      <c r="F6" s="28">
        <f>'Post-release Quality Average'!E5/'PRQ Avg Normalised by size'!C6*1000</f>
        <v>10.668408447637709</v>
      </c>
      <c r="G6" s="28">
        <f>'Post-release Quality Average'!F5/'PRQ Avg Normalised by size'!C6*1000</f>
        <v>11.539298933159156</v>
      </c>
      <c r="H6" s="28">
        <f>'Post-release Quality Average'!G5/'PRQ Avg Normalised by size'!C6*1000</f>
        <v>12.192466797300238</v>
      </c>
      <c r="I6" s="28">
        <f>'Post-release Quality Average'!H5/'PRQ Avg Normalised by size'!C6*1000</f>
        <v>12.627912040060963</v>
      </c>
      <c r="J6" s="28">
        <f>'Post-release Quality Average'!I5/'PRQ Avg Normalised by size'!C6*1000</f>
        <v>13.063357282821686</v>
      </c>
      <c r="K6" s="28">
        <f>'Post-release Quality Average'!J5/'PRQ Avg Normalised by size'!C6*1000</f>
        <v>13.281079904202047</v>
      </c>
      <c r="L6" s="28">
        <f>'Post-release Quality Average'!K5/'PRQ Avg Normalised by size'!C6*1000</f>
        <v>13.498802525582407</v>
      </c>
      <c r="M6" s="28">
        <f>'Post-release Quality Average'!L5/'PRQ Avg Normalised by size'!C6*1000</f>
        <v>13.498802525582407</v>
      </c>
      <c r="N6" s="28">
        <f>'Post-release Quality Average'!M5/'PRQ Avg Normalised by size'!C6*1000</f>
        <v>13.716525146962768</v>
      </c>
      <c r="O6" s="28">
        <f>'Post-release Quality Average'!N5/'PRQ Avg Normalised by size'!C6*1000</f>
        <v>13.716525146962768</v>
      </c>
      <c r="P6" s="28">
        <f>'Post-release Quality Average'!O5/'PRQ Avg Normalised by size'!C6*1000</f>
        <v>13.716525146962768</v>
      </c>
      <c r="Q6" s="29">
        <f>'Post-release Quality Average'!P5/'PRQ Avg Normalised by size'!C6*1000</f>
        <v>8.9266274765948186</v>
      </c>
      <c r="R6" s="28">
        <f>'Post-release Quality Average'!Q5/'PRQ Avg Normalised by size'!C6*1000</f>
        <v>8.7089048552144561</v>
      </c>
      <c r="S6" s="28">
        <f>'Post-release Quality Average'!R5/'PRQ Avg Normalised by size'!C6*1000</f>
        <v>7.62029174831265</v>
      </c>
      <c r="T6" s="28">
        <f>'Post-release Quality Average'!S5/'PRQ Avg Normalised by size'!C6*1000</f>
        <v>6.9671238841715653</v>
      </c>
      <c r="U6" s="28">
        <f>'Post-release Quality Average'!T5/'PRQ Avg Normalised by size'!C6*1000</f>
        <v>6.7494012627912037</v>
      </c>
      <c r="V6" s="28">
        <f>'Post-release Quality Average'!U5/'PRQ Avg Normalised by size'!C6*1000</f>
        <v>6.0962333986501189</v>
      </c>
      <c r="W6" s="28">
        <f>'Post-release Quality Average'!V5/'PRQ Avg Normalised by size'!C6*1000</f>
        <v>5.8785107772697582</v>
      </c>
      <c r="X6" s="28">
        <f>'Post-release Quality Average'!W5/'PRQ Avg Normalised by size'!C6*1000</f>
        <v>3.9190071848465058</v>
      </c>
      <c r="Y6" s="28">
        <f>'Post-release Quality Average'!X5/'PRQ Avg Normalised by size'!C6*1000</f>
        <v>1.5240583496625297</v>
      </c>
      <c r="Z6" s="28">
        <f>'Post-release Quality Average'!Y5/'PRQ Avg Normalised by size'!C6*1000</f>
        <v>0.43544524276072283</v>
      </c>
      <c r="AA6" s="28">
        <f>'Post-release Quality Average'!Z5/'PRQ Avg Normalised by size'!C6*1000</f>
        <v>0.21772262138036141</v>
      </c>
      <c r="AB6" s="28">
        <f>'Post-release Quality Average'!AA5/'PRQ Avg Normalised by size'!C6*1000</f>
        <v>0.21772262138036141</v>
      </c>
      <c r="AC6" s="30">
        <f>'Post-release Quality Average'!AB5/'PRQ Avg Normalised by size'!C6*1000</f>
        <v>0.21772262138036141</v>
      </c>
    </row>
    <row r="7" spans="2:29" x14ac:dyDescent="0.2">
      <c r="B7" s="32" t="s">
        <v>9</v>
      </c>
      <c r="C7" s="40">
        <v>3690</v>
      </c>
      <c r="D7" s="29">
        <f>'Post-release Quality Average'!C6/'PRQ Avg Normalised by size'!C7*1000</f>
        <v>8.9430894308943092</v>
      </c>
      <c r="E7" s="28">
        <f>'Post-release Quality Average'!D6/'PRQ Avg Normalised by size'!C7*1000</f>
        <v>10.027100271002711</v>
      </c>
      <c r="F7" s="28">
        <f>'Post-release Quality Average'!E6/'PRQ Avg Normalised by size'!C7*1000</f>
        <v>10.56910569105691</v>
      </c>
      <c r="G7" s="28">
        <f>'Post-release Quality Average'!F6/'PRQ Avg Normalised by size'!C7*1000</f>
        <v>11.924119241192411</v>
      </c>
      <c r="H7" s="28">
        <f>'Post-release Quality Average'!G6/'PRQ Avg Normalised by size'!C7*1000</f>
        <v>12.466124661246614</v>
      </c>
      <c r="I7" s="28">
        <f>'Post-release Quality Average'!H6/'PRQ Avg Normalised by size'!C7*1000</f>
        <v>13.008130081300813</v>
      </c>
      <c r="J7" s="28">
        <f>'Post-release Quality Average'!I6/'PRQ Avg Normalised by size'!C7*1000</f>
        <v>13.279132791327914</v>
      </c>
      <c r="K7" s="28">
        <f>'Post-release Quality Average'!J6/'PRQ Avg Normalised by size'!C7*1000</f>
        <v>14.092140921409214</v>
      </c>
      <c r="L7" s="28">
        <f>'Post-release Quality Average'!K6/'PRQ Avg Normalised by size'!C7*1000</f>
        <v>14.092140921409214</v>
      </c>
      <c r="M7" s="28">
        <f>'Post-release Quality Average'!L6/'PRQ Avg Normalised by size'!C7*1000</f>
        <v>14.092140921409214</v>
      </c>
      <c r="N7" s="28">
        <f>'Post-release Quality Average'!M6/'PRQ Avg Normalised by size'!C7*1000</f>
        <v>14.363143631436316</v>
      </c>
      <c r="O7" s="28">
        <f>'Post-release Quality Average'!N6/'PRQ Avg Normalised by size'!C7*1000</f>
        <v>14.363143631436316</v>
      </c>
      <c r="P7" s="28">
        <f>'Post-release Quality Average'!O6/'PRQ Avg Normalised by size'!C7*1000</f>
        <v>14.363143631436316</v>
      </c>
      <c r="Q7" s="29">
        <f>'Post-release Quality Average'!P6/'PRQ Avg Normalised by size'!C7*1000</f>
        <v>8.9430894308943092</v>
      </c>
      <c r="R7" s="28">
        <f>'Post-release Quality Average'!Q6/'PRQ Avg Normalised by size'!C7*1000</f>
        <v>7.8590785907859084</v>
      </c>
      <c r="S7" s="28">
        <f>'Post-release Quality Average'!R6/'PRQ Avg Normalised by size'!C7*1000</f>
        <v>7.3170731707317076</v>
      </c>
      <c r="T7" s="28">
        <f>'Post-release Quality Average'!S6/'PRQ Avg Normalised by size'!C7*1000</f>
        <v>7.588075880758808</v>
      </c>
      <c r="U7" s="28">
        <f>'Post-release Quality Average'!T6/'PRQ Avg Normalised by size'!C7*1000</f>
        <v>6.7750677506775068</v>
      </c>
      <c r="V7" s="28">
        <f>'Post-release Quality Average'!U6/'PRQ Avg Normalised by size'!C7*1000</f>
        <v>6.5040650406504064</v>
      </c>
      <c r="W7" s="28">
        <f>'Post-release Quality Average'!V6/'PRQ Avg Normalised by size'!C7*1000</f>
        <v>4.8780487804878048</v>
      </c>
      <c r="X7" s="28">
        <f>'Post-release Quality Average'!W6/'PRQ Avg Normalised by size'!C7*1000</f>
        <v>3.5230352303523036</v>
      </c>
      <c r="Y7" s="28">
        <f>'Post-release Quality Average'!X6/'PRQ Avg Normalised by size'!C7*1000</f>
        <v>1.6260162601626016</v>
      </c>
      <c r="Z7" s="28">
        <f>'Post-release Quality Average'!Y6/'PRQ Avg Normalised by size'!C7*1000</f>
        <v>0.54200542005420049</v>
      </c>
      <c r="AA7" s="28">
        <f>'Post-release Quality Average'!Z6/'PRQ Avg Normalised by size'!C7*1000</f>
        <v>0.27100271002710025</v>
      </c>
      <c r="AB7" s="28">
        <f>'Post-release Quality Average'!AA6/'PRQ Avg Normalised by size'!C7*1000</f>
        <v>0</v>
      </c>
      <c r="AC7" s="30">
        <f>'Post-release Quality Average'!AB6/'PRQ Avg Normalised by size'!C7*1000</f>
        <v>0</v>
      </c>
    </row>
    <row r="8" spans="2:29" x14ac:dyDescent="0.2">
      <c r="B8" s="32" t="s">
        <v>10</v>
      </c>
      <c r="C8" s="40">
        <v>4400</v>
      </c>
      <c r="D8" s="29">
        <f>'Post-release Quality Average'!C7/'PRQ Avg Normalised by size'!C8*1000</f>
        <v>12.5</v>
      </c>
      <c r="E8" s="28">
        <f>'Post-release Quality Average'!D7/'PRQ Avg Normalised by size'!C8*1000</f>
        <v>13.181818181818182</v>
      </c>
      <c r="F8" s="28">
        <f>'Post-release Quality Average'!E7/'PRQ Avg Normalised by size'!C8*1000</f>
        <v>14.318181818181818</v>
      </c>
      <c r="G8" s="28">
        <f>'Post-release Quality Average'!F7/'PRQ Avg Normalised by size'!C8*1000</f>
        <v>15</v>
      </c>
      <c r="H8" s="28">
        <f>'Post-release Quality Average'!G7/'PRQ Avg Normalised by size'!C8*1000</f>
        <v>15.454545454545455</v>
      </c>
      <c r="I8" s="28">
        <f>'Post-release Quality Average'!H7/'PRQ Avg Normalised by size'!C8*1000</f>
        <v>16.81818181818182</v>
      </c>
      <c r="J8" s="28">
        <f>'Post-release Quality Average'!I7/'PRQ Avg Normalised by size'!C8*1000</f>
        <v>17.5</v>
      </c>
      <c r="K8" s="28">
        <f>'Post-release Quality Average'!J7/'PRQ Avg Normalised by size'!C8*1000</f>
        <v>17.954545454545457</v>
      </c>
      <c r="L8" s="28">
        <f>'Post-release Quality Average'!K7/'PRQ Avg Normalised by size'!C8*1000</f>
        <v>18.18181818181818</v>
      </c>
      <c r="M8" s="28">
        <f>'Post-release Quality Average'!L7/'PRQ Avg Normalised by size'!C8*1000</f>
        <v>18.18181818181818</v>
      </c>
      <c r="N8" s="28">
        <f>'Post-release Quality Average'!M7/'PRQ Avg Normalised by size'!C8*1000</f>
        <v>18.40909090909091</v>
      </c>
      <c r="O8" s="28">
        <f>'Post-release Quality Average'!N7/'PRQ Avg Normalised by size'!C8*1000</f>
        <v>18.40909090909091</v>
      </c>
      <c r="P8" s="28">
        <f>'Post-release Quality Average'!O7/'PRQ Avg Normalised by size'!C8*1000</f>
        <v>18.636363636363637</v>
      </c>
      <c r="Q8" s="29">
        <f>'Post-release Quality Average'!P7/'PRQ Avg Normalised by size'!C8*1000</f>
        <v>12.5</v>
      </c>
      <c r="R8" s="28">
        <f>'Post-release Quality Average'!Q7/'PRQ Avg Normalised by size'!C8*1000</f>
        <v>11.363636363636363</v>
      </c>
      <c r="S8" s="28">
        <f>'Post-release Quality Average'!R7/'PRQ Avg Normalised by size'!C8*1000</f>
        <v>10.90909090909091</v>
      </c>
      <c r="T8" s="28">
        <f>'Post-release Quality Average'!S7/'PRQ Avg Normalised by size'!C8*1000</f>
        <v>9.5454545454545467</v>
      </c>
      <c r="U8" s="28">
        <f>'Post-release Quality Average'!T7/'PRQ Avg Normalised by size'!C8*1000</f>
        <v>8.6363636363636367</v>
      </c>
      <c r="V8" s="28">
        <f>'Post-release Quality Average'!U7/'PRQ Avg Normalised by size'!C8*1000</f>
        <v>8.8636363636363633</v>
      </c>
      <c r="W8" s="28">
        <f>'Post-release Quality Average'!V7/'PRQ Avg Normalised by size'!C8*1000</f>
        <v>8.4090909090909101</v>
      </c>
      <c r="X8" s="28">
        <f>'Post-release Quality Average'!W7/'PRQ Avg Normalised by size'!C8*1000</f>
        <v>7.0454545454545459</v>
      </c>
      <c r="Y8" s="28">
        <f>'Post-release Quality Average'!X7/'PRQ Avg Normalised by size'!C8*1000</f>
        <v>4.545454545454545</v>
      </c>
      <c r="Z8" s="28">
        <f>'Post-release Quality Average'!Y7/'PRQ Avg Normalised by size'!C8*1000</f>
        <v>3.4090909090909087</v>
      </c>
      <c r="AA8" s="28">
        <f>'Post-release Quality Average'!Z7/'PRQ Avg Normalised by size'!C8*1000</f>
        <v>2.2727272727272725</v>
      </c>
      <c r="AB8" s="28">
        <f>'Post-release Quality Average'!AA7/'PRQ Avg Normalised by size'!C8*1000</f>
        <v>1.3636363636363638</v>
      </c>
      <c r="AC8" s="30">
        <f>'Post-release Quality Average'!AB7/'PRQ Avg Normalised by size'!C8*1000</f>
        <v>1.3636363636363638</v>
      </c>
    </row>
    <row r="9" spans="2:29" x14ac:dyDescent="0.2">
      <c r="B9" s="32" t="s">
        <v>11</v>
      </c>
      <c r="C9" s="40">
        <v>4450</v>
      </c>
      <c r="D9" s="29">
        <f>'Post-release Quality Average'!C8/'PRQ Avg Normalised by size'!C9*1000</f>
        <v>12.584269662921349</v>
      </c>
      <c r="E9" s="28">
        <f>'Post-release Quality Average'!D8/'PRQ Avg Normalised by size'!C9*1000</f>
        <v>13.932584269662922</v>
      </c>
      <c r="F9" s="28">
        <f>'Post-release Quality Average'!E8/'PRQ Avg Normalised by size'!C9*1000</f>
        <v>15.730337078651687</v>
      </c>
      <c r="G9" s="28">
        <f>'Post-release Quality Average'!F8/'PRQ Avg Normalised by size'!C9*1000</f>
        <v>16.179775280898877</v>
      </c>
      <c r="H9" s="28">
        <f>'Post-release Quality Average'!G8/'PRQ Avg Normalised by size'!C9*1000</f>
        <v>16.853932584269664</v>
      </c>
      <c r="I9" s="28">
        <f>'Post-release Quality Average'!H8/'PRQ Avg Normalised by size'!C9*1000</f>
        <v>17.752808988764045</v>
      </c>
      <c r="J9" s="28">
        <f>'Post-release Quality Average'!I8/'PRQ Avg Normalised by size'!C9*1000</f>
        <v>17.977528089887642</v>
      </c>
      <c r="K9" s="28">
        <f>'Post-release Quality Average'!J8/'PRQ Avg Normalised by size'!C9*1000</f>
        <v>19.101123595505619</v>
      </c>
      <c r="L9" s="28">
        <f>'Post-release Quality Average'!K8/'PRQ Avg Normalised by size'!C9*1000</f>
        <v>19.101123595505619</v>
      </c>
      <c r="M9" s="28">
        <f>'Post-release Quality Average'!L8/'PRQ Avg Normalised by size'!C9*1000</f>
        <v>19.101123595505619</v>
      </c>
      <c r="N9" s="28">
        <f>'Post-release Quality Average'!M8/'PRQ Avg Normalised by size'!C9*1000</f>
        <v>19.325842696629213</v>
      </c>
      <c r="O9" s="28">
        <f>'Post-release Quality Average'!N8/'PRQ Avg Normalised by size'!C9*1000</f>
        <v>19.325842696629213</v>
      </c>
      <c r="P9" s="28">
        <f>'Post-release Quality Average'!O8/'PRQ Avg Normalised by size'!C9*1000</f>
        <v>19.325842696629213</v>
      </c>
      <c r="Q9" s="29">
        <f>'Post-release Quality Average'!P8/'PRQ Avg Normalised by size'!C9*1000</f>
        <v>12.584269662921349</v>
      </c>
      <c r="R9" s="28">
        <f>'Post-release Quality Average'!Q8/'PRQ Avg Normalised by size'!C9*1000</f>
        <v>11.685393258426966</v>
      </c>
      <c r="S9" s="28">
        <f>'Post-release Quality Average'!R8/'PRQ Avg Normalised by size'!C9*1000</f>
        <v>11.685393258426966</v>
      </c>
      <c r="T9" s="28">
        <f>'Post-release Quality Average'!S8/'PRQ Avg Normalised by size'!C9*1000</f>
        <v>9.213483146067416</v>
      </c>
      <c r="U9" s="28">
        <f>'Post-release Quality Average'!T8/'PRQ Avg Normalised by size'!C9*1000</f>
        <v>8.7640449438202257</v>
      </c>
      <c r="V9" s="28">
        <f>'Post-release Quality Average'!U8/'PRQ Avg Normalised by size'!C9*1000</f>
        <v>8.5393258426966305</v>
      </c>
      <c r="W9" s="28">
        <f>'Post-release Quality Average'!V8/'PRQ Avg Normalised by size'!C9*1000</f>
        <v>6.7415730337078656</v>
      </c>
      <c r="X9" s="28">
        <f>'Post-release Quality Average'!W8/'PRQ Avg Normalised by size'!C9*1000</f>
        <v>6.0674157303370784</v>
      </c>
      <c r="Y9" s="28">
        <f>'Post-release Quality Average'!X8/'PRQ Avg Normalised by size'!C9*1000</f>
        <v>3.8202247191011236</v>
      </c>
      <c r="Z9" s="28">
        <f>'Post-release Quality Average'!Y8/'PRQ Avg Normalised by size'!C9*1000</f>
        <v>2.4719101123595504</v>
      </c>
      <c r="AA9" s="28">
        <f>'Post-release Quality Average'!Z8/'PRQ Avg Normalised by size'!C9*1000</f>
        <v>1.1235955056179776</v>
      </c>
      <c r="AB9" s="28">
        <f>'Post-release Quality Average'!AA8/'PRQ Avg Normalised by size'!C9*1000</f>
        <v>0.44943820224719105</v>
      </c>
      <c r="AC9" s="30">
        <f>'Post-release Quality Average'!AB8/'PRQ Avg Normalised by size'!C9*1000</f>
        <v>0.44943820224719105</v>
      </c>
    </row>
    <row r="10" spans="2:29" x14ac:dyDescent="0.2">
      <c r="B10" s="32" t="s">
        <v>12</v>
      </c>
      <c r="C10" s="40">
        <v>4925</v>
      </c>
      <c r="D10" s="29">
        <f>'Post-release Quality Average'!C9/'PRQ Avg Normalised by size'!C10*1000</f>
        <v>8.9340101522842641</v>
      </c>
      <c r="E10" s="28">
        <f>'Post-release Quality Average'!D9/'PRQ Avg Normalised by size'!C10*1000</f>
        <v>9.746192893401016</v>
      </c>
      <c r="F10" s="28">
        <f>'Post-release Quality Average'!E9/'PRQ Avg Normalised by size'!C10*1000</f>
        <v>10.355329949238579</v>
      </c>
      <c r="G10" s="28">
        <f>'Post-release Quality Average'!F9/'PRQ Avg Normalised by size'!C10*1000</f>
        <v>11.370558375634518</v>
      </c>
      <c r="H10" s="28">
        <f>'Post-release Quality Average'!G9/'PRQ Avg Normalised by size'!C10*1000</f>
        <v>11.776649746192895</v>
      </c>
      <c r="I10" s="28">
        <f>'Post-release Quality Average'!H9/'PRQ Avg Normalised by size'!C10*1000</f>
        <v>12.385786802030458</v>
      </c>
      <c r="J10" s="28">
        <f>'Post-release Quality Average'!I9/'PRQ Avg Normalised by size'!C10*1000</f>
        <v>12.791878172588831</v>
      </c>
      <c r="K10" s="28">
        <f>'Post-release Quality Average'!J9/'PRQ Avg Normalised by size'!C10*1000</f>
        <v>12.99492385786802</v>
      </c>
      <c r="L10" s="28">
        <f>'Post-release Quality Average'!K9/'PRQ Avg Normalised by size'!C10*1000</f>
        <v>13.197969543147208</v>
      </c>
      <c r="M10" s="28">
        <f>'Post-release Quality Average'!L9/'PRQ Avg Normalised by size'!C10*1000</f>
        <v>13.197969543147208</v>
      </c>
      <c r="N10" s="28">
        <f>'Post-release Quality Average'!M9/'PRQ Avg Normalised by size'!C10*1000</f>
        <v>13.401015228426397</v>
      </c>
      <c r="O10" s="28">
        <f>'Post-release Quality Average'!N9/'PRQ Avg Normalised by size'!C10*1000</f>
        <v>13.401015228426397</v>
      </c>
      <c r="P10" s="28">
        <f>'Post-release Quality Average'!O9/'PRQ Avg Normalised by size'!C10*1000</f>
        <v>13.401015228426397</v>
      </c>
      <c r="Q10" s="29">
        <f>'Post-release Quality Average'!P9/'PRQ Avg Normalised by size'!C10*1000</f>
        <v>8.9340101522842641</v>
      </c>
      <c r="R10" s="28">
        <f>'Post-release Quality Average'!Q9/'PRQ Avg Normalised by size'!C10*1000</f>
        <v>8.5279187817258872</v>
      </c>
      <c r="S10" s="28">
        <f>'Post-release Quality Average'!R9/'PRQ Avg Normalised by size'!C10*1000</f>
        <v>7.5126903553299496</v>
      </c>
      <c r="T10" s="28">
        <f>'Post-release Quality Average'!S9/'PRQ Avg Normalised by size'!C10*1000</f>
        <v>7.1065989847715736</v>
      </c>
      <c r="U10" s="28">
        <f>'Post-release Quality Average'!T9/'PRQ Avg Normalised by size'!C10*1000</f>
        <v>6.7005076142131985</v>
      </c>
      <c r="V10" s="28">
        <f>'Post-release Quality Average'!U9/'PRQ Avg Normalised by size'!C10*1000</f>
        <v>5.8883248730964475</v>
      </c>
      <c r="W10" s="28">
        <f>'Post-release Quality Average'!V9/'PRQ Avg Normalised by size'!C10*1000</f>
        <v>5.2791878172588831</v>
      </c>
      <c r="X10" s="28">
        <f>'Post-release Quality Average'!W9/'PRQ Avg Normalised by size'!C10*1000</f>
        <v>3.4517766497461926</v>
      </c>
      <c r="Y10" s="28">
        <f>'Post-release Quality Average'!X9/'PRQ Avg Normalised by size'!C10*1000</f>
        <v>1.4213197969543148</v>
      </c>
      <c r="Z10" s="28">
        <f>'Post-release Quality Average'!Y9/'PRQ Avg Normalised by size'!C10*1000</f>
        <v>0.40609137055837563</v>
      </c>
      <c r="AA10" s="28">
        <f>'Post-release Quality Average'!Z9/'PRQ Avg Normalised by size'!C10*1000</f>
        <v>0.20304568527918782</v>
      </c>
      <c r="AB10" s="28">
        <f>'Post-release Quality Average'!AA9/'PRQ Avg Normalised by size'!C10*1000</f>
        <v>0.20304568527918782</v>
      </c>
      <c r="AC10" s="30">
        <f>'Post-release Quality Average'!AB9/'PRQ Avg Normalised by size'!C10*1000</f>
        <v>0.20304568527918782</v>
      </c>
    </row>
    <row r="11" spans="2:29" x14ac:dyDescent="0.2">
      <c r="B11" s="32" t="s">
        <v>13</v>
      </c>
      <c r="C11" s="40">
        <v>5645</v>
      </c>
      <c r="D11" s="29">
        <f>'Post-release Quality Average'!C10/'PRQ Avg Normalised by size'!C11*1000</f>
        <v>7.6173604960141716</v>
      </c>
      <c r="E11" s="28">
        <f>'Post-release Quality Average'!D10/'PRQ Avg Normalised by size'!C11*1000</f>
        <v>7.9716563330380872</v>
      </c>
      <c r="F11" s="28">
        <f>'Post-release Quality Average'!E10/'PRQ Avg Normalised by size'!C11*1000</f>
        <v>8.6802480070859165</v>
      </c>
      <c r="G11" s="28">
        <f>'Post-release Quality Average'!F10/'PRQ Avg Normalised by size'!C11*1000</f>
        <v>9.2116917626217898</v>
      </c>
      <c r="H11" s="28">
        <f>'Post-release Quality Average'!G10/'PRQ Avg Normalised by size'!C11*1000</f>
        <v>9.9202834366696191</v>
      </c>
      <c r="I11" s="28">
        <f>'Post-release Quality Average'!H10/'PRQ Avg Normalised by size'!C11*1000</f>
        <v>10.274579273693535</v>
      </c>
      <c r="J11" s="28">
        <f>'Post-release Quality Average'!I10/'PRQ Avg Normalised by size'!C11*1000</f>
        <v>10.451727192205492</v>
      </c>
      <c r="K11" s="28">
        <f>'Post-release Quality Average'!J10/'PRQ Avg Normalised by size'!C11*1000</f>
        <v>10.983170947741364</v>
      </c>
      <c r="L11" s="28">
        <f>'Post-release Quality Average'!K10/'PRQ Avg Normalised by size'!C11*1000</f>
        <v>10.983170947741364</v>
      </c>
      <c r="M11" s="28">
        <f>'Post-release Quality Average'!L10/'PRQ Avg Normalised by size'!C11*1000</f>
        <v>10.983170947741364</v>
      </c>
      <c r="N11" s="28">
        <f>'Post-release Quality Average'!M10/'PRQ Avg Normalised by size'!C11*1000</f>
        <v>11.160318866253322</v>
      </c>
      <c r="O11" s="28">
        <f>'Post-release Quality Average'!N10/'PRQ Avg Normalised by size'!C11*1000</f>
        <v>11.160318866253322</v>
      </c>
      <c r="P11" s="28">
        <f>'Post-release Quality Average'!O10/'PRQ Avg Normalised by size'!C11*1000</f>
        <v>11.337466784765279</v>
      </c>
      <c r="Q11" s="29">
        <f>'Post-release Quality Average'!P10/'PRQ Avg Normalised by size'!C11*1000</f>
        <v>7.6173604960141716</v>
      </c>
      <c r="R11" s="28">
        <f>'Post-release Quality Average'!Q10/'PRQ Avg Normalised by size'!C11*1000</f>
        <v>6.5544729849424268</v>
      </c>
      <c r="S11" s="28">
        <f>'Post-release Quality Average'!R10/'PRQ Avg Normalised by size'!C11*1000</f>
        <v>6.2001771479185122</v>
      </c>
      <c r="T11" s="28">
        <f>'Post-release Quality Average'!S10/'PRQ Avg Normalised by size'!C11*1000</f>
        <v>6.0230292294065544</v>
      </c>
      <c r="U11" s="28">
        <f>'Post-release Quality Average'!T10/'PRQ Avg Normalised by size'!C11*1000</f>
        <v>5.8458813108945975</v>
      </c>
      <c r="V11" s="28">
        <f>'Post-release Quality Average'!U10/'PRQ Avg Normalised by size'!C11*1000</f>
        <v>5.3144375553587242</v>
      </c>
      <c r="W11" s="28">
        <f>'Post-release Quality Average'!V10/'PRQ Avg Normalised by size'!C11*1000</f>
        <v>4.2515500442869794</v>
      </c>
      <c r="X11" s="28">
        <f>'Post-release Quality Average'!W10/'PRQ Avg Normalised by size'!C11*1000</f>
        <v>3.3658104517271918</v>
      </c>
      <c r="Y11" s="28">
        <f>'Post-release Quality Average'!X10/'PRQ Avg Normalised by size'!C11*1000</f>
        <v>2.1257750221434897</v>
      </c>
      <c r="Z11" s="28">
        <f>'Post-release Quality Average'!Y10/'PRQ Avg Normalised by size'!C11*1000</f>
        <v>1.0628875110717448</v>
      </c>
      <c r="AA11" s="28">
        <f>'Post-release Quality Average'!Z10/'PRQ Avg Normalised by size'!C11*1000</f>
        <v>0.70859167404782997</v>
      </c>
      <c r="AB11" s="28">
        <f>'Post-release Quality Average'!AA10/'PRQ Avg Normalised by size'!C11*1000</f>
        <v>0.35429583702391498</v>
      </c>
      <c r="AC11" s="30">
        <f>'Post-release Quality Average'!AB10/'PRQ Avg Normalised by size'!C11*1000</f>
        <v>0.35429583702391498</v>
      </c>
    </row>
    <row r="12" spans="2:29" x14ac:dyDescent="0.2">
      <c r="B12" s="32" t="s">
        <v>15</v>
      </c>
      <c r="C12" s="40">
        <v>6323</v>
      </c>
      <c r="D12" s="29">
        <f>'Post-release Quality Average'!C11/'PRQ Avg Normalised by size'!C12*1000</f>
        <v>6.0098054720860352</v>
      </c>
      <c r="E12" s="28">
        <f>'Post-release Quality Average'!D11/'PRQ Avg Normalised by size'!C12*1000</f>
        <v>6.6424165744108805</v>
      </c>
      <c r="F12" s="28">
        <f>'Post-release Quality Average'!E11/'PRQ Avg Normalised by size'!C12*1000</f>
        <v>7.1168749011545156</v>
      </c>
      <c r="G12" s="28">
        <f>'Post-release Quality Average'!F11/'PRQ Avg Normalised by size'!C12*1000</f>
        <v>7.9076387790605729</v>
      </c>
      <c r="H12" s="28">
        <f>'Post-release Quality Average'!G11/'PRQ Avg Normalised by size'!C12*1000</f>
        <v>8.2239443302229951</v>
      </c>
      <c r="I12" s="28">
        <f>'Post-release Quality Average'!H11/'PRQ Avg Normalised by size'!C12*1000</f>
        <v>8.6984026569666302</v>
      </c>
      <c r="J12" s="28">
        <f>'Post-release Quality Average'!I11/'PRQ Avg Normalised by size'!C12*1000</f>
        <v>9.0147082081290524</v>
      </c>
      <c r="K12" s="28">
        <f>'Post-release Quality Average'!J11/'PRQ Avg Normalised by size'!C12*1000</f>
        <v>9.1728609837102635</v>
      </c>
      <c r="L12" s="28">
        <f>'Post-release Quality Average'!K11/'PRQ Avg Normalised by size'!C12*1000</f>
        <v>9.3310137592914764</v>
      </c>
      <c r="M12" s="28">
        <f>'Post-release Quality Average'!L11/'PRQ Avg Normalised by size'!C12*1000</f>
        <v>9.3310137592914764</v>
      </c>
      <c r="N12" s="28">
        <f>'Post-release Quality Average'!M11/'PRQ Avg Normalised by size'!C12*1000</f>
        <v>9.4891665348726857</v>
      </c>
      <c r="O12" s="28">
        <f>'Post-release Quality Average'!N11/'PRQ Avg Normalised by size'!C12*1000</f>
        <v>9.4891665348726857</v>
      </c>
      <c r="P12" s="28">
        <f>'Post-release Quality Average'!O11/'PRQ Avg Normalised by size'!C12*1000</f>
        <v>9.4891665348726857</v>
      </c>
      <c r="Q12" s="29">
        <f>'Post-release Quality Average'!P11/'PRQ Avg Normalised by size'!C12*1000</f>
        <v>6.0098054720860352</v>
      </c>
      <c r="R12" s="28">
        <f>'Post-release Quality Average'!Q11/'PRQ Avg Normalised by size'!C12*1000</f>
        <v>5.6934999209236121</v>
      </c>
      <c r="S12" s="28">
        <f>'Post-release Quality Average'!R11/'PRQ Avg Normalised by size'!C12*1000</f>
        <v>5.2190415941799779</v>
      </c>
      <c r="T12" s="28">
        <f>'Post-release Quality Average'!S11/'PRQ Avg Normalised by size'!C12*1000</f>
        <v>4.9027360430175548</v>
      </c>
      <c r="U12" s="28">
        <f>'Post-release Quality Average'!T11/'PRQ Avg Normalised by size'!C12*1000</f>
        <v>4.5864304918551317</v>
      </c>
      <c r="V12" s="28">
        <f>'Post-release Quality Average'!U11/'PRQ Avg Normalised by size'!C12*1000</f>
        <v>3.9538193895302864</v>
      </c>
      <c r="W12" s="28">
        <f>'Post-release Quality Average'!V11/'PRQ Avg Normalised by size'!C12*1000</f>
        <v>3.4793610627866518</v>
      </c>
      <c r="X12" s="28">
        <f>'Post-release Quality Average'!W11/'PRQ Avg Normalised by size'!C12*1000</f>
        <v>2.688597184880595</v>
      </c>
      <c r="Y12" s="28">
        <f>'Post-release Quality Average'!X11/'PRQ Avg Normalised by size'!C12*1000</f>
        <v>1.1070694290684802</v>
      </c>
      <c r="Z12" s="28">
        <f>'Post-release Quality Average'!Y11/'PRQ Avg Normalised by size'!C12*1000</f>
        <v>0.31630555116242293</v>
      </c>
      <c r="AA12" s="28">
        <f>'Post-release Quality Average'!Z11/'PRQ Avg Normalised by size'!C12*1000</f>
        <v>0.15815277558121146</v>
      </c>
      <c r="AB12" s="28">
        <f>'Post-release Quality Average'!AA11/'PRQ Avg Normalised by size'!C12*1000</f>
        <v>0.15815277558121146</v>
      </c>
      <c r="AC12" s="30">
        <f>'Post-release Quality Average'!AB11/'PRQ Avg Normalised by size'!C12*1000</f>
        <v>0.15815277558121146</v>
      </c>
    </row>
    <row r="13" spans="2:29" x14ac:dyDescent="0.2">
      <c r="B13" s="32" t="s">
        <v>16</v>
      </c>
      <c r="C13" s="40">
        <v>3809</v>
      </c>
      <c r="D13" s="29">
        <f>'Post-release Quality Average'!C12/'PRQ Avg Normalised by size'!C13*1000</f>
        <v>11.026516145970071</v>
      </c>
      <c r="E13" s="28">
        <f>'Post-release Quality Average'!D12/'PRQ Avg Normalised by size'!C13*1000</f>
        <v>11.551588343397217</v>
      </c>
      <c r="F13" s="28">
        <f>'Post-release Quality Average'!E12/'PRQ Avg Normalised by size'!C13*1000</f>
        <v>12.60173273825151</v>
      </c>
      <c r="G13" s="28">
        <f>'Post-release Quality Average'!F12/'PRQ Avg Normalised by size'!C13*1000</f>
        <v>13.389341034392229</v>
      </c>
      <c r="H13" s="28">
        <f>'Post-release Quality Average'!G12/'PRQ Avg Normalised by size'!C13*1000</f>
        <v>14.439485429246522</v>
      </c>
      <c r="I13" s="28">
        <f>'Post-release Quality Average'!H12/'PRQ Avg Normalised by size'!C13*1000</f>
        <v>14.964557626673667</v>
      </c>
      <c r="J13" s="28">
        <f>'Post-release Quality Average'!I12/'PRQ Avg Normalised by size'!C13*1000</f>
        <v>15.22709372538724</v>
      </c>
      <c r="K13" s="28">
        <f>'Post-release Quality Average'!J12/'PRQ Avg Normalised by size'!C13*1000</f>
        <v>16.01470202152796</v>
      </c>
      <c r="L13" s="28">
        <f>'Post-release Quality Average'!K12/'PRQ Avg Normalised by size'!C13*1000</f>
        <v>16.01470202152796</v>
      </c>
      <c r="M13" s="28">
        <f>'Post-release Quality Average'!L12/'PRQ Avg Normalised by size'!C13*1000</f>
        <v>16.01470202152796</v>
      </c>
      <c r="N13" s="28">
        <f>'Post-release Quality Average'!M12/'PRQ Avg Normalised by size'!C13*1000</f>
        <v>16.277238120241535</v>
      </c>
      <c r="O13" s="28">
        <f>'Post-release Quality Average'!N12/'PRQ Avg Normalised by size'!C13*1000</f>
        <v>16.277238120241535</v>
      </c>
      <c r="P13" s="28">
        <f>'Post-release Quality Average'!O12/'PRQ Avg Normalised by size'!C13*1000</f>
        <v>16.539774218955106</v>
      </c>
      <c r="Q13" s="29">
        <f>'Post-release Quality Average'!P12/'PRQ Avg Normalised by size'!C13*1000</f>
        <v>11.026516145970071</v>
      </c>
      <c r="R13" s="28">
        <f>'Post-release Quality Average'!Q12/'PRQ Avg Normalised by size'!C13*1000</f>
        <v>9.4512995536886333</v>
      </c>
      <c r="S13" s="28">
        <f>'Post-release Quality Average'!R12/'PRQ Avg Normalised by size'!C13*1000</f>
        <v>8.9262273562614851</v>
      </c>
      <c r="T13" s="28">
        <f>'Post-release Quality Average'!S12/'PRQ Avg Normalised by size'!C13*1000</f>
        <v>8.6636912575479137</v>
      </c>
      <c r="U13" s="28">
        <f>'Post-release Quality Average'!T12/'PRQ Avg Normalised by size'!C13*1000</f>
        <v>8.4011551588343405</v>
      </c>
      <c r="V13" s="28">
        <f>'Post-release Quality Average'!U12/'PRQ Avg Normalised by size'!C13*1000</f>
        <v>7.61354686269362</v>
      </c>
      <c r="W13" s="28">
        <f>'Post-release Quality Average'!V12/'PRQ Avg Normalised by size'!C13*1000</f>
        <v>6.0383302704121817</v>
      </c>
      <c r="X13" s="28">
        <f>'Post-release Quality Average'!W12/'PRQ Avg Normalised by size'!C13*1000</f>
        <v>4.7256497768443166</v>
      </c>
      <c r="Y13" s="28">
        <f>'Post-release Quality Average'!X12/'PRQ Avg Normalised by size'!C13*1000</f>
        <v>3.1504331845628775</v>
      </c>
      <c r="Z13" s="28">
        <f>'Post-release Quality Average'!Y12/'PRQ Avg Normalised by size'!C13*1000</f>
        <v>1.5752165922814387</v>
      </c>
      <c r="AA13" s="28">
        <f>'Post-release Quality Average'!Z12/'PRQ Avg Normalised by size'!C13*1000</f>
        <v>1.0501443948542926</v>
      </c>
      <c r="AB13" s="28">
        <f>'Post-release Quality Average'!AA12/'PRQ Avg Normalised by size'!C13*1000</f>
        <v>0.52507219742714628</v>
      </c>
      <c r="AC13" s="30">
        <f>'Post-release Quality Average'!AB12/'PRQ Avg Normalised by size'!C13*1000</f>
        <v>0.52507219742714628</v>
      </c>
    </row>
    <row r="14" spans="2:29" x14ac:dyDescent="0.2">
      <c r="B14" s="32" t="s">
        <v>19</v>
      </c>
      <c r="C14" s="40">
        <v>2900</v>
      </c>
      <c r="D14" s="29">
        <f>'Post-release Quality Average'!C13/'PRQ Avg Normalised by size'!C14*1000</f>
        <v>13.793103448275861</v>
      </c>
      <c r="E14" s="28">
        <f>'Post-release Quality Average'!D13/'PRQ Avg Normalised by size'!C14*1000</f>
        <v>14.482758620689657</v>
      </c>
      <c r="F14" s="28">
        <f>'Post-release Quality Average'!E13/'PRQ Avg Normalised by size'!C14*1000</f>
        <v>16.551724137931036</v>
      </c>
      <c r="G14" s="28">
        <f>'Post-release Quality Average'!F13/'PRQ Avg Normalised by size'!C14*1000</f>
        <v>17.241379310344826</v>
      </c>
      <c r="H14" s="28">
        <f>'Post-release Quality Average'!G13/'PRQ Avg Normalised by size'!C14*1000</f>
        <v>17.586206896551726</v>
      </c>
      <c r="I14" s="28">
        <f>'Post-release Quality Average'!H13/'PRQ Avg Normalised by size'!C14*1000</f>
        <v>18.275862068965516</v>
      </c>
      <c r="J14" s="28">
        <f>'Post-release Quality Average'!I13/'PRQ Avg Normalised by size'!C14*1000</f>
        <v>19.310344827586206</v>
      </c>
      <c r="K14" s="28">
        <f>'Post-release Quality Average'!J13/'PRQ Avg Normalised by size'!C14*1000</f>
        <v>20</v>
      </c>
      <c r="L14" s="28">
        <f>'Post-release Quality Average'!K13/'PRQ Avg Normalised by size'!C14*1000</f>
        <v>20.344827586206893</v>
      </c>
      <c r="M14" s="28">
        <f>'Post-release Quality Average'!L13/'PRQ Avg Normalised by size'!C14*1000</f>
        <v>20.344827586206893</v>
      </c>
      <c r="N14" s="28">
        <f>'Post-release Quality Average'!M13/'PRQ Avg Normalised by size'!C14*1000</f>
        <v>20.689655172413794</v>
      </c>
      <c r="O14" s="28">
        <f>'Post-release Quality Average'!N13/'PRQ Avg Normalised by size'!C14*1000</f>
        <v>20.689655172413794</v>
      </c>
      <c r="P14" s="28">
        <f>'Post-release Quality Average'!O13/'PRQ Avg Normalised by size'!C14*1000</f>
        <v>21.03448275862069</v>
      </c>
      <c r="Q14" s="29">
        <f>'Post-release Quality Average'!P13/'PRQ Avg Normalised by size'!C14*1000</f>
        <v>13.793103448275861</v>
      </c>
      <c r="R14" s="28">
        <f>'Post-release Quality Average'!Q13/'PRQ Avg Normalised by size'!C14*1000</f>
        <v>12.758620689655173</v>
      </c>
      <c r="S14" s="28">
        <f>'Post-release Quality Average'!R13/'PRQ Avg Normalised by size'!C14*1000</f>
        <v>13.448275862068966</v>
      </c>
      <c r="T14" s="28">
        <f>'Post-release Quality Average'!S13/'PRQ Avg Normalised by size'!C14*1000</f>
        <v>12.068965517241379</v>
      </c>
      <c r="U14" s="28">
        <f>'Post-release Quality Average'!T13/'PRQ Avg Normalised by size'!C14*1000</f>
        <v>10</v>
      </c>
      <c r="V14" s="28">
        <f>'Post-release Quality Average'!U13/'PRQ Avg Normalised by size'!C14*1000</f>
        <v>9.6551724137931032</v>
      </c>
      <c r="W14" s="28">
        <f>'Post-release Quality Average'!V13/'PRQ Avg Normalised by size'!C14*1000</f>
        <v>10</v>
      </c>
      <c r="X14" s="28">
        <f>'Post-release Quality Average'!W13/'PRQ Avg Normalised by size'!C14*1000</f>
        <v>7.5862068965517242</v>
      </c>
      <c r="Y14" s="28">
        <f>'Post-release Quality Average'!X13/'PRQ Avg Normalised by size'!C14*1000</f>
        <v>5.1724137931034484</v>
      </c>
      <c r="Z14" s="28">
        <f>'Post-release Quality Average'!Y13/'PRQ Avg Normalised by size'!C14*1000</f>
        <v>3.4482758620689653</v>
      </c>
      <c r="AA14" s="28">
        <f>'Post-release Quality Average'!Z13/'PRQ Avg Normalised by size'!C14*1000</f>
        <v>1.7241379310344827</v>
      </c>
      <c r="AB14" s="28">
        <f>'Post-release Quality Average'!AA13/'PRQ Avg Normalised by size'!C14*1000</f>
        <v>0.34482758620689652</v>
      </c>
      <c r="AC14" s="30">
        <f>'Post-release Quality Average'!AB13/'PRQ Avg Normalised by size'!C14*1000</f>
        <v>0.68965517241379304</v>
      </c>
    </row>
    <row r="15" spans="2:29" x14ac:dyDescent="0.2">
      <c r="B15" s="32" t="s">
        <v>20</v>
      </c>
      <c r="C15" s="40">
        <v>3800</v>
      </c>
      <c r="D15" s="29">
        <f>'Post-release Quality Average'!C14/'PRQ Avg Normalised by size'!C15*1000</f>
        <v>6.5789473684210522</v>
      </c>
      <c r="E15" s="28">
        <f>'Post-release Quality Average'!D14/'PRQ Avg Normalised by size'!C15*1000</f>
        <v>7.6315789473684204</v>
      </c>
      <c r="F15" s="28">
        <f>'Post-release Quality Average'!E14/'PRQ Avg Normalised by size'!C15*1000</f>
        <v>9.2105263157894726</v>
      </c>
      <c r="G15" s="28">
        <f>'Post-release Quality Average'!F14/'PRQ Avg Normalised by size'!C15*1000</f>
        <v>10</v>
      </c>
      <c r="H15" s="28">
        <f>'Post-release Quality Average'!G14/'PRQ Avg Normalised by size'!C15*1000</f>
        <v>10.263157894736842</v>
      </c>
      <c r="I15" s="28">
        <f>'Post-release Quality Average'!H14/'PRQ Avg Normalised by size'!C15*1000</f>
        <v>10.789473684210526</v>
      </c>
      <c r="J15" s="28">
        <f>'Post-release Quality Average'!I14/'PRQ Avg Normalised by size'!C15*1000</f>
        <v>11.315789473684211</v>
      </c>
      <c r="K15" s="28">
        <f>'Post-release Quality Average'!J14/'PRQ Avg Normalised by size'!C15*1000</f>
        <v>12.105263157894736</v>
      </c>
      <c r="L15" s="28">
        <f>'Post-release Quality Average'!K14/'PRQ Avg Normalised by size'!C15*1000</f>
        <v>12.368421052631579</v>
      </c>
      <c r="M15" s="28">
        <f>'Post-release Quality Average'!L14/'PRQ Avg Normalised by size'!C15*1000</f>
        <v>12.368421052631579</v>
      </c>
      <c r="N15" s="28">
        <f>'Post-release Quality Average'!M14/'PRQ Avg Normalised by size'!C15*1000</f>
        <v>12.631578947368421</v>
      </c>
      <c r="O15" s="28">
        <f>'Post-release Quality Average'!N14/'PRQ Avg Normalised by size'!C15*1000</f>
        <v>12.631578947368421</v>
      </c>
      <c r="P15" s="28">
        <f>'Post-release Quality Average'!O14/'PRQ Avg Normalised by size'!C15*1000</f>
        <v>12.894736842105262</v>
      </c>
      <c r="Q15" s="29">
        <f>'Post-release Quality Average'!P14/'PRQ Avg Normalised by size'!C15*1000</f>
        <v>6.5789473684210522</v>
      </c>
      <c r="R15" s="28">
        <f>'Post-release Quality Average'!Q14/'PRQ Avg Normalised by size'!C15*1000</f>
        <v>6.5789473684210522</v>
      </c>
      <c r="S15" s="28">
        <f>'Post-release Quality Average'!R14/'PRQ Avg Normalised by size'!C15*1000</f>
        <v>6.0526315789473681</v>
      </c>
      <c r="T15" s="28">
        <f>'Post-release Quality Average'!S14/'PRQ Avg Normalised by size'!C15*1000</f>
        <v>6.0526315789473681</v>
      </c>
      <c r="U15" s="28">
        <f>'Post-release Quality Average'!T14/'PRQ Avg Normalised by size'!C15*1000</f>
        <v>5</v>
      </c>
      <c r="V15" s="28">
        <f>'Post-release Quality Average'!U14/'PRQ Avg Normalised by size'!C15*1000</f>
        <v>4.2105263157894735</v>
      </c>
      <c r="W15" s="28">
        <f>'Post-release Quality Average'!V14/'PRQ Avg Normalised by size'!C15*1000</f>
        <v>2.8947368421052633</v>
      </c>
      <c r="X15" s="28">
        <f>'Post-release Quality Average'!W14/'PRQ Avg Normalised by size'!C15*1000</f>
        <v>1.5789473684210527</v>
      </c>
      <c r="Y15" s="28">
        <f>'Post-release Quality Average'!X14/'PRQ Avg Normalised by size'!C15*1000</f>
        <v>0.26315789473684209</v>
      </c>
      <c r="Z15" s="28">
        <f>'Post-release Quality Average'!Y14/'PRQ Avg Normalised by size'!C15*1000</f>
        <v>0</v>
      </c>
      <c r="AA15" s="28">
        <f>'Post-release Quality Average'!Z14/'PRQ Avg Normalised by size'!C15*1000</f>
        <v>0.26315789473684209</v>
      </c>
      <c r="AB15" s="28">
        <f>'Post-release Quality Average'!AA14/'PRQ Avg Normalised by size'!C15*1000</f>
        <v>0</v>
      </c>
      <c r="AC15" s="30">
        <f>'Post-release Quality Average'!AB14/'PRQ Avg Normalised by size'!C15*1000</f>
        <v>0</v>
      </c>
    </row>
    <row r="16" spans="2:29" x14ac:dyDescent="0.2">
      <c r="B16" s="32" t="s">
        <v>21</v>
      </c>
      <c r="C16" s="40">
        <v>5215</v>
      </c>
      <c r="D16" s="29">
        <f>'Post-release Quality Average'!C15/'PRQ Avg Normalised by size'!C16*1000</f>
        <v>6.9031639501438153</v>
      </c>
      <c r="E16" s="28">
        <f>'Post-release Quality Average'!D15/'PRQ Avg Normalised by size'!C16*1000</f>
        <v>7.4784276126558007</v>
      </c>
      <c r="F16" s="28">
        <f>'Post-release Quality Average'!E15/'PRQ Avg Normalised by size'!C16*1000</f>
        <v>8.2454458293384469</v>
      </c>
      <c r="G16" s="28">
        <f>'Post-release Quality Average'!F15/'PRQ Avg Normalised by size'!C16*1000</f>
        <v>9.2042186001917532</v>
      </c>
      <c r="H16" s="28">
        <f>'Post-release Quality Average'!G15/'PRQ Avg Normalised by size'!C16*1000</f>
        <v>9.3959731543624159</v>
      </c>
      <c r="I16" s="28">
        <f>'Post-release Quality Average'!H15/'PRQ Avg Normalised by size'!C16*1000</f>
        <v>10.162991371045063</v>
      </c>
      <c r="J16" s="28">
        <f>'Post-release Quality Average'!I15/'PRQ Avg Normalised by size'!C16*1000</f>
        <v>10.354745925215724</v>
      </c>
      <c r="K16" s="28">
        <f>'Post-release Quality Average'!J15/'PRQ Avg Normalised by size'!C16*1000</f>
        <v>10.738255033557046</v>
      </c>
      <c r="L16" s="28">
        <f>'Post-release Quality Average'!K15/'PRQ Avg Normalised by size'!C16*1000</f>
        <v>10.930009587727708</v>
      </c>
      <c r="M16" s="28">
        <f>'Post-release Quality Average'!L15/'PRQ Avg Normalised by size'!C16*1000</f>
        <v>10.930009587727708</v>
      </c>
      <c r="N16" s="28">
        <f>'Post-release Quality Average'!M15/'PRQ Avg Normalised by size'!C16*1000</f>
        <v>11.121764141898371</v>
      </c>
      <c r="O16" s="28">
        <f>'Post-release Quality Average'!N15/'PRQ Avg Normalised by size'!C16*1000</f>
        <v>11.121764141898371</v>
      </c>
      <c r="P16" s="28">
        <f>'Post-release Quality Average'!O15/'PRQ Avg Normalised by size'!C16*1000</f>
        <v>11.313518696069032</v>
      </c>
      <c r="Q16" s="29">
        <f>'Post-release Quality Average'!P15/'PRQ Avg Normalised by size'!C16*1000</f>
        <v>6.9031639501438153</v>
      </c>
      <c r="R16" s="28">
        <f>'Post-release Quality Average'!Q15/'PRQ Avg Normalised by size'!C16*1000</f>
        <v>6.3279002876318318</v>
      </c>
      <c r="S16" s="28">
        <f>'Post-release Quality Average'!R15/'PRQ Avg Normalised by size'!C16*1000</f>
        <v>5.7526366251198464</v>
      </c>
      <c r="T16" s="28">
        <f>'Post-release Quality Average'!S15/'PRQ Avg Normalised by size'!C16*1000</f>
        <v>5.7526366251198464</v>
      </c>
      <c r="U16" s="28">
        <f>'Post-release Quality Average'!T15/'PRQ Avg Normalised by size'!C16*1000</f>
        <v>5.177372962607862</v>
      </c>
      <c r="V16" s="28">
        <f>'Post-release Quality Average'!U15/'PRQ Avg Normalised by size'!C16*1000</f>
        <v>4.7938638542665393</v>
      </c>
      <c r="W16" s="28">
        <f>'Post-release Quality Average'!V15/'PRQ Avg Normalised by size'!C16*1000</f>
        <v>4.4103547459252157</v>
      </c>
      <c r="X16" s="28">
        <f>'Post-release Quality Average'!W15/'PRQ Avg Normalised by size'!C16*1000</f>
        <v>2.8763183125599232</v>
      </c>
      <c r="Y16" s="28">
        <f>'Post-release Quality Average'!X15/'PRQ Avg Normalised by size'!C16*1000</f>
        <v>1.1505273250239691</v>
      </c>
      <c r="Z16" s="28">
        <f>'Post-release Quality Average'!Y15/'PRQ Avg Normalised by size'!C16*1000</f>
        <v>0.19175455417066153</v>
      </c>
      <c r="AA16" s="28">
        <f>'Post-release Quality Average'!Z15/'PRQ Avg Normalised by size'!C16*1000</f>
        <v>0</v>
      </c>
      <c r="AB16" s="28">
        <f>'Post-release Quality Average'!AA15/'PRQ Avg Normalised by size'!C16*1000</f>
        <v>0</v>
      </c>
      <c r="AC16" s="30">
        <f>'Post-release Quality Average'!AB15/'PRQ Avg Normalised by size'!C16*1000</f>
        <v>0</v>
      </c>
    </row>
    <row r="17" spans="2:29" x14ac:dyDescent="0.2">
      <c r="B17" s="32" t="s">
        <v>6</v>
      </c>
      <c r="C17" s="40">
        <v>3900</v>
      </c>
      <c r="D17" s="29">
        <f>'Post-release Quality Average'!C16/'PRQ Avg Normalised by size'!C17*1000</f>
        <v>7.1794871794871797</v>
      </c>
      <c r="E17" s="28">
        <f>'Post-release Quality Average'!D16/'PRQ Avg Normalised by size'!C17*1000</f>
        <v>7.6923076923076925</v>
      </c>
      <c r="F17" s="28">
        <f>'Post-release Quality Average'!E16/'PRQ Avg Normalised by size'!C17*1000</f>
        <v>8.4615384615384617</v>
      </c>
      <c r="G17" s="28">
        <f>'Post-release Quality Average'!F16/'PRQ Avg Normalised by size'!C17*1000</f>
        <v>9.4871794871794872</v>
      </c>
      <c r="H17" s="28">
        <f>'Post-release Quality Average'!G16/'PRQ Avg Normalised by size'!C17*1000</f>
        <v>10.256410256410257</v>
      </c>
      <c r="I17" s="28">
        <f>'Post-release Quality Average'!H16/'PRQ Avg Normalised by size'!C17*1000</f>
        <v>11.025641025641026</v>
      </c>
      <c r="J17" s="28">
        <f>'Post-release Quality Average'!I16/'PRQ Avg Normalised by size'!C17*1000</f>
        <v>11.538461538461538</v>
      </c>
      <c r="K17" s="28">
        <f>'Post-release Quality Average'!J16/'PRQ Avg Normalised by size'!C17*1000</f>
        <v>12.051282051282051</v>
      </c>
      <c r="L17" s="28">
        <f>'Post-release Quality Average'!K16/'PRQ Avg Normalised by size'!C17*1000</f>
        <v>12.307692307692308</v>
      </c>
      <c r="M17" s="28">
        <f>'Post-release Quality Average'!L16/'PRQ Avg Normalised by size'!C17*1000</f>
        <v>12.307692307692308</v>
      </c>
      <c r="N17" s="28">
        <f>'Post-release Quality Average'!M16/'PRQ Avg Normalised by size'!C17*1000</f>
        <v>12.564102564102564</v>
      </c>
      <c r="O17" s="28">
        <f>'Post-release Quality Average'!N16/'PRQ Avg Normalised by size'!C17*1000</f>
        <v>12.564102564102564</v>
      </c>
      <c r="P17" s="28">
        <f>'Post-release Quality Average'!O16/'PRQ Avg Normalised by size'!C17*1000</f>
        <v>12.564102564102564</v>
      </c>
      <c r="Q17" s="29">
        <f>'Post-release Quality Average'!P16/'PRQ Avg Normalised by size'!C17*1000</f>
        <v>7.1794871794871797</v>
      </c>
      <c r="R17" s="28">
        <f>'Post-release Quality Average'!Q16/'PRQ Avg Normalised by size'!C17*1000</f>
        <v>5.6410256410256414</v>
      </c>
      <c r="S17" s="28">
        <f>'Post-release Quality Average'!R16/'PRQ Avg Normalised by size'!C17*1000</f>
        <v>5.3846153846153841</v>
      </c>
      <c r="T17" s="28">
        <f>'Post-release Quality Average'!S16/'PRQ Avg Normalised by size'!C17*1000</f>
        <v>5.3846153846153841</v>
      </c>
      <c r="U17" s="28">
        <f>'Post-release Quality Average'!T16/'PRQ Avg Normalised by size'!C17*1000</f>
        <v>4.8717948717948723</v>
      </c>
      <c r="V17" s="28">
        <f>'Post-release Quality Average'!U16/'PRQ Avg Normalised by size'!C17*1000</f>
        <v>4.3589743589743586</v>
      </c>
      <c r="W17" s="28">
        <f>'Post-release Quality Average'!V16/'PRQ Avg Normalised by size'!C17*1000</f>
        <v>3.0769230769230771</v>
      </c>
      <c r="X17" s="28">
        <f>'Post-release Quality Average'!W16/'PRQ Avg Normalised by size'!C17*1000</f>
        <v>1.5384615384615385</v>
      </c>
      <c r="Y17" s="28">
        <f>'Post-release Quality Average'!X16/'PRQ Avg Normalised by size'!C17*1000</f>
        <v>0.76923076923076927</v>
      </c>
      <c r="Z17" s="28">
        <f>'Post-release Quality Average'!Y16/'PRQ Avg Normalised by size'!C17*1000</f>
        <v>0.51282051282051277</v>
      </c>
      <c r="AA17" s="28">
        <f>'Post-release Quality Average'!Z16/'PRQ Avg Normalised by size'!C17*1000</f>
        <v>0.25641025641025639</v>
      </c>
      <c r="AB17" s="28">
        <f>'Post-release Quality Average'!AA16/'PRQ Avg Normalised by size'!C17*1000</f>
        <v>0</v>
      </c>
      <c r="AC17" s="30">
        <f>'Post-release Quality Average'!AB16/'PRQ Avg Normalised by size'!C17*1000</f>
        <v>0</v>
      </c>
    </row>
    <row r="18" spans="2:29" x14ac:dyDescent="0.2">
      <c r="B18" s="32" t="s">
        <v>22</v>
      </c>
      <c r="C18" s="40">
        <v>5100</v>
      </c>
      <c r="D18" s="29">
        <f>'Post-release Quality Average'!C17/'PRQ Avg Normalised by size'!C18*1000</f>
        <v>8.4313725490196063</v>
      </c>
      <c r="E18" s="28">
        <f>'Post-release Quality Average'!D17/'PRQ Avg Normalised by size'!C18*1000</f>
        <v>8.8235294117647065</v>
      </c>
      <c r="F18" s="28">
        <f>'Post-release Quality Average'!E17/'PRQ Avg Normalised by size'!C18*1000</f>
        <v>10</v>
      </c>
      <c r="G18" s="28">
        <f>'Post-release Quality Average'!F17/'PRQ Avg Normalised by size'!C18*1000</f>
        <v>0.58823529411764697</v>
      </c>
      <c r="H18" s="28">
        <f>'Post-release Quality Average'!G17/'PRQ Avg Normalised by size'!C18*1000</f>
        <v>10.588235294117647</v>
      </c>
      <c r="I18" s="28">
        <f>'Post-release Quality Average'!H17/'PRQ Avg Normalised by size'!C18*1000</f>
        <v>10.980392156862745</v>
      </c>
      <c r="J18" s="28">
        <f>'Post-release Quality Average'!I17/'PRQ Avg Normalised by size'!C18*1000</f>
        <v>11.568627450980392</v>
      </c>
      <c r="K18" s="28">
        <f>'Post-release Quality Average'!J17/'PRQ Avg Normalised by size'!C18*1000</f>
        <v>11.96078431372549</v>
      </c>
      <c r="L18" s="28">
        <f>'Post-release Quality Average'!K17/'PRQ Avg Normalised by size'!C18*1000</f>
        <v>12.15686274509804</v>
      </c>
      <c r="M18" s="28">
        <f>'Post-release Quality Average'!L17/'PRQ Avg Normalised by size'!C18*1000</f>
        <v>12.15686274509804</v>
      </c>
      <c r="N18" s="28">
        <f>'Post-release Quality Average'!M17/'PRQ Avg Normalised by size'!C18*1000</f>
        <v>12.352941176470587</v>
      </c>
      <c r="O18" s="28">
        <f>'Post-release Quality Average'!N17/'PRQ Avg Normalised by size'!C18*1000</f>
        <v>12.352941176470587</v>
      </c>
      <c r="P18" s="28">
        <f>'Post-release Quality Average'!O17/'PRQ Avg Normalised by size'!C18*1000</f>
        <v>12.352941176470587</v>
      </c>
      <c r="Q18" s="29">
        <f>'Post-release Quality Average'!P17/'PRQ Avg Normalised by size'!C18*1000</f>
        <v>8.4313725490196063</v>
      </c>
      <c r="R18" s="28">
        <f>'Post-release Quality Average'!Q17/'PRQ Avg Normalised by size'!C18*1000</f>
        <v>7.8431372549019605</v>
      </c>
      <c r="S18" s="28">
        <f>'Post-release Quality Average'!R17/'PRQ Avg Normalised by size'!C18*1000</f>
        <v>8.2352941176470598</v>
      </c>
      <c r="T18" s="28">
        <f>'Post-release Quality Average'!S17/'PRQ Avg Normalised by size'!C18*1000</f>
        <v>7.4509803921568629</v>
      </c>
      <c r="U18" s="28">
        <f>'Post-release Quality Average'!T17/'PRQ Avg Normalised by size'!C18*1000</f>
        <v>6.2745098039215685</v>
      </c>
      <c r="V18" s="28">
        <f>'Post-release Quality Average'!U17/'PRQ Avg Normalised by size'!C18*1000</f>
        <v>6.0784313725490202</v>
      </c>
      <c r="W18" s="28">
        <f>'Post-release Quality Average'!V17/'PRQ Avg Normalised by size'!C18*1000</f>
        <v>5.6862745098039209</v>
      </c>
      <c r="X18" s="28">
        <f>'Post-release Quality Average'!W17/'PRQ Avg Normalised by size'!C18*1000</f>
        <v>4.3137254901960782</v>
      </c>
      <c r="Y18" s="28">
        <f>'Post-release Quality Average'!X17/'PRQ Avg Normalised by size'!C18*1000</f>
        <v>2.9411764705882351</v>
      </c>
      <c r="Z18" s="28">
        <f>'Post-release Quality Average'!Y17/'PRQ Avg Normalised by size'!C18*1000</f>
        <v>1.9607843137254901</v>
      </c>
      <c r="AA18" s="28">
        <f>'Post-release Quality Average'!Z17/'PRQ Avg Normalised by size'!C18*1000</f>
        <v>0.98039215686274506</v>
      </c>
      <c r="AB18" s="28">
        <f>'Post-release Quality Average'!AA17/'PRQ Avg Normalised by size'!C18*1000</f>
        <v>0.19607843137254902</v>
      </c>
      <c r="AC18" s="30">
        <f>'Post-release Quality Average'!AB17/'PRQ Avg Normalised by size'!C18*1000</f>
        <v>0.19607843137254902</v>
      </c>
    </row>
    <row r="19" spans="2:29" x14ac:dyDescent="0.2">
      <c r="B19" s="32" t="s">
        <v>23</v>
      </c>
      <c r="C19" s="40">
        <v>5330</v>
      </c>
      <c r="D19" s="29">
        <f>'Post-release Quality Average'!C18/'PRQ Avg Normalised by size'!C19*1000</f>
        <v>5.6285178236397746</v>
      </c>
      <c r="E19" s="28">
        <f>'Post-release Quality Average'!D18/'PRQ Avg Normalised by size'!C19*1000</f>
        <v>6.7542213883677302</v>
      </c>
      <c r="F19" s="28">
        <f>'Post-release Quality Average'!E18/'PRQ Avg Normalised by size'!C19*1000</f>
        <v>7.5046904315197001</v>
      </c>
      <c r="G19" s="28">
        <f>'Post-release Quality Average'!F18/'PRQ Avg Normalised by size'!C19*1000</f>
        <v>7.6923076923076925</v>
      </c>
      <c r="H19" s="28">
        <f>'Post-release Quality Average'!G18/'PRQ Avg Normalised by size'!C19*1000</f>
        <v>8.2551594746716699</v>
      </c>
      <c r="I19" s="28">
        <f>'Post-release Quality Average'!H18/'PRQ Avg Normalised by size'!C19*1000</f>
        <v>8.6303939962476548</v>
      </c>
      <c r="J19" s="28">
        <f>'Post-release Quality Average'!I18/'PRQ Avg Normalised by size'!C19*1000</f>
        <v>9.0056285178236397</v>
      </c>
      <c r="K19" s="28">
        <f>'Post-release Quality Average'!J18/'PRQ Avg Normalised by size'!C19*1000</f>
        <v>9.5684803001876162</v>
      </c>
      <c r="L19" s="28">
        <f>'Post-release Quality Average'!K18/'PRQ Avg Normalised by size'!C19*1000</f>
        <v>9.7560975609756095</v>
      </c>
      <c r="M19" s="28">
        <f>'Post-release Quality Average'!L18/'PRQ Avg Normalised by size'!C19*1000</f>
        <v>9.7560975609756095</v>
      </c>
      <c r="N19" s="28">
        <f>'Post-release Quality Average'!M18/'PRQ Avg Normalised by size'!C19*1000</f>
        <v>9.9437148217636029</v>
      </c>
      <c r="O19" s="28">
        <f>'Post-release Quality Average'!N18/'PRQ Avg Normalised by size'!C19*1000</f>
        <v>9.9437148217636029</v>
      </c>
      <c r="P19" s="28">
        <f>'Post-release Quality Average'!O18/'PRQ Avg Normalised by size'!C19*1000</f>
        <v>9.9437148217636029</v>
      </c>
      <c r="Q19" s="29">
        <f>'Post-release Quality Average'!P18/'PRQ Avg Normalised by size'!C19*1000</f>
        <v>5.6285178236397746</v>
      </c>
      <c r="R19" s="28">
        <f>'Post-release Quality Average'!Q18/'PRQ Avg Normalised by size'!C19*1000</f>
        <v>6.0037523452157595</v>
      </c>
      <c r="S19" s="28">
        <f>'Post-release Quality Average'!R18/'PRQ Avg Normalised by size'!C19*1000</f>
        <v>5.2532833020637897</v>
      </c>
      <c r="T19" s="28">
        <f>'Post-release Quality Average'!S18/'PRQ Avg Normalised by size'!C19*1000</f>
        <v>4.3151969981238274</v>
      </c>
      <c r="U19" s="28">
        <f>'Post-release Quality Average'!T18/'PRQ Avg Normalised by size'!C19*1000</f>
        <v>3.3771106941838651</v>
      </c>
      <c r="V19" s="28">
        <f>'Post-release Quality Average'!U18/'PRQ Avg Normalised by size'!C19*1000</f>
        <v>2.8142589118198873</v>
      </c>
      <c r="W19" s="28">
        <f>'Post-release Quality Average'!V18/'PRQ Avg Normalised by size'!C19*1000</f>
        <v>1.876172607879925</v>
      </c>
      <c r="X19" s="28">
        <f>'Post-release Quality Average'!W18/'PRQ Avg Normalised by size'!C19*1000</f>
        <v>1.3133208255159474</v>
      </c>
      <c r="Y19" s="28">
        <f>'Post-release Quality Average'!X18/'PRQ Avg Normalised by size'!C19*1000</f>
        <v>0.18761726078799248</v>
      </c>
      <c r="Z19" s="28">
        <f>'Post-release Quality Average'!Y18/'PRQ Avg Normalised by size'!C19*1000</f>
        <v>0</v>
      </c>
      <c r="AA19" s="28">
        <f>'Post-release Quality Average'!Z18/'PRQ Avg Normalised by size'!C19*1000</f>
        <v>0.18761726078799248</v>
      </c>
      <c r="AB19" s="28">
        <f>'Post-release Quality Average'!AA18/'PRQ Avg Normalised by size'!C19*1000</f>
        <v>0</v>
      </c>
      <c r="AC19" s="30">
        <f>'Post-release Quality Average'!AB18/'PRQ Avg Normalised by size'!C19*1000</f>
        <v>0</v>
      </c>
    </row>
    <row r="20" spans="2:29" x14ac:dyDescent="0.2">
      <c r="B20" s="32" t="s">
        <v>24</v>
      </c>
      <c r="C20" s="40">
        <v>5455</v>
      </c>
      <c r="D20" s="29">
        <f>'Post-release Quality Average'!C19/'PRQ Avg Normalised by size'!C20*1000</f>
        <v>6.5994500458295144</v>
      </c>
      <c r="E20" s="28">
        <f>'Post-release Quality Average'!D19/'PRQ Avg Normalised by size'!C20*1000</f>
        <v>7.1494042163153066</v>
      </c>
      <c r="F20" s="28">
        <f>'Post-release Quality Average'!E19/'PRQ Avg Normalised by size'!C20*1000</f>
        <v>7.8826764436296974</v>
      </c>
      <c r="G20" s="28">
        <f>'Post-release Quality Average'!F19/'PRQ Avg Normalised by size'!C20*1000</f>
        <v>8.7992667277726859</v>
      </c>
      <c r="H20" s="28">
        <f>'Post-release Quality Average'!G19/'PRQ Avg Normalised by size'!C20*1000</f>
        <v>8.9825847846012827</v>
      </c>
      <c r="I20" s="28">
        <f>'Post-release Quality Average'!H19/'PRQ Avg Normalised by size'!C20*1000</f>
        <v>9.7158570119156735</v>
      </c>
      <c r="J20" s="28">
        <f>'Post-release Quality Average'!I19/'PRQ Avg Normalised by size'!C20*1000</f>
        <v>9.8991750687442721</v>
      </c>
      <c r="K20" s="28">
        <f>'Post-release Quality Average'!J19/'PRQ Avg Normalised by size'!C20*1000</f>
        <v>10.265811182401468</v>
      </c>
      <c r="L20" s="28">
        <f>'Post-release Quality Average'!K19/'PRQ Avg Normalised by size'!C20*1000</f>
        <v>10.449129239230064</v>
      </c>
      <c r="M20" s="28">
        <f>'Post-release Quality Average'!L19/'PRQ Avg Normalised by size'!C20*1000</f>
        <v>10.449129239230064</v>
      </c>
      <c r="N20" s="28">
        <f>'Post-release Quality Average'!M19/'PRQ Avg Normalised by size'!C20*1000</f>
        <v>10.632447296058661</v>
      </c>
      <c r="O20" s="28">
        <f>'Post-release Quality Average'!N19/'PRQ Avg Normalised by size'!C20*1000</f>
        <v>10.632447296058661</v>
      </c>
      <c r="P20" s="28">
        <f>'Post-release Quality Average'!O19/'PRQ Avg Normalised by size'!C20*1000</f>
        <v>10.632447296058661</v>
      </c>
      <c r="Q20" s="29">
        <f>'Post-release Quality Average'!P19/'PRQ Avg Normalised by size'!C20*1000</f>
        <v>6.5994500458295144</v>
      </c>
      <c r="R20" s="28">
        <f>'Post-release Quality Average'!Q19/'PRQ Avg Normalised by size'!C20*1000</f>
        <v>6.0494958753437214</v>
      </c>
      <c r="S20" s="28">
        <f>'Post-release Quality Average'!R19/'PRQ Avg Normalised by size'!C20*1000</f>
        <v>5.4995417048579283</v>
      </c>
      <c r="T20" s="28">
        <f>'Post-release Quality Average'!S19/'PRQ Avg Normalised by size'!C20*1000</f>
        <v>5.4995417048579283</v>
      </c>
      <c r="U20" s="28">
        <f>'Post-release Quality Average'!T19/'PRQ Avg Normalised by size'!C20*1000</f>
        <v>4.9495875343721361</v>
      </c>
      <c r="V20" s="28">
        <f>'Post-release Quality Average'!U19/'PRQ Avg Normalised by size'!C20*1000</f>
        <v>4.5829514207149407</v>
      </c>
      <c r="W20" s="28">
        <f>'Post-release Quality Average'!V19/'PRQ Avg Normalised by size'!C20*1000</f>
        <v>4.2163153070577453</v>
      </c>
      <c r="X20" s="28">
        <f>'Post-release Quality Average'!W19/'PRQ Avg Normalised by size'!C20*1000</f>
        <v>2.7497708524289641</v>
      </c>
      <c r="Y20" s="28">
        <f>'Post-release Quality Average'!X19/'PRQ Avg Normalised by size'!C20*1000</f>
        <v>1.0999083409715857</v>
      </c>
      <c r="Z20" s="28">
        <f>'Post-release Quality Average'!Y19/'PRQ Avg Normalised by size'!C20*1000</f>
        <v>0.18331805682859761</v>
      </c>
      <c r="AA20" s="28">
        <f>'Post-release Quality Average'!Z19/'PRQ Avg Normalised by size'!C20*1000</f>
        <v>0</v>
      </c>
      <c r="AB20" s="28">
        <f>'Post-release Quality Average'!AA19/'PRQ Avg Normalised by size'!C20*1000</f>
        <v>0</v>
      </c>
      <c r="AC20" s="30">
        <f>'Post-release Quality Average'!AB19/'PRQ Avg Normalised by size'!C20*1000</f>
        <v>0</v>
      </c>
    </row>
    <row r="21" spans="2:29" x14ac:dyDescent="0.2">
      <c r="B21" s="32" t="s">
        <v>25</v>
      </c>
      <c r="C21" s="40">
        <v>6200</v>
      </c>
      <c r="D21" s="29">
        <f>'Post-release Quality Average'!C20/'PRQ Avg Normalised by size'!C21*1000</f>
        <v>4.5161290322580649</v>
      </c>
      <c r="E21" s="28">
        <f>'Post-release Quality Average'!D20/'PRQ Avg Normalised by size'!C21*1000</f>
        <v>4.838709677419355</v>
      </c>
      <c r="F21" s="28">
        <f>'Post-release Quality Average'!E20/'PRQ Avg Normalised by size'!C21*1000</f>
        <v>5.32258064516129</v>
      </c>
      <c r="G21" s="28">
        <f>'Post-release Quality Average'!F20/'PRQ Avg Normalised by size'!C21*1000</f>
        <v>5.967741935483871</v>
      </c>
      <c r="H21" s="28">
        <f>'Post-release Quality Average'!G20/'PRQ Avg Normalised by size'!C21*1000</f>
        <v>6.4516129032258061</v>
      </c>
      <c r="I21" s="28">
        <f>'Post-release Quality Average'!H20/'PRQ Avg Normalised by size'!C21*1000</f>
        <v>6.935483870967742</v>
      </c>
      <c r="J21" s="28">
        <f>'Post-release Quality Average'!I20/'PRQ Avg Normalised by size'!C21*1000</f>
        <v>7.2580645161290329</v>
      </c>
      <c r="K21" s="28">
        <f>'Post-release Quality Average'!J20/'PRQ Avg Normalised by size'!C21*1000</f>
        <v>7.580645161290323</v>
      </c>
      <c r="L21" s="28">
        <f>'Post-release Quality Average'!K20/'PRQ Avg Normalised by size'!C21*1000</f>
        <v>7.741935483870968</v>
      </c>
      <c r="M21" s="28">
        <f>'Post-release Quality Average'!L20/'PRQ Avg Normalised by size'!C21*1000</f>
        <v>7.741935483870968</v>
      </c>
      <c r="N21" s="28">
        <f>'Post-release Quality Average'!M20/'PRQ Avg Normalised by size'!C21*1000</f>
        <v>7.9032258064516139</v>
      </c>
      <c r="O21" s="28">
        <f>'Post-release Quality Average'!N20/'PRQ Avg Normalised by size'!C21*1000</f>
        <v>7.9032258064516139</v>
      </c>
      <c r="P21" s="28">
        <f>'Post-release Quality Average'!O20/'PRQ Avg Normalised by size'!C21*1000</f>
        <v>7.9032258064516139</v>
      </c>
      <c r="Q21" s="29">
        <f>'Post-release Quality Average'!P20/'PRQ Avg Normalised by size'!C21*1000</f>
        <v>4.5161290322580649</v>
      </c>
      <c r="R21" s="28">
        <f>'Post-release Quality Average'!Q20/'PRQ Avg Normalised by size'!C21*1000</f>
        <v>3.5483870967741939</v>
      </c>
      <c r="S21" s="28">
        <f>'Post-release Quality Average'!R20/'PRQ Avg Normalised by size'!C21*1000</f>
        <v>3.3870967741935485</v>
      </c>
      <c r="T21" s="28">
        <f>'Post-release Quality Average'!S20/'PRQ Avg Normalised by size'!C21*1000</f>
        <v>3.3870967741935485</v>
      </c>
      <c r="U21" s="28">
        <f>'Post-release Quality Average'!T20/'PRQ Avg Normalised by size'!C21*1000</f>
        <v>3.064516129032258</v>
      </c>
      <c r="V21" s="28">
        <f>'Post-release Quality Average'!U20/'PRQ Avg Normalised by size'!C21*1000</f>
        <v>2.7419354838709675</v>
      </c>
      <c r="W21" s="28">
        <f>'Post-release Quality Average'!V20/'PRQ Avg Normalised by size'!C21*1000</f>
        <v>1.935483870967742</v>
      </c>
      <c r="X21" s="28">
        <f>'Post-release Quality Average'!W20/'PRQ Avg Normalised by size'!C21*1000</f>
        <v>0.967741935483871</v>
      </c>
      <c r="Y21" s="28">
        <f>'Post-release Quality Average'!X20/'PRQ Avg Normalised by size'!C21*1000</f>
        <v>0.4838709677419355</v>
      </c>
      <c r="Z21" s="28">
        <f>'Post-release Quality Average'!Y20/'PRQ Avg Normalised by size'!C21*1000</f>
        <v>0.32258064516129031</v>
      </c>
      <c r="AA21" s="28">
        <f>'Post-release Quality Average'!Z20/'PRQ Avg Normalised by size'!C21*1000</f>
        <v>0.16129032258064516</v>
      </c>
      <c r="AB21" s="28">
        <f>'Post-release Quality Average'!AA20/'PRQ Avg Normalised by size'!C21*1000</f>
        <v>0</v>
      </c>
      <c r="AC21" s="30">
        <f>'Post-release Quality Average'!AB20/'PRQ Avg Normalised by size'!C21*1000</f>
        <v>0</v>
      </c>
    </row>
    <row r="22" spans="2:29" x14ac:dyDescent="0.2">
      <c r="B22" s="32" t="s">
        <v>26</v>
      </c>
      <c r="C22" s="40">
        <v>7100</v>
      </c>
      <c r="D22" s="29">
        <f>'Post-release Quality Average'!C21/'PRQ Avg Normalised by size'!C22*1000</f>
        <v>4.507042253521127</v>
      </c>
      <c r="E22" s="28">
        <f>'Post-release Quality Average'!D21/'PRQ Avg Normalised by size'!C22*1000</f>
        <v>4.9295774647887329</v>
      </c>
      <c r="F22" s="28">
        <f>'Post-release Quality Average'!E21/'PRQ Avg Normalised by size'!C22*1000</f>
        <v>5.492957746478873</v>
      </c>
      <c r="G22" s="28">
        <f>'Post-release Quality Average'!F21/'PRQ Avg Normalised by size'!C22*1000</f>
        <v>6.197183098591549</v>
      </c>
      <c r="H22" s="28">
        <f>'Post-release Quality Average'!G21/'PRQ Avg Normalised by size'!C22*1000</f>
        <v>6.3380281690140849</v>
      </c>
      <c r="I22" s="28">
        <f>'Post-release Quality Average'!H21/'PRQ Avg Normalised by size'!C22*1000</f>
        <v>6.901408450704225</v>
      </c>
      <c r="J22" s="28">
        <f>'Post-release Quality Average'!I21/'PRQ Avg Normalised by size'!C22*1000</f>
        <v>7.042253521126761</v>
      </c>
      <c r="K22" s="28">
        <f>'Post-release Quality Average'!J21/'PRQ Avg Normalised by size'!C22*1000</f>
        <v>7.323943661971831</v>
      </c>
      <c r="L22" s="28">
        <f>'Post-release Quality Average'!K21/'PRQ Avg Normalised by size'!C22*1000</f>
        <v>7.4647887323943669</v>
      </c>
      <c r="M22" s="28">
        <f>'Post-release Quality Average'!L21/'PRQ Avg Normalised by size'!C22*1000</f>
        <v>7.4647887323943669</v>
      </c>
      <c r="N22" s="28">
        <f>'Post-release Quality Average'!M21/'PRQ Avg Normalised by size'!C22*1000</f>
        <v>7.605633802816901</v>
      </c>
      <c r="O22" s="28">
        <f>'Post-release Quality Average'!N21/'PRQ Avg Normalised by size'!C22*1000</f>
        <v>7.605633802816901</v>
      </c>
      <c r="P22" s="28">
        <f>'Post-release Quality Average'!O21/'PRQ Avg Normalised by size'!C22*1000</f>
        <v>7.605633802816901</v>
      </c>
      <c r="Q22" s="29">
        <f>'Post-release Quality Average'!P21/'PRQ Avg Normalised by size'!C22*1000</f>
        <v>4.507042253521127</v>
      </c>
      <c r="R22" s="28">
        <f>'Post-release Quality Average'!Q21/'PRQ Avg Normalised by size'!C22*1000</f>
        <v>4.084507042253521</v>
      </c>
      <c r="S22" s="28">
        <f>'Post-release Quality Average'!R21/'PRQ Avg Normalised by size'!C22*1000</f>
        <v>3.6619718309859155</v>
      </c>
      <c r="T22" s="28">
        <f>'Post-release Quality Average'!S21/'PRQ Avg Normalised by size'!C22*1000</f>
        <v>3.6619718309859155</v>
      </c>
      <c r="U22" s="28">
        <f>'Post-release Quality Average'!T21/'PRQ Avg Normalised by size'!C22*1000</f>
        <v>3.2394366197183095</v>
      </c>
      <c r="V22" s="28">
        <f>'Post-release Quality Average'!U21/'PRQ Avg Normalised by size'!C22*1000</f>
        <v>2.9577464788732395</v>
      </c>
      <c r="W22" s="28">
        <f>'Post-release Quality Average'!V21/'PRQ Avg Normalised by size'!C22*1000</f>
        <v>2.676056338028169</v>
      </c>
      <c r="X22" s="28">
        <f>'Post-release Quality Average'!W21/'PRQ Avg Normalised by size'!C22*1000</f>
        <v>1.8309859154929577</v>
      </c>
      <c r="Y22" s="28">
        <f>'Post-release Quality Average'!X21/'PRQ Avg Normalised by size'!C22*1000</f>
        <v>0.84507042253521136</v>
      </c>
      <c r="Z22" s="28">
        <f>'Post-release Quality Average'!Y21/'PRQ Avg Normalised by size'!C22*1000</f>
        <v>0.14084507042253522</v>
      </c>
      <c r="AA22" s="28">
        <f>'Post-release Quality Average'!Z21/'PRQ Avg Normalised by size'!C22*1000</f>
        <v>0</v>
      </c>
      <c r="AB22" s="28">
        <f>'Post-release Quality Average'!AA21/'PRQ Avg Normalised by size'!C22*1000</f>
        <v>0</v>
      </c>
      <c r="AC22" s="30">
        <f>'Post-release Quality Average'!AB21/'PRQ Avg Normalised by size'!C22*1000</f>
        <v>0</v>
      </c>
    </row>
    <row r="23" spans="2:29" x14ac:dyDescent="0.2">
      <c r="B23" s="32" t="s">
        <v>27</v>
      </c>
      <c r="C23" s="40">
        <v>4204</v>
      </c>
      <c r="D23" s="29">
        <f>'Post-release Quality Average'!C22/'PRQ Avg Normalised by size'!C23*1000</f>
        <v>5.7088487155090393</v>
      </c>
      <c r="E23" s="28">
        <f>'Post-release Quality Average'!D22/'PRQ Avg Normalised by size'!C23*1000</f>
        <v>6.1845861084681255</v>
      </c>
      <c r="F23" s="28">
        <f>'Post-release Quality Average'!E22/'PRQ Avg Normalised by size'!C23*1000</f>
        <v>6.8981921979067549</v>
      </c>
      <c r="G23" s="28">
        <f>'Post-release Quality Average'!F22/'PRQ Avg Normalised by size'!C23*1000</f>
        <v>7.8496669838249291</v>
      </c>
      <c r="H23" s="28">
        <f>'Post-release Quality Average'!G22/'PRQ Avg Normalised by size'!C23*1000</f>
        <v>8.5632730732635576</v>
      </c>
      <c r="I23" s="28">
        <f>'Post-release Quality Average'!H22/'PRQ Avg Normalised by size'!C23*1000</f>
        <v>9.2768791627021887</v>
      </c>
      <c r="J23" s="28">
        <f>'Post-release Quality Average'!I22/'PRQ Avg Normalised by size'!C23*1000</f>
        <v>9.7526165556612749</v>
      </c>
      <c r="K23" s="28">
        <f>'Post-release Quality Average'!J22/'PRQ Avg Normalised by size'!C23*1000</f>
        <v>10.228353948620361</v>
      </c>
      <c r="L23" s="28">
        <f>'Post-release Quality Average'!K22/'PRQ Avg Normalised by size'!C23*1000</f>
        <v>10.466222645099904</v>
      </c>
      <c r="M23" s="28">
        <f>'Post-release Quality Average'!L22/'PRQ Avg Normalised by size'!C23*1000</f>
        <v>10.466222645099904</v>
      </c>
      <c r="N23" s="28">
        <f>'Post-release Quality Average'!M22/'PRQ Avg Normalised by size'!C23*1000</f>
        <v>10.704091341579447</v>
      </c>
      <c r="O23" s="28">
        <f>'Post-release Quality Average'!N22/'PRQ Avg Normalised by size'!C23*1000</f>
        <v>10.704091341579447</v>
      </c>
      <c r="P23" s="28">
        <f>'Post-release Quality Average'!O22/'PRQ Avg Normalised by size'!C23*1000</f>
        <v>10.704091341579447</v>
      </c>
      <c r="Q23" s="29">
        <f>'Post-release Quality Average'!P22/'PRQ Avg Normalised by size'!C23*1000</f>
        <v>5.7088487155090393</v>
      </c>
      <c r="R23" s="28">
        <f>'Post-release Quality Average'!Q22/'PRQ Avg Normalised by size'!C23*1000</f>
        <v>4.2816365366317788</v>
      </c>
      <c r="S23" s="28">
        <f>'Post-release Quality Average'!R22/'PRQ Avg Normalised by size'!C23*1000</f>
        <v>4.0437678401522366</v>
      </c>
      <c r="T23" s="28">
        <f>'Post-release Quality Average'!S22/'PRQ Avg Normalised by size'!C23*1000</f>
        <v>4.0437678401522366</v>
      </c>
      <c r="U23" s="28">
        <f>'Post-release Quality Average'!T22/'PRQ Avg Normalised by size'!C23*1000</f>
        <v>3.5680304471931494</v>
      </c>
      <c r="V23" s="28">
        <f>'Post-release Quality Average'!U22/'PRQ Avg Normalised by size'!C23*1000</f>
        <v>3.0922930542340628</v>
      </c>
      <c r="W23" s="28">
        <f>'Post-release Quality Average'!V22/'PRQ Avg Normalised by size'!C23*1000</f>
        <v>1.9029495718363465</v>
      </c>
      <c r="X23" s="28">
        <f>'Post-release Quality Average'!W22/'PRQ Avg Normalised by size'!C23*1000</f>
        <v>0.95147478591817325</v>
      </c>
      <c r="Y23" s="28">
        <f>'Post-release Quality Average'!X22/'PRQ Avg Normalised by size'!C23*1000</f>
        <v>0.71360608943862991</v>
      </c>
      <c r="Z23" s="28">
        <f>'Post-release Quality Average'!Y22/'PRQ Avg Normalised by size'!C23*1000</f>
        <v>0.47573739295908662</v>
      </c>
      <c r="AA23" s="28">
        <f>'Post-release Quality Average'!Z22/'PRQ Avg Normalised by size'!C23*1000</f>
        <v>0.23786869647954331</v>
      </c>
      <c r="AB23" s="28">
        <f>'Post-release Quality Average'!AA22/'PRQ Avg Normalised by size'!C23*1000</f>
        <v>0</v>
      </c>
      <c r="AC23" s="30">
        <f>'Post-release Quality Average'!AB22/'PRQ Avg Normalised by size'!C23*1000</f>
        <v>0</v>
      </c>
    </row>
    <row r="24" spans="2:29" x14ac:dyDescent="0.2">
      <c r="B24" s="32" t="s">
        <v>28</v>
      </c>
      <c r="C24" s="40">
        <v>3200</v>
      </c>
      <c r="D24" s="29">
        <f>'Post-release Quality Average'!C23/'PRQ Avg Normalised by size'!C24*1000</f>
        <v>15</v>
      </c>
      <c r="E24" s="28">
        <f>'Post-release Quality Average'!D23/'PRQ Avg Normalised by size'!C24*1000</f>
        <v>17.1875</v>
      </c>
      <c r="F24" s="28">
        <f>'Post-release Quality Average'!E23/'PRQ Avg Normalised by size'!C24*1000</f>
        <v>21.5625</v>
      </c>
      <c r="G24" s="28">
        <f>'Post-release Quality Average'!F23/'PRQ Avg Normalised by size'!C24*1000</f>
        <v>24.6875</v>
      </c>
      <c r="H24" s="28">
        <f>'Post-release Quality Average'!G23/'PRQ Avg Normalised by size'!C24*1000</f>
        <v>26.25</v>
      </c>
      <c r="I24" s="28">
        <f>'Post-release Quality Average'!H23/'PRQ Avg Normalised by size'!C24*1000</f>
        <v>26.875</v>
      </c>
      <c r="J24" s="28">
        <f>'Post-release Quality Average'!I23/'PRQ Avg Normalised by size'!C24*1000</f>
        <v>27.1875</v>
      </c>
      <c r="K24" s="28">
        <f>'Post-release Quality Average'!J23/'PRQ Avg Normalised by size'!C24*1000</f>
        <v>27.8125</v>
      </c>
      <c r="L24" s="28">
        <f>'Post-release Quality Average'!K23/'PRQ Avg Normalised by size'!C24*1000</f>
        <v>28.125</v>
      </c>
      <c r="M24" s="28">
        <f>'Post-release Quality Average'!L23/'PRQ Avg Normalised by size'!C24*1000</f>
        <v>28.125</v>
      </c>
      <c r="N24" s="28">
        <f>'Post-release Quality Average'!M23/'PRQ Avg Normalised by size'!C24*1000</f>
        <v>28.125</v>
      </c>
      <c r="O24" s="28">
        <f>'Post-release Quality Average'!N23/'PRQ Avg Normalised by size'!C24*1000</f>
        <v>28.125</v>
      </c>
      <c r="P24" s="28">
        <f>'Post-release Quality Average'!O23/'PRQ Avg Normalised by size'!C24*1000</f>
        <v>28.125</v>
      </c>
      <c r="Q24" s="29">
        <f>'Post-release Quality Average'!P23/'PRQ Avg Normalised by size'!C24*1000</f>
        <v>15</v>
      </c>
      <c r="R24" s="28">
        <f>'Post-release Quality Average'!Q23/'PRQ Avg Normalised by size'!C24*1000</f>
        <v>15.625</v>
      </c>
      <c r="S24" s="28">
        <f>'Post-release Quality Average'!R23/'PRQ Avg Normalised by size'!C24*1000</f>
        <v>17.8125</v>
      </c>
      <c r="T24" s="28">
        <f>'Post-release Quality Average'!S23/'PRQ Avg Normalised by size'!C24*1000</f>
        <v>19.0625</v>
      </c>
      <c r="U24" s="28">
        <f>'Post-release Quality Average'!T23/'PRQ Avg Normalised by size'!C24*1000</f>
        <v>18.75</v>
      </c>
      <c r="V24" s="28">
        <f>'Post-release Quality Average'!U23/'PRQ Avg Normalised by size'!C24*1000</f>
        <v>17.1875</v>
      </c>
      <c r="W24" s="28">
        <f>'Post-release Quality Average'!V23/'PRQ Avg Normalised by size'!C24*1000</f>
        <v>15.9375</v>
      </c>
      <c r="X24" s="28">
        <f>'Post-release Quality Average'!W23/'PRQ Avg Normalised by size'!C24*1000</f>
        <v>14.0625</v>
      </c>
      <c r="Y24" s="28">
        <f>'Post-release Quality Average'!X23/'PRQ Avg Normalised by size'!C24*1000</f>
        <v>10.625</v>
      </c>
      <c r="Z24" s="28">
        <f>'Post-release Quality Average'!Y23/'PRQ Avg Normalised by size'!C24*1000</f>
        <v>9.0625</v>
      </c>
      <c r="AA24" s="28">
        <f>'Post-release Quality Average'!Z23/'PRQ Avg Normalised by size'!C24*1000</f>
        <v>6.5625</v>
      </c>
      <c r="AB24" s="28">
        <f>'Post-release Quality Average'!AA23/'PRQ Avg Normalised by size'!C24*1000</f>
        <v>5</v>
      </c>
      <c r="AC24" s="30">
        <f>'Post-release Quality Average'!AB23/'PRQ Avg Normalised by size'!C24*1000</f>
        <v>5</v>
      </c>
    </row>
    <row r="25" spans="2:29" x14ac:dyDescent="0.2">
      <c r="B25" s="32" t="s">
        <v>29</v>
      </c>
      <c r="C25" s="40">
        <v>5020</v>
      </c>
      <c r="D25" s="29">
        <f>'Post-release Quality Average'!C24/'PRQ Avg Normalised by size'!C25*1000</f>
        <v>7.9681274900398407</v>
      </c>
      <c r="E25" s="28">
        <f>'Post-release Quality Average'!D24/'PRQ Avg Normalised by size'!C25*1000</f>
        <v>9.9601593625498008</v>
      </c>
      <c r="F25" s="28">
        <f>'Post-release Quality Average'!E24/'PRQ Avg Normalised by size'!C25*1000</f>
        <v>13.147410358565738</v>
      </c>
      <c r="G25" s="28">
        <f>'Post-release Quality Average'!F24/'PRQ Avg Normalised by size'!C25*1000</f>
        <v>14.741035856573706</v>
      </c>
      <c r="H25" s="28">
        <f>'Post-release Quality Average'!G24/'PRQ Avg Normalised by size'!C25*1000</f>
        <v>15.737051792828687</v>
      </c>
      <c r="I25" s="28">
        <f>'Post-release Quality Average'!H24/'PRQ Avg Normalised by size'!C25*1000</f>
        <v>15.936254980079681</v>
      </c>
      <c r="J25" s="28">
        <f>'Post-release Quality Average'!I24/'PRQ Avg Normalised by size'!C25*1000</f>
        <v>17.131474103585656</v>
      </c>
      <c r="K25" s="28">
        <f>'Post-release Quality Average'!J24/'PRQ Avg Normalised by size'!C25*1000</f>
        <v>17.729083665338646</v>
      </c>
      <c r="L25" s="28">
        <f>'Post-release Quality Average'!K24/'PRQ Avg Normalised by size'!C25*1000</f>
        <v>17.928286852589643</v>
      </c>
      <c r="M25" s="28">
        <f>'Post-release Quality Average'!L24/'PRQ Avg Normalised by size'!C25*1000</f>
        <v>17.928286852589643</v>
      </c>
      <c r="N25" s="28">
        <f>'Post-release Quality Average'!M24/'PRQ Avg Normalised by size'!C25*1000</f>
        <v>18.127490039840637</v>
      </c>
      <c r="O25" s="28">
        <f>'Post-release Quality Average'!N24/'PRQ Avg Normalised by size'!C25*1000</f>
        <v>18.127490039840637</v>
      </c>
      <c r="P25" s="28">
        <f>'Post-release Quality Average'!O24/'PRQ Avg Normalised by size'!C25*1000</f>
        <v>18.127490039840637</v>
      </c>
      <c r="Q25" s="29">
        <f>'Post-release Quality Average'!P24/'PRQ Avg Normalised by size'!C25*1000</f>
        <v>7.9681274900398407</v>
      </c>
      <c r="R25" s="28">
        <f>'Post-release Quality Average'!Q24/'PRQ Avg Normalised by size'!C25*1000</f>
        <v>9.1633466135458157</v>
      </c>
      <c r="S25" s="28">
        <f>'Post-release Quality Average'!R24/'PRQ Avg Normalised by size'!C25*1000</f>
        <v>10.159362549800797</v>
      </c>
      <c r="T25" s="28">
        <f>'Post-release Quality Average'!S24/'PRQ Avg Normalised by size'!C25*1000</f>
        <v>10.756972111553786</v>
      </c>
      <c r="U25" s="28">
        <f>'Post-release Quality Average'!T24/'PRQ Avg Normalised by size'!C25*1000</f>
        <v>10.956175298804782</v>
      </c>
      <c r="V25" s="28">
        <f>'Post-release Quality Average'!U24/'PRQ Avg Normalised by size'!C25*1000</f>
        <v>9.9601593625498008</v>
      </c>
      <c r="W25" s="28">
        <f>'Post-release Quality Average'!V24/'PRQ Avg Normalised by size'!C25*1000</f>
        <v>10.358565737051793</v>
      </c>
      <c r="X25" s="28">
        <f>'Post-release Quality Average'!W24/'PRQ Avg Normalised by size'!C25*1000</f>
        <v>9.760956175298805</v>
      </c>
      <c r="Y25" s="28">
        <f>'Post-release Quality Average'!X24/'PRQ Avg Normalised by size'!C25*1000</f>
        <v>8.7649402390438258</v>
      </c>
      <c r="Z25" s="28">
        <f>'Post-release Quality Average'!Y24/'PRQ Avg Normalised by size'!C25*1000</f>
        <v>8.1673306772908365</v>
      </c>
      <c r="AA25" s="28">
        <f>'Post-release Quality Average'!Z24/'PRQ Avg Normalised by size'!C25*1000</f>
        <v>7.3705179282868531</v>
      </c>
      <c r="AB25" s="28">
        <f>'Post-release Quality Average'!AA24/'PRQ Avg Normalised by size'!C25*1000</f>
        <v>5.5776892430278888</v>
      </c>
      <c r="AC25" s="30">
        <f>'Post-release Quality Average'!AB24/'PRQ Avg Normalised by size'!C25*1000</f>
        <v>5.5776892430278888</v>
      </c>
    </row>
    <row r="26" spans="2:29" x14ac:dyDescent="0.2">
      <c r="B26" s="32" t="s">
        <v>30</v>
      </c>
      <c r="C26" s="40">
        <v>5500</v>
      </c>
      <c r="D26" s="29">
        <f>'Post-release Quality Average'!C25/'PRQ Avg Normalised by size'!C26*1000</f>
        <v>5.454545454545455</v>
      </c>
      <c r="E26" s="28">
        <f>'Post-release Quality Average'!D25/'PRQ Avg Normalised by size'!C26*1000</f>
        <v>6.3636363636363642</v>
      </c>
      <c r="F26" s="28">
        <f>'Post-release Quality Average'!E25/'PRQ Avg Normalised by size'!C26*1000</f>
        <v>8.7272727272727284</v>
      </c>
      <c r="G26" s="28">
        <f>'Post-release Quality Average'!F25/'PRQ Avg Normalised by size'!C26*1000</f>
        <v>11.272727272727273</v>
      </c>
      <c r="H26" s="28">
        <f>'Post-release Quality Average'!G25/'PRQ Avg Normalised by size'!C26*1000</f>
        <v>12.727272727272728</v>
      </c>
      <c r="I26" s="28">
        <f>'Post-release Quality Average'!H25/'PRQ Avg Normalised by size'!C26*1000</f>
        <v>13.818181818181818</v>
      </c>
      <c r="J26" s="28">
        <f>'Post-release Quality Average'!I25/'PRQ Avg Normalised by size'!C26*1000</f>
        <v>14.181818181818183</v>
      </c>
      <c r="K26" s="28">
        <f>'Post-release Quality Average'!J25/'PRQ Avg Normalised by size'!C26*1000</f>
        <v>14.363636363636363</v>
      </c>
      <c r="L26" s="28">
        <f>'Post-release Quality Average'!K25/'PRQ Avg Normalised by size'!C26*1000</f>
        <v>14.545454545454545</v>
      </c>
      <c r="M26" s="28">
        <f>'Post-release Quality Average'!L25/'PRQ Avg Normalised by size'!C26*1000</f>
        <v>14.545454545454545</v>
      </c>
      <c r="N26" s="28">
        <f>'Post-release Quality Average'!M25/'PRQ Avg Normalised by size'!C26*1000</f>
        <v>14.727272727272728</v>
      </c>
      <c r="O26" s="28">
        <f>'Post-release Quality Average'!N25/'PRQ Avg Normalised by size'!C26*1000</f>
        <v>14.727272727272728</v>
      </c>
      <c r="P26" s="28">
        <f>'Post-release Quality Average'!O25/'PRQ Avg Normalised by size'!C26*1000</f>
        <v>14.909090909090908</v>
      </c>
      <c r="Q26" s="29">
        <f>'Post-release Quality Average'!P25/'PRQ Avg Normalised by size'!C26*1000</f>
        <v>5.454545454545455</v>
      </c>
      <c r="R26" s="28">
        <f>'Post-release Quality Average'!Q25/'PRQ Avg Normalised by size'!C26*1000</f>
        <v>5.2727272727272725</v>
      </c>
      <c r="S26" s="28">
        <f>'Post-release Quality Average'!R25/'PRQ Avg Normalised by size'!C26*1000</f>
        <v>6.1818181818181817</v>
      </c>
      <c r="T26" s="28">
        <f>'Post-release Quality Average'!S25/'PRQ Avg Normalised by size'!C26*1000</f>
        <v>7.4545454545454541</v>
      </c>
      <c r="U26" s="28">
        <f>'Post-release Quality Average'!T25/'PRQ Avg Normalised by size'!C26*1000</f>
        <v>7.6363636363636367</v>
      </c>
      <c r="V26" s="28">
        <f>'Post-release Quality Average'!U25/'PRQ Avg Normalised by size'!C26*1000</f>
        <v>7.6363636363636367</v>
      </c>
      <c r="W26" s="28">
        <f>'Post-release Quality Average'!V25/'PRQ Avg Normalised by size'!C26*1000</f>
        <v>7.4545454545454541</v>
      </c>
      <c r="X26" s="28">
        <f>'Post-release Quality Average'!W25/'PRQ Avg Normalised by size'!C26*1000</f>
        <v>5.8181818181818175</v>
      </c>
      <c r="Y26" s="28">
        <f>'Post-release Quality Average'!X25/'PRQ Avg Normalised by size'!C26*1000</f>
        <v>3.8181818181818183</v>
      </c>
      <c r="Z26" s="28">
        <f>'Post-release Quality Average'!Y25/'PRQ Avg Normalised by size'!C26*1000</f>
        <v>2.9090909090909087</v>
      </c>
      <c r="AA26" s="28">
        <f>'Post-release Quality Average'!Z25/'PRQ Avg Normalised by size'!C26*1000</f>
        <v>2</v>
      </c>
      <c r="AB26" s="28">
        <f>'Post-release Quality Average'!AA25/'PRQ Avg Normalised by size'!C26*1000</f>
        <v>1.2727272727272727</v>
      </c>
      <c r="AC26" s="30">
        <f>'Post-release Quality Average'!AB25/'PRQ Avg Normalised by size'!C26*1000</f>
        <v>1.4545454545454544</v>
      </c>
    </row>
    <row r="27" spans="2:29" x14ac:dyDescent="0.2">
      <c r="B27" s="32" t="s">
        <v>31</v>
      </c>
      <c r="C27" s="40">
        <v>4500</v>
      </c>
      <c r="D27" s="29">
        <f>'Post-release Quality Average'!C26/'PRQ Avg Normalised by size'!C27*1000</f>
        <v>7.333333333333333</v>
      </c>
      <c r="E27" s="28">
        <f>'Post-release Quality Average'!D26/'PRQ Avg Normalised by size'!C27*1000</f>
        <v>8.2222222222222232</v>
      </c>
      <c r="F27" s="28">
        <f>'Post-release Quality Average'!E26/'PRQ Avg Normalised by size'!C27*1000</f>
        <v>10.888888888888889</v>
      </c>
      <c r="G27" s="28">
        <f>'Post-release Quality Average'!F26/'PRQ Avg Normalised by size'!C27*1000</f>
        <v>12.888888888888889</v>
      </c>
      <c r="H27" s="28">
        <f>'Post-release Quality Average'!G26/'PRQ Avg Normalised by size'!C27*1000</f>
        <v>13.555555555555555</v>
      </c>
      <c r="I27" s="28">
        <f>'Post-release Quality Average'!H26/'PRQ Avg Normalised by size'!C27*1000</f>
        <v>14</v>
      </c>
      <c r="J27" s="28">
        <f>'Post-release Quality Average'!I26/'PRQ Avg Normalised by size'!C27*1000</f>
        <v>14.222222222222223</v>
      </c>
      <c r="K27" s="28">
        <f>'Post-release Quality Average'!J26/'PRQ Avg Normalised by size'!C27*1000</f>
        <v>14.888888888888889</v>
      </c>
      <c r="L27" s="28">
        <f>'Post-release Quality Average'!K26/'PRQ Avg Normalised by size'!C27*1000</f>
        <v>14.888888888888889</v>
      </c>
      <c r="M27" s="28">
        <f>'Post-release Quality Average'!L26/'PRQ Avg Normalised by size'!C27*1000</f>
        <v>14.888888888888889</v>
      </c>
      <c r="N27" s="28">
        <f>'Post-release Quality Average'!M26/'PRQ Avg Normalised by size'!C27*1000</f>
        <v>15.111111111111112</v>
      </c>
      <c r="O27" s="28">
        <f>'Post-release Quality Average'!N26/'PRQ Avg Normalised by size'!C27*1000</f>
        <v>15.555555555555555</v>
      </c>
      <c r="P27" s="28">
        <f>'Post-release Quality Average'!O26/'PRQ Avg Normalised by size'!C27*1000</f>
        <v>15.777777777777779</v>
      </c>
      <c r="Q27" s="29">
        <f>'Post-release Quality Average'!P26/'PRQ Avg Normalised by size'!C27*1000</f>
        <v>7.333333333333333</v>
      </c>
      <c r="R27" s="28">
        <f>'Post-release Quality Average'!Q26/'PRQ Avg Normalised by size'!C27*1000</f>
        <v>6.4444444444444446</v>
      </c>
      <c r="S27" s="28">
        <f>'Post-release Quality Average'!R26/'PRQ Avg Normalised by size'!C27*1000</f>
        <v>7.333333333333333</v>
      </c>
      <c r="T27" s="28">
        <f>'Post-release Quality Average'!S26/'PRQ Avg Normalised by size'!C27*1000</f>
        <v>8</v>
      </c>
      <c r="U27" s="28">
        <f>'Post-release Quality Average'!T26/'PRQ Avg Normalised by size'!C27*1000</f>
        <v>7.5555555555555562</v>
      </c>
      <c r="V27" s="28">
        <f>'Post-release Quality Average'!U26/'PRQ Avg Normalised by size'!C27*1000</f>
        <v>6.4444444444444446</v>
      </c>
      <c r="W27" s="28">
        <f>'Post-release Quality Average'!V26/'PRQ Avg Normalised by size'!C27*1000</f>
        <v>5.1111111111111116</v>
      </c>
      <c r="X27" s="28">
        <f>'Post-release Quality Average'!W26/'PRQ Avg Normalised by size'!C27*1000</f>
        <v>5.333333333333333</v>
      </c>
      <c r="Y27" s="28">
        <f>'Post-release Quality Average'!X26/'PRQ Avg Normalised by size'!C27*1000</f>
        <v>3.7777777777777781</v>
      </c>
      <c r="Z27" s="28">
        <f>'Post-release Quality Average'!Y26/'PRQ Avg Normalised by size'!C27*1000</f>
        <v>2.4444444444444442</v>
      </c>
      <c r="AA27" s="28">
        <f>'Post-release Quality Average'!Z26/'PRQ Avg Normalised by size'!C27*1000</f>
        <v>1.1111111111111112</v>
      </c>
      <c r="AB27" s="28">
        <f>'Post-release Quality Average'!AA26/'PRQ Avg Normalised by size'!C27*1000</f>
        <v>1.3333333333333333</v>
      </c>
      <c r="AC27" s="30">
        <f>'Post-release Quality Average'!AB26/'PRQ Avg Normalised by size'!C27*1000</f>
        <v>1.5555555555555554</v>
      </c>
    </row>
    <row r="28" spans="2:29" x14ac:dyDescent="0.2">
      <c r="B28" s="32" t="s">
        <v>32</v>
      </c>
      <c r="C28" s="40">
        <v>5600</v>
      </c>
      <c r="D28" s="29">
        <f>'Post-release Quality Average'!C27/'PRQ Avg Normalised by size'!C28*1000</f>
        <v>8.0357142857142847</v>
      </c>
      <c r="E28" s="28">
        <f>'Post-release Quality Average'!D27/'PRQ Avg Normalised by size'!C28*1000</f>
        <v>9.2857142857142865</v>
      </c>
      <c r="F28" s="28">
        <f>'Post-release Quality Average'!E27/'PRQ Avg Normalised by size'!C28*1000</f>
        <v>11.785714285714286</v>
      </c>
      <c r="G28" s="28">
        <f>'Post-release Quality Average'!F27/'PRQ Avg Normalised by size'!C28*1000</f>
        <v>13.571428571428571</v>
      </c>
      <c r="H28" s="28">
        <f>'Post-release Quality Average'!G27/'PRQ Avg Normalised by size'!C28*1000</f>
        <v>14.464285714285714</v>
      </c>
      <c r="I28" s="28">
        <f>'Post-release Quality Average'!H27/'PRQ Avg Normalised by size'!C28*1000</f>
        <v>14.821428571428573</v>
      </c>
      <c r="J28" s="28">
        <f>'Post-release Quality Average'!I27/'PRQ Avg Normalised by size'!C28*1000</f>
        <v>15</v>
      </c>
      <c r="K28" s="28">
        <f>'Post-release Quality Average'!J27/'PRQ Avg Normalised by size'!C28*1000</f>
        <v>15.357142857142858</v>
      </c>
      <c r="L28" s="28">
        <f>'Post-release Quality Average'!K27/'PRQ Avg Normalised by size'!C28*1000</f>
        <v>15.535714285714286</v>
      </c>
      <c r="M28" s="28">
        <f>'Post-release Quality Average'!L27/'PRQ Avg Normalised by size'!C28*1000</f>
        <v>15.535714285714286</v>
      </c>
      <c r="N28" s="28">
        <f>'Post-release Quality Average'!M27/'PRQ Avg Normalised by size'!C28*1000</f>
        <v>15.535714285714286</v>
      </c>
      <c r="O28" s="28">
        <f>'Post-release Quality Average'!N27/'PRQ Avg Normalised by size'!C28*1000</f>
        <v>15.535714285714286</v>
      </c>
      <c r="P28" s="28">
        <f>'Post-release Quality Average'!O27/'PRQ Avg Normalised by size'!C28*1000</f>
        <v>15.535714285714286</v>
      </c>
      <c r="Q28" s="29">
        <f>'Post-release Quality Average'!P27/'PRQ Avg Normalised by size'!C28*1000</f>
        <v>8.0357142857142847</v>
      </c>
      <c r="R28" s="28">
        <f>'Post-release Quality Average'!Q27/'PRQ Avg Normalised by size'!C28*1000</f>
        <v>8.3928571428571423</v>
      </c>
      <c r="S28" s="28">
        <f>'Post-release Quality Average'!R27/'PRQ Avg Normalised by size'!C28*1000</f>
        <v>9.6428571428571423</v>
      </c>
      <c r="T28" s="28">
        <f>'Post-release Quality Average'!S27/'PRQ Avg Normalised by size'!C28*1000</f>
        <v>10.357142857142856</v>
      </c>
      <c r="U28" s="28">
        <f>'Post-release Quality Average'!T27/'PRQ Avg Normalised by size'!C28*1000</f>
        <v>10.178571428571429</v>
      </c>
      <c r="V28" s="28">
        <f>'Post-release Quality Average'!U27/'PRQ Avg Normalised by size'!C28*1000</f>
        <v>9.2857142857142865</v>
      </c>
      <c r="W28" s="28">
        <f>'Post-release Quality Average'!V27/'PRQ Avg Normalised by size'!C28*1000</f>
        <v>8.5714285714285712</v>
      </c>
      <c r="X28" s="28">
        <f>'Post-release Quality Average'!W27/'PRQ Avg Normalised by size'!C28*1000</f>
        <v>7.5</v>
      </c>
      <c r="Y28" s="28">
        <f>'Post-release Quality Average'!X27/'PRQ Avg Normalised by size'!C28*1000</f>
        <v>5.5357142857142856</v>
      </c>
      <c r="Z28" s="28">
        <f>'Post-release Quality Average'!Y27/'PRQ Avg Normalised by size'!C28*1000</f>
        <v>4.6428571428571432</v>
      </c>
      <c r="AA28" s="28">
        <f>'Post-release Quality Average'!Z27/'PRQ Avg Normalised by size'!C28*1000</f>
        <v>3.5714285714285712</v>
      </c>
      <c r="AB28" s="28">
        <f>'Post-release Quality Average'!AA27/'PRQ Avg Normalised by size'!C28*1000</f>
        <v>2.6785714285714284</v>
      </c>
      <c r="AC28" s="30">
        <f>'Post-release Quality Average'!AB27/'PRQ Avg Normalised by size'!C28*1000</f>
        <v>2.6785714285714284</v>
      </c>
    </row>
    <row r="29" spans="2:29" x14ac:dyDescent="0.2">
      <c r="B29" s="32" t="s">
        <v>33</v>
      </c>
      <c r="C29" s="40">
        <v>5600</v>
      </c>
      <c r="D29" s="29">
        <f>'Post-release Quality Average'!C28/'PRQ Avg Normalised by size'!C29*1000</f>
        <v>8.2142857142857135</v>
      </c>
      <c r="E29" s="28">
        <f>'Post-release Quality Average'!D28/'PRQ Avg Normalised by size'!C29*1000</f>
        <v>10</v>
      </c>
      <c r="F29" s="28">
        <f>'Post-release Quality Average'!E28/'PRQ Avg Normalised by size'!C29*1000</f>
        <v>12.857142857142858</v>
      </c>
      <c r="G29" s="28">
        <f>'Post-release Quality Average'!F28/'PRQ Avg Normalised by size'!C29*1000</f>
        <v>14.285714285714285</v>
      </c>
      <c r="H29" s="28">
        <f>'Post-release Quality Average'!G28/'PRQ Avg Normalised by size'!C29*1000</f>
        <v>15.178571428571429</v>
      </c>
      <c r="I29" s="28">
        <f>'Post-release Quality Average'!H28/'PRQ Avg Normalised by size'!C29*1000</f>
        <v>15.357142857142858</v>
      </c>
      <c r="J29" s="28">
        <f>'Post-release Quality Average'!I28/'PRQ Avg Normalised by size'!C29*1000</f>
        <v>16.428571428571427</v>
      </c>
      <c r="K29" s="28">
        <f>'Post-release Quality Average'!J28/'PRQ Avg Normalised by size'!C29*1000</f>
        <v>16.964285714285712</v>
      </c>
      <c r="L29" s="28">
        <f>'Post-release Quality Average'!K28/'PRQ Avg Normalised by size'!C29*1000</f>
        <v>17.142857142857142</v>
      </c>
      <c r="M29" s="28">
        <f>'Post-release Quality Average'!L28/'PRQ Avg Normalised by size'!C29*1000</f>
        <v>17.142857142857142</v>
      </c>
      <c r="N29" s="28">
        <f>'Post-release Quality Average'!M28/'PRQ Avg Normalised by size'!C29*1000</f>
        <v>17.321428571428569</v>
      </c>
      <c r="O29" s="28">
        <f>'Post-release Quality Average'!N28/'PRQ Avg Normalised by size'!C29*1000</f>
        <v>17.321428571428569</v>
      </c>
      <c r="P29" s="28">
        <f>'Post-release Quality Average'!O28/'PRQ Avg Normalised by size'!C29*1000</f>
        <v>17.321428571428569</v>
      </c>
      <c r="Q29" s="29">
        <f>'Post-release Quality Average'!P28/'PRQ Avg Normalised by size'!C29*1000</f>
        <v>8.2142857142857135</v>
      </c>
      <c r="R29" s="28">
        <f>'Post-release Quality Average'!Q28/'PRQ Avg Normalised by size'!C29*1000</f>
        <v>9.2857142857142865</v>
      </c>
      <c r="S29" s="28">
        <f>'Post-release Quality Average'!R28/'PRQ Avg Normalised by size'!C29*1000</f>
        <v>10.178571428571429</v>
      </c>
      <c r="T29" s="28">
        <f>'Post-release Quality Average'!S28/'PRQ Avg Normalised by size'!C29*1000</f>
        <v>10.714285714285714</v>
      </c>
      <c r="U29" s="28">
        <f>'Post-release Quality Average'!T28/'PRQ Avg Normalised by size'!C29*1000</f>
        <v>10.178571428571429</v>
      </c>
      <c r="V29" s="28">
        <f>'Post-release Quality Average'!U28/'PRQ Avg Normalised by size'!C29*1000</f>
        <v>9.2857142857142865</v>
      </c>
      <c r="W29" s="28">
        <f>'Post-release Quality Average'!V28/'PRQ Avg Normalised by size'!C29*1000</f>
        <v>9.6428571428571423</v>
      </c>
      <c r="X29" s="28">
        <f>'Post-release Quality Average'!W28/'PRQ Avg Normalised by size'!C29*1000</f>
        <v>9.1071428571428577</v>
      </c>
      <c r="Y29" s="28">
        <f>'Post-release Quality Average'!X28/'PRQ Avg Normalised by size'!C29*1000</f>
        <v>7.8571428571428577</v>
      </c>
      <c r="Z29" s="28">
        <f>'Post-release Quality Average'!Y28/'PRQ Avg Normalised by size'!C29*1000</f>
        <v>7.3214285714285712</v>
      </c>
      <c r="AA29" s="28">
        <f>'Post-release Quality Average'!Z28/'PRQ Avg Normalised by size'!C29*1000</f>
        <v>6.6071428571428577</v>
      </c>
      <c r="AB29" s="28">
        <f>'Post-release Quality Average'!AA28/'PRQ Avg Normalised by size'!C29*1000</f>
        <v>5</v>
      </c>
      <c r="AC29" s="30">
        <f>'Post-release Quality Average'!AB28/'PRQ Avg Normalised by size'!C29*1000</f>
        <v>5</v>
      </c>
    </row>
    <row r="30" spans="2:29" x14ac:dyDescent="0.2">
      <c r="B30" s="32" t="s">
        <v>34</v>
      </c>
      <c r="C30" s="40">
        <v>6100</v>
      </c>
      <c r="D30" s="29">
        <f>'Post-release Quality Average'!C29/'PRQ Avg Normalised by size'!C30*1000</f>
        <v>9.8360655737704921</v>
      </c>
      <c r="E30" s="28">
        <f>'Post-release Quality Average'!D29/'PRQ Avg Normalised by size'!C30*1000</f>
        <v>12.295081967213115</v>
      </c>
      <c r="F30" s="28">
        <f>'Post-release Quality Average'!E29/'PRQ Avg Normalised by size'!C30*1000</f>
        <v>14.426229508196721</v>
      </c>
      <c r="G30" s="28">
        <f>'Post-release Quality Average'!F29/'PRQ Avg Normalised by size'!C30*1000</f>
        <v>16.721311475409834</v>
      </c>
      <c r="H30" s="28">
        <f>'Post-release Quality Average'!G29/'PRQ Avg Normalised by size'!C30*1000</f>
        <v>18.032786885245901</v>
      </c>
      <c r="I30" s="28">
        <f>'Post-release Quality Average'!H29/'PRQ Avg Normalised by size'!C30*1000</f>
        <v>19.016393442622952</v>
      </c>
      <c r="J30" s="28">
        <f>'Post-release Quality Average'!I29/'PRQ Avg Normalised by size'!C30*1000</f>
        <v>19.344262295081968</v>
      </c>
      <c r="K30" s="28">
        <f>'Post-release Quality Average'!J29/'PRQ Avg Normalised by size'!C30*1000</f>
        <v>19.508196721311474</v>
      </c>
      <c r="L30" s="28">
        <f>'Post-release Quality Average'!K29/'PRQ Avg Normalised by size'!C30*1000</f>
        <v>19.672131147540984</v>
      </c>
      <c r="M30" s="28">
        <f>'Post-release Quality Average'!L29/'PRQ Avg Normalised by size'!C30*1000</f>
        <v>19.672131147540984</v>
      </c>
      <c r="N30" s="28">
        <f>'Post-release Quality Average'!M29/'PRQ Avg Normalised by size'!C30*1000</f>
        <v>19.836065573770494</v>
      </c>
      <c r="O30" s="28">
        <f>'Post-release Quality Average'!N29/'PRQ Avg Normalised by size'!C30*1000</f>
        <v>20.16393442622951</v>
      </c>
      <c r="P30" s="28">
        <f>'Post-release Quality Average'!O29/'PRQ Avg Normalised by size'!C30*1000</f>
        <v>20.16393442622951</v>
      </c>
      <c r="Q30" s="29">
        <f>'Post-release Quality Average'!P29/'PRQ Avg Normalised by size'!C30*1000</f>
        <v>9.8360655737704921</v>
      </c>
      <c r="R30" s="28">
        <f>'Post-release Quality Average'!Q29/'PRQ Avg Normalised by size'!C30*1000</f>
        <v>11.311475409836065</v>
      </c>
      <c r="S30" s="28">
        <f>'Post-release Quality Average'!R29/'PRQ Avg Normalised by size'!C30*1000</f>
        <v>12.131147540983607</v>
      </c>
      <c r="T30" s="28">
        <f>'Post-release Quality Average'!S29/'PRQ Avg Normalised by size'!C30*1000</f>
        <v>13.278688524590164</v>
      </c>
      <c r="U30" s="28">
        <f>'Post-release Quality Average'!T29/'PRQ Avg Normalised by size'!C30*1000</f>
        <v>13.442622950819672</v>
      </c>
      <c r="V30" s="28">
        <f>'Post-release Quality Average'!U29/'PRQ Avg Normalised by size'!C30*1000</f>
        <v>13.442622950819672</v>
      </c>
      <c r="W30" s="28">
        <f>'Post-release Quality Average'!V29/'PRQ Avg Normalised by size'!C30*1000</f>
        <v>12.950819672131148</v>
      </c>
      <c r="X30" s="28">
        <f>'Post-release Quality Average'!W29/'PRQ Avg Normalised by size'!C30*1000</f>
        <v>11.475409836065573</v>
      </c>
      <c r="Y30" s="28">
        <f>'Post-release Quality Average'!X29/'PRQ Avg Normalised by size'!C30*1000</f>
        <v>9.6721311475409841</v>
      </c>
      <c r="Z30" s="28">
        <f>'Post-release Quality Average'!Y29/'PRQ Avg Normalised by size'!C30*1000</f>
        <v>7.2131147540983607</v>
      </c>
      <c r="AA30" s="28">
        <f>'Post-release Quality Average'!Z29/'PRQ Avg Normalised by size'!C30*1000</f>
        <v>4.7540983606557381</v>
      </c>
      <c r="AB30" s="28">
        <f>'Post-release Quality Average'!AA29/'PRQ Avg Normalised by size'!C30*1000</f>
        <v>3.9344262295081966</v>
      </c>
      <c r="AC30" s="30">
        <f>'Post-release Quality Average'!AB29/'PRQ Avg Normalised by size'!C30*1000</f>
        <v>3.9344262295081966</v>
      </c>
    </row>
    <row r="31" spans="2:29" x14ac:dyDescent="0.2">
      <c r="B31" s="32" t="s">
        <v>35</v>
      </c>
      <c r="C31" s="40">
        <v>6750</v>
      </c>
      <c r="D31" s="29">
        <f>'Post-release Quality Average'!C30/'PRQ Avg Normalised by size'!C31*1000</f>
        <v>8.148148148148147</v>
      </c>
      <c r="E31" s="28">
        <f>'Post-release Quality Average'!D30/'PRQ Avg Normalised by size'!C31*1000</f>
        <v>10.222222222222223</v>
      </c>
      <c r="F31" s="28">
        <f>'Post-release Quality Average'!E30/'PRQ Avg Normalised by size'!C31*1000</f>
        <v>12</v>
      </c>
      <c r="G31" s="28">
        <f>'Post-release Quality Average'!F30/'PRQ Avg Normalised by size'!C31*1000</f>
        <v>13.333333333333334</v>
      </c>
      <c r="H31" s="28">
        <f>'Post-release Quality Average'!G30/'PRQ Avg Normalised by size'!C31*1000</f>
        <v>13.777777777777779</v>
      </c>
      <c r="I31" s="28">
        <f>'Post-release Quality Average'!H30/'PRQ Avg Normalised by size'!C31*1000</f>
        <v>14.074074074074074</v>
      </c>
      <c r="J31" s="28">
        <f>'Post-release Quality Average'!I30/'PRQ Avg Normalised by size'!C31*1000</f>
        <v>14.222222222222223</v>
      </c>
      <c r="K31" s="28">
        <f>'Post-release Quality Average'!J30/'PRQ Avg Normalised by size'!C31*1000</f>
        <v>14.666666666666666</v>
      </c>
      <c r="L31" s="28">
        <f>'Post-release Quality Average'!K30/'PRQ Avg Normalised by size'!C31*1000</f>
        <v>14.666666666666666</v>
      </c>
      <c r="M31" s="28">
        <f>'Post-release Quality Average'!L30/'PRQ Avg Normalised by size'!C31*1000</f>
        <v>14.666666666666666</v>
      </c>
      <c r="N31" s="28">
        <f>'Post-release Quality Average'!M30/'PRQ Avg Normalised by size'!C31*1000</f>
        <v>14.814814814814815</v>
      </c>
      <c r="O31" s="28">
        <f>'Post-release Quality Average'!N30/'PRQ Avg Normalised by size'!C31*1000</f>
        <v>15.111111111111112</v>
      </c>
      <c r="P31" s="28">
        <f>'Post-release Quality Average'!O30/'PRQ Avg Normalised by size'!C31*1000</f>
        <v>15.111111111111112</v>
      </c>
      <c r="Q31" s="29">
        <f>'Post-release Quality Average'!P30/'PRQ Avg Normalised by size'!C31*1000</f>
        <v>8.148148148148147</v>
      </c>
      <c r="R31" s="28">
        <f>'Post-release Quality Average'!Q30/'PRQ Avg Normalised by size'!C31*1000</f>
        <v>9.0370370370370381</v>
      </c>
      <c r="S31" s="28">
        <f>'Post-release Quality Average'!R30/'PRQ Avg Normalised by size'!C31*1000</f>
        <v>9.6296296296296298</v>
      </c>
      <c r="T31" s="28">
        <f>'Post-release Quality Average'!S30/'PRQ Avg Normalised by size'!C31*1000</f>
        <v>8.5925925925925934</v>
      </c>
      <c r="U31" s="28">
        <f>'Post-release Quality Average'!T30/'PRQ Avg Normalised by size'!C31*1000</f>
        <v>7.7037037037037042</v>
      </c>
      <c r="V31" s="28">
        <f>'Post-release Quality Average'!U30/'PRQ Avg Normalised by size'!C31*1000</f>
        <v>6.9629629629629637</v>
      </c>
      <c r="W31" s="28">
        <f>'Post-release Quality Average'!V30/'PRQ Avg Normalised by size'!C31*1000</f>
        <v>6.0740740740740735</v>
      </c>
      <c r="X31" s="28">
        <f>'Post-release Quality Average'!W30/'PRQ Avg Normalised by size'!C31*1000</f>
        <v>6.2222222222222214</v>
      </c>
      <c r="Y31" s="28">
        <f>'Post-release Quality Average'!X30/'PRQ Avg Normalised by size'!C31*1000</f>
        <v>3.7037037037037037</v>
      </c>
      <c r="Z31" s="28">
        <f>'Post-release Quality Average'!Y30/'PRQ Avg Normalised by size'!C31*1000</f>
        <v>2.8148148148148149</v>
      </c>
      <c r="AA31" s="28">
        <f>'Post-release Quality Average'!Z30/'PRQ Avg Normalised by size'!C31*1000</f>
        <v>1.925925925925926</v>
      </c>
      <c r="AB31" s="28">
        <f>'Post-release Quality Average'!AA30/'PRQ Avg Normalised by size'!C31*1000</f>
        <v>2.074074074074074</v>
      </c>
      <c r="AC31" s="30">
        <f>'Post-release Quality Average'!AB30/'PRQ Avg Normalised by size'!C31*1000</f>
        <v>2.074074074074074</v>
      </c>
    </row>
    <row r="32" spans="2:29" x14ac:dyDescent="0.2">
      <c r="B32" s="32" t="s">
        <v>36</v>
      </c>
      <c r="C32" s="40">
        <v>7504</v>
      </c>
      <c r="D32" s="29">
        <f>'Post-release Quality Average'!C31/'PRQ Avg Normalised by size'!C32*1000</f>
        <v>6.6631130063965882</v>
      </c>
      <c r="E32" s="28">
        <f>'Post-release Quality Average'!D31/'PRQ Avg Normalised by size'!C32*1000</f>
        <v>7.9957356076759067</v>
      </c>
      <c r="F32" s="28">
        <f>'Post-release Quality Average'!E31/'PRQ Avg Normalised by size'!C32*1000</f>
        <v>10.127931769722816</v>
      </c>
      <c r="G32" s="28">
        <f>'Post-release Quality Average'!F31/'PRQ Avg Normalised by size'!C32*1000</f>
        <v>11.194029850746269</v>
      </c>
      <c r="H32" s="28">
        <f>'Post-release Quality Average'!G31/'PRQ Avg Normalised by size'!C32*1000</f>
        <v>11.860341151385928</v>
      </c>
      <c r="I32" s="28">
        <f>'Post-release Quality Average'!H31/'PRQ Avg Normalised by size'!C32*1000</f>
        <v>11.99360341151386</v>
      </c>
      <c r="J32" s="28">
        <f>'Post-release Quality Average'!I31/'PRQ Avg Normalised by size'!C32*1000</f>
        <v>12.793176972281449</v>
      </c>
      <c r="K32" s="28">
        <f>'Post-release Quality Average'!J31/'PRQ Avg Normalised by size'!C32*1000</f>
        <v>13.192963752665245</v>
      </c>
      <c r="L32" s="28">
        <f>'Post-release Quality Average'!K31/'PRQ Avg Normalised by size'!C32*1000</f>
        <v>13.326226012793176</v>
      </c>
      <c r="M32" s="28">
        <f>'Post-release Quality Average'!L31/'PRQ Avg Normalised by size'!C32*1000</f>
        <v>13.326226012793176</v>
      </c>
      <c r="N32" s="28">
        <f>'Post-release Quality Average'!M31/'PRQ Avg Normalised by size'!C32*1000</f>
        <v>13.459488272921108</v>
      </c>
      <c r="O32" s="28">
        <f>'Post-release Quality Average'!N31/'PRQ Avg Normalised by size'!C32*1000</f>
        <v>13.459488272921108</v>
      </c>
      <c r="P32" s="28">
        <f>'Post-release Quality Average'!O31/'PRQ Avg Normalised by size'!C32*1000</f>
        <v>13.459488272921108</v>
      </c>
      <c r="Q32" s="29">
        <f>'Post-release Quality Average'!P31/'PRQ Avg Normalised by size'!C32*1000</f>
        <v>6.6631130063965882</v>
      </c>
      <c r="R32" s="28">
        <f>'Post-release Quality Average'!Q31/'PRQ Avg Normalised by size'!C32*1000</f>
        <v>7.4626865671641793</v>
      </c>
      <c r="S32" s="28">
        <f>'Post-release Quality Average'!R31/'PRQ Avg Normalised by size'!C32*1000</f>
        <v>8.1289978678038377</v>
      </c>
      <c r="T32" s="28">
        <f>'Post-release Quality Average'!S31/'PRQ Avg Normalised by size'!C32*1000</f>
        <v>8.5287846481876333</v>
      </c>
      <c r="U32" s="28">
        <f>'Post-release Quality Average'!T31/'PRQ Avg Normalised by size'!C32*1000</f>
        <v>8.1289978678038377</v>
      </c>
      <c r="V32" s="28">
        <f>'Post-release Quality Average'!U31/'PRQ Avg Normalised by size'!C32*1000</f>
        <v>7.4626865671641793</v>
      </c>
      <c r="W32" s="28">
        <f>'Post-release Quality Average'!V31/'PRQ Avg Normalised by size'!C32*1000</f>
        <v>7.7292110874200421</v>
      </c>
      <c r="X32" s="28">
        <f>'Post-release Quality Average'!W31/'PRQ Avg Normalised by size'!C32*1000</f>
        <v>7.3294243070362475</v>
      </c>
      <c r="Y32" s="28">
        <f>'Post-release Quality Average'!X31/'PRQ Avg Normalised by size'!C32*1000</f>
        <v>6.3965884861407245</v>
      </c>
      <c r="Z32" s="28">
        <f>'Post-release Quality Average'!Y31/'PRQ Avg Normalised by size'!C32*1000</f>
        <v>5.9968017057569298</v>
      </c>
      <c r="AA32" s="28">
        <f>'Post-release Quality Average'!Z31/'PRQ Avg Normalised by size'!C32*1000</f>
        <v>5.4637526652452024</v>
      </c>
      <c r="AB32" s="28">
        <f>'Post-release Quality Average'!AA31/'PRQ Avg Normalised by size'!C32*1000</f>
        <v>4.2643923240938166</v>
      </c>
      <c r="AC32" s="30">
        <f>'Post-release Quality Average'!AB31/'PRQ Avg Normalised by size'!C32*1000</f>
        <v>4.2643923240938166</v>
      </c>
    </row>
    <row r="33" spans="1:29" x14ac:dyDescent="0.2">
      <c r="B33" s="44" t="s">
        <v>37</v>
      </c>
      <c r="C33" s="45">
        <v>4932</v>
      </c>
      <c r="D33" s="29">
        <f>'Post-release Quality Average'!C32/'PRQ Avg Normalised by size'!C33*1000</f>
        <v>12.773722627737227</v>
      </c>
      <c r="E33" s="28">
        <f>'Post-release Quality Average'!D32/'PRQ Avg Normalised by size'!C33*1000</f>
        <v>15.815085158150852</v>
      </c>
      <c r="F33" s="28">
        <f>'Post-release Quality Average'!E32/'PRQ Avg Normalised by size'!C33*1000</f>
        <v>18.450932684509329</v>
      </c>
      <c r="G33" s="28">
        <f>'Post-release Quality Average'!F32/'PRQ Avg Normalised by size'!C33*1000</f>
        <v>21.289537712895374</v>
      </c>
      <c r="H33" s="28">
        <f>'Post-release Quality Average'!G32/'PRQ Avg Normalised by size'!C33*1000</f>
        <v>22.911597729115979</v>
      </c>
      <c r="I33" s="28">
        <f>'Post-release Quality Average'!H32/'PRQ Avg Normalised by size'!C33*1000</f>
        <v>24.128142741281426</v>
      </c>
      <c r="J33" s="28">
        <f>'Post-release Quality Average'!I32/'PRQ Avg Normalised by size'!C33*1000</f>
        <v>24.533657745336576</v>
      </c>
      <c r="K33" s="28">
        <f>'Post-release Quality Average'!J32/'PRQ Avg Normalised by size'!C33*1000</f>
        <v>24.73641524736415</v>
      </c>
      <c r="L33" s="28">
        <f>'Post-release Quality Average'!K32/'PRQ Avg Normalised by size'!C33*1000</f>
        <v>24.939172749391727</v>
      </c>
      <c r="M33" s="28">
        <f>'Post-release Quality Average'!L32/'PRQ Avg Normalised by size'!C33*1000</f>
        <v>24.939172749391727</v>
      </c>
      <c r="N33" s="28">
        <f>'Post-release Quality Average'!M32/'PRQ Avg Normalised by size'!C33*1000</f>
        <v>25.141930251419303</v>
      </c>
      <c r="O33" s="28">
        <f>'Post-release Quality Average'!N32/'PRQ Avg Normalised by size'!C33*1000</f>
        <v>25.547445255474454</v>
      </c>
      <c r="P33" s="28">
        <f>'Post-release Quality Average'!O32/'PRQ Avg Normalised by size'!C33*1000</f>
        <v>25.547445255474454</v>
      </c>
      <c r="Q33" s="29">
        <f>'Post-release Quality Average'!P32/'PRQ Avg Normalised by size'!C33*1000</f>
        <v>12.773722627737227</v>
      </c>
      <c r="R33" s="28">
        <f>'Post-release Quality Average'!Q32/'PRQ Avg Normalised by size'!C33*1000</f>
        <v>14.598540145985401</v>
      </c>
      <c r="S33" s="28">
        <f>'Post-release Quality Average'!R32/'PRQ Avg Normalised by size'!C33*1000</f>
        <v>15.612327656123275</v>
      </c>
      <c r="T33" s="28">
        <f>'Post-release Quality Average'!S32/'PRQ Avg Normalised by size'!C33*1000</f>
        <v>17.031630170316301</v>
      </c>
      <c r="U33" s="28">
        <f>'Post-release Quality Average'!T32/'PRQ Avg Normalised by size'!C33*1000</f>
        <v>17.234387672343875</v>
      </c>
      <c r="V33" s="28">
        <f>'Post-release Quality Average'!U32/'PRQ Avg Normalised by size'!C33*1000</f>
        <v>17.234387672343875</v>
      </c>
      <c r="W33" s="28">
        <f>'Post-release Quality Average'!V32/'PRQ Avg Normalised by size'!C33*1000</f>
        <v>16.626115166261151</v>
      </c>
      <c r="X33" s="28">
        <f>'Post-release Quality Average'!W32/'PRQ Avg Normalised by size'!C33*1000</f>
        <v>14.801297648012977</v>
      </c>
      <c r="Y33" s="28">
        <f>'Post-release Quality Average'!X32/'PRQ Avg Normalised by size'!C33*1000</f>
        <v>12.570965125709652</v>
      </c>
      <c r="Z33" s="28">
        <f>'Post-release Quality Average'!Y32/'PRQ Avg Normalised by size'!C33*1000</f>
        <v>9.5296025952960264</v>
      </c>
      <c r="AA33" s="28">
        <f>'Post-release Quality Average'!Z32/'PRQ Avg Normalised by size'!C33*1000</f>
        <v>6.488240064882401</v>
      </c>
      <c r="AB33" s="28">
        <f>'Post-release Quality Average'!AA32/'PRQ Avg Normalised by size'!C33*1000</f>
        <v>5.4744525547445262</v>
      </c>
      <c r="AC33" s="30">
        <f>'Post-release Quality Average'!AB32/'PRQ Avg Normalised by size'!C33*1000</f>
        <v>5.4744525547445262</v>
      </c>
    </row>
    <row r="34" spans="1:29" x14ac:dyDescent="0.2">
      <c r="A34" s="1"/>
      <c r="B34" s="32" t="s">
        <v>48</v>
      </c>
      <c r="C34" s="46"/>
      <c r="D34" s="47">
        <f>AVERAGE(D4:D33)</f>
        <v>8.8205902296583751</v>
      </c>
      <c r="E34" s="47">
        <f t="shared" ref="E34:AC34" si="0">AVERAGE(E4:E33)</f>
        <v>9.934042247332318</v>
      </c>
      <c r="F34" s="47">
        <f t="shared" si="0"/>
        <v>11.514150700350427</v>
      </c>
      <c r="G34" s="47">
        <f t="shared" si="0"/>
        <v>12.371805246784637</v>
      </c>
      <c r="H34" s="47">
        <f t="shared" si="0"/>
        <v>13.391644894957357</v>
      </c>
      <c r="I34" s="47">
        <f t="shared" si="0"/>
        <v>14.068306559583075</v>
      </c>
      <c r="J34" s="47">
        <f t="shared" si="0"/>
        <v>14.523827369922127</v>
      </c>
      <c r="K34" s="47">
        <f t="shared" si="0"/>
        <v>15.037067136653622</v>
      </c>
      <c r="L34" s="47">
        <f t="shared" si="0"/>
        <v>15.20162203734608</v>
      </c>
      <c r="M34" s="47">
        <f t="shared" si="0"/>
        <v>15.20162203734608</v>
      </c>
      <c r="N34" s="47">
        <f t="shared" si="0"/>
        <v>15.402152105862715</v>
      </c>
      <c r="O34" s="47">
        <f t="shared" si="0"/>
        <v>15.451289592437877</v>
      </c>
      <c r="P34" s="47">
        <f t="shared" si="0"/>
        <v>15.536354729600211</v>
      </c>
      <c r="Q34" s="47">
        <f t="shared" si="0"/>
        <v>8.8205902296583751</v>
      </c>
      <c r="R34" s="47">
        <f t="shared" si="0"/>
        <v>8.6018040205062611</v>
      </c>
      <c r="S34" s="47">
        <f t="shared" si="0"/>
        <v>8.6861663269056439</v>
      </c>
      <c r="T34" s="47">
        <f t="shared" si="0"/>
        <v>8.5851844447199461</v>
      </c>
      <c r="U34" s="47">
        <f t="shared" si="0"/>
        <v>8.0567062409946057</v>
      </c>
      <c r="V34" s="47">
        <f t="shared" si="0"/>
        <v>7.5967525116583827</v>
      </c>
      <c r="W34" s="47">
        <f t="shared" si="0"/>
        <v>6.8868996284183419</v>
      </c>
      <c r="X34" s="47">
        <f t="shared" si="0"/>
        <v>5.7043453116234426</v>
      </c>
      <c r="Y34" s="47">
        <f t="shared" si="0"/>
        <v>3.9222143526526239</v>
      </c>
      <c r="Z34" s="47">
        <f t="shared" si="0"/>
        <v>2.8627924769764705</v>
      </c>
      <c r="AA34" s="47">
        <f t="shared" si="0"/>
        <v>2.0108886433057021</v>
      </c>
      <c r="AB34" s="47">
        <f t="shared" si="0"/>
        <v>1.4205901118667519</v>
      </c>
      <c r="AC34" s="47">
        <f t="shared" si="0"/>
        <v>1.4594412670972174</v>
      </c>
    </row>
    <row r="36" spans="1:29" x14ac:dyDescent="0.2">
      <c r="A36" s="1"/>
    </row>
    <row r="38" spans="1:29" ht="63.75" x14ac:dyDescent="0.2">
      <c r="A38" s="1"/>
      <c r="B38" s="35" t="s">
        <v>44</v>
      </c>
      <c r="C38" s="35" t="s">
        <v>49</v>
      </c>
      <c r="D38" s="35" t="s">
        <v>50</v>
      </c>
    </row>
    <row r="39" spans="1:29" x14ac:dyDescent="0.2">
      <c r="B39" s="27">
        <v>0</v>
      </c>
      <c r="C39" s="25">
        <v>8.8205902296583751</v>
      </c>
      <c r="D39" s="25">
        <v>8.8205902296583751</v>
      </c>
    </row>
    <row r="40" spans="1:29" x14ac:dyDescent="0.2">
      <c r="A40" s="1"/>
      <c r="B40" s="27">
        <v>1</v>
      </c>
      <c r="C40" s="25">
        <v>9.934042247332318</v>
      </c>
      <c r="D40" s="25">
        <v>8.6018040205062611</v>
      </c>
    </row>
    <row r="41" spans="1:29" x14ac:dyDescent="0.2">
      <c r="B41" s="27">
        <v>2</v>
      </c>
      <c r="C41" s="25">
        <v>11.514150700350427</v>
      </c>
      <c r="D41" s="25">
        <v>8.6861663269056439</v>
      </c>
    </row>
    <row r="42" spans="1:29" x14ac:dyDescent="0.2">
      <c r="B42" s="27">
        <v>3</v>
      </c>
      <c r="C42" s="25">
        <v>12.371805246784637</v>
      </c>
      <c r="D42" s="25">
        <v>8.5851844447199461</v>
      </c>
    </row>
    <row r="43" spans="1:29" x14ac:dyDescent="0.2">
      <c r="B43" s="27">
        <v>4</v>
      </c>
      <c r="C43" s="25">
        <v>13.391644894957357</v>
      </c>
      <c r="D43" s="25">
        <v>8.0567062409946057</v>
      </c>
    </row>
    <row r="44" spans="1:29" x14ac:dyDescent="0.2">
      <c r="B44" s="27">
        <v>5</v>
      </c>
      <c r="C44" s="25">
        <v>14.068306559583075</v>
      </c>
      <c r="D44" s="25">
        <v>7.5967525116583827</v>
      </c>
    </row>
    <row r="45" spans="1:29" x14ac:dyDescent="0.2">
      <c r="B45" s="27">
        <v>6</v>
      </c>
      <c r="C45" s="25">
        <v>14.523827369922127</v>
      </c>
      <c r="D45" s="25">
        <v>6.8868996284183419</v>
      </c>
    </row>
    <row r="46" spans="1:29" x14ac:dyDescent="0.2">
      <c r="B46" s="27">
        <v>7</v>
      </c>
      <c r="C46" s="25">
        <v>15.037067136653622</v>
      </c>
      <c r="D46" s="25">
        <v>5.7043453116234426</v>
      </c>
    </row>
    <row r="47" spans="1:29" x14ac:dyDescent="0.2">
      <c r="B47" s="27">
        <v>8</v>
      </c>
      <c r="C47" s="25">
        <v>15.20162203734608</v>
      </c>
      <c r="D47" s="25">
        <v>3.9222143526526239</v>
      </c>
    </row>
    <row r="48" spans="1:29" x14ac:dyDescent="0.2">
      <c r="B48" s="27">
        <v>9</v>
      </c>
      <c r="C48" s="25">
        <v>15.20162203734608</v>
      </c>
      <c r="D48" s="25">
        <v>2.8627924769764705</v>
      </c>
    </row>
    <row r="49" spans="1:4" x14ac:dyDescent="0.2">
      <c r="A49" s="1"/>
      <c r="B49" s="27">
        <v>10</v>
      </c>
      <c r="C49" s="25">
        <v>15.402152105862715</v>
      </c>
      <c r="D49" s="25">
        <v>2.0108886433057021</v>
      </c>
    </row>
    <row r="50" spans="1:4" x14ac:dyDescent="0.2">
      <c r="B50" s="27">
        <v>11</v>
      </c>
      <c r="C50" s="25">
        <v>15.451289592437877</v>
      </c>
      <c r="D50" s="25">
        <v>1.4205901118667519</v>
      </c>
    </row>
    <row r="51" spans="1:4" x14ac:dyDescent="0.2">
      <c r="B51" s="27">
        <v>12</v>
      </c>
      <c r="C51" s="25">
        <v>15.536354729600211</v>
      </c>
      <c r="D51" s="25">
        <v>1.4594412670972174</v>
      </c>
    </row>
  </sheetData>
  <mergeCells count="2">
    <mergeCell ref="B2:P2"/>
    <mergeCell ref="Q2:AC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0119-479F-42EC-8118-10DF2C267A14}">
  <dimension ref="B1:AC57"/>
  <sheetViews>
    <sheetView topLeftCell="A37" zoomScale="85" zoomScaleNormal="85" workbookViewId="0">
      <selection activeCell="C43" sqref="C43:F44"/>
    </sheetView>
  </sheetViews>
  <sheetFormatPr defaultRowHeight="12.75" x14ac:dyDescent="0.2"/>
  <cols>
    <col min="1" max="16384" width="9.140625" style="48"/>
  </cols>
  <sheetData>
    <row r="1" spans="2:29" x14ac:dyDescent="0.2">
      <c r="B1" s="109" t="s">
        <v>54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</row>
    <row r="2" spans="2:29" x14ac:dyDescent="0.2">
      <c r="B2" s="113" t="s">
        <v>51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 t="s">
        <v>52</v>
      </c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</row>
    <row r="3" spans="2:29" ht="25.5" x14ac:dyDescent="0.2">
      <c r="B3" s="49" t="s">
        <v>53</v>
      </c>
      <c r="C3" s="50" t="s">
        <v>3</v>
      </c>
      <c r="D3" s="50">
        <v>0</v>
      </c>
      <c r="E3" s="50">
        <v>1</v>
      </c>
      <c r="F3" s="50">
        <v>2</v>
      </c>
      <c r="G3" s="50">
        <v>3</v>
      </c>
      <c r="H3" s="50">
        <v>4</v>
      </c>
      <c r="I3" s="50">
        <v>5</v>
      </c>
      <c r="J3" s="50">
        <v>6</v>
      </c>
      <c r="K3" s="50">
        <v>7</v>
      </c>
      <c r="L3" s="50">
        <v>8</v>
      </c>
      <c r="M3" s="50">
        <v>9</v>
      </c>
      <c r="N3" s="50">
        <v>10</v>
      </c>
      <c r="O3" s="50">
        <v>11</v>
      </c>
      <c r="P3" s="50">
        <v>12</v>
      </c>
      <c r="Q3" s="50">
        <v>0</v>
      </c>
      <c r="R3" s="50">
        <v>1</v>
      </c>
      <c r="S3" s="50">
        <v>2</v>
      </c>
      <c r="T3" s="50">
        <v>3</v>
      </c>
      <c r="U3" s="50">
        <v>4</v>
      </c>
      <c r="V3" s="50">
        <v>5</v>
      </c>
      <c r="W3" s="50">
        <v>6</v>
      </c>
      <c r="X3" s="50">
        <v>7</v>
      </c>
      <c r="Y3" s="50">
        <v>8</v>
      </c>
      <c r="Z3" s="50">
        <v>9</v>
      </c>
      <c r="AA3" s="50">
        <v>10</v>
      </c>
      <c r="AB3" s="50">
        <v>11</v>
      </c>
      <c r="AC3" s="50">
        <v>12</v>
      </c>
    </row>
    <row r="4" spans="2:29" x14ac:dyDescent="0.2">
      <c r="B4" s="51" t="s">
        <v>5</v>
      </c>
      <c r="C4" s="51">
        <v>2400</v>
      </c>
      <c r="D4" s="52">
        <v>18.75</v>
      </c>
      <c r="E4" s="52">
        <v>20</v>
      </c>
      <c r="F4" s="52">
        <v>22.083333333333332</v>
      </c>
      <c r="G4" s="52">
        <v>23.333333333333336</v>
      </c>
      <c r="H4" s="52">
        <v>24.166666666666668</v>
      </c>
      <c r="I4" s="52">
        <v>26.666666666666668</v>
      </c>
      <c r="J4" s="52">
        <v>27.916666666666664</v>
      </c>
      <c r="K4" s="52">
        <v>28.75</v>
      </c>
      <c r="L4" s="52">
        <v>29.166666666666668</v>
      </c>
      <c r="M4" s="52">
        <v>29.166666666666668</v>
      </c>
      <c r="N4" s="52">
        <v>29.583333333333332</v>
      </c>
      <c r="O4" s="52">
        <v>29.583333333333332</v>
      </c>
      <c r="P4" s="53">
        <v>30</v>
      </c>
      <c r="Q4" s="52">
        <v>18.75</v>
      </c>
      <c r="R4" s="52">
        <v>17.916666666666668</v>
      </c>
      <c r="S4" s="52">
        <v>17.083333333333332</v>
      </c>
      <c r="T4" s="52">
        <v>15.833333333333334</v>
      </c>
      <c r="U4" s="52">
        <v>14.166666666666666</v>
      </c>
      <c r="V4" s="52">
        <v>15.416666666666668</v>
      </c>
      <c r="W4" s="52">
        <v>14.583333333333334</v>
      </c>
      <c r="X4" s="52">
        <v>12.083333333333334</v>
      </c>
      <c r="Y4" s="52">
        <v>7.5</v>
      </c>
      <c r="Z4" s="52">
        <v>5.416666666666667</v>
      </c>
      <c r="AA4" s="52">
        <v>3.3333333333333335</v>
      </c>
      <c r="AB4" s="52">
        <v>1.6666666666666667</v>
      </c>
      <c r="AC4" s="54">
        <v>2.0833333333333335</v>
      </c>
    </row>
    <row r="5" spans="2:29" x14ac:dyDescent="0.2">
      <c r="B5" s="55" t="s">
        <v>7</v>
      </c>
      <c r="C5" s="55">
        <v>4593</v>
      </c>
      <c r="D5" s="52">
        <v>8.9266274765948186</v>
      </c>
      <c r="E5" s="52">
        <v>10.015240583496626</v>
      </c>
      <c r="F5" s="52">
        <v>10.668408447637709</v>
      </c>
      <c r="G5" s="52">
        <v>11.539298933159156</v>
      </c>
      <c r="H5" s="52">
        <v>12.192466797300238</v>
      </c>
      <c r="I5" s="52">
        <v>12.627912040060963</v>
      </c>
      <c r="J5" s="52">
        <v>13.063357282821686</v>
      </c>
      <c r="K5" s="52">
        <v>13.281079904202047</v>
      </c>
      <c r="L5" s="52">
        <v>13.498802525582407</v>
      </c>
      <c r="M5" s="52">
        <v>13.498802525582407</v>
      </c>
      <c r="N5" s="52">
        <v>13.716525146962768</v>
      </c>
      <c r="O5" s="52">
        <v>13.716525146962768</v>
      </c>
      <c r="P5" s="54">
        <v>13.716525146962768</v>
      </c>
      <c r="Q5" s="52">
        <v>8.9266274765948186</v>
      </c>
      <c r="R5" s="52">
        <v>8.7089048552144561</v>
      </c>
      <c r="S5" s="52">
        <v>7.62029174831265</v>
      </c>
      <c r="T5" s="52">
        <v>6.9671238841715653</v>
      </c>
      <c r="U5" s="52">
        <v>6.7494012627912037</v>
      </c>
      <c r="V5" s="52">
        <v>6.0962333986501189</v>
      </c>
      <c r="W5" s="52">
        <v>5.8785107772697582</v>
      </c>
      <c r="X5" s="52">
        <v>3.9190071848465058</v>
      </c>
      <c r="Y5" s="52">
        <v>1.5240583496625297</v>
      </c>
      <c r="Z5" s="52">
        <v>0.43544524276072283</v>
      </c>
      <c r="AA5" s="52">
        <v>0.21772262138036141</v>
      </c>
      <c r="AB5" s="52">
        <v>0.21772262138036141</v>
      </c>
      <c r="AC5" s="54">
        <v>0.21772262138036141</v>
      </c>
    </row>
    <row r="6" spans="2:29" x14ac:dyDescent="0.2">
      <c r="B6" s="55" t="s">
        <v>9</v>
      </c>
      <c r="C6" s="55">
        <v>3690</v>
      </c>
      <c r="D6" s="52">
        <v>8.9430894308943092</v>
      </c>
      <c r="E6" s="52">
        <v>10.027100271002711</v>
      </c>
      <c r="F6" s="52">
        <v>10.56910569105691</v>
      </c>
      <c r="G6" s="52">
        <v>11.924119241192411</v>
      </c>
      <c r="H6" s="52">
        <v>12.466124661246614</v>
      </c>
      <c r="I6" s="52">
        <v>13.008130081300813</v>
      </c>
      <c r="J6" s="52">
        <v>13.279132791327914</v>
      </c>
      <c r="K6" s="52">
        <v>14.092140921409214</v>
      </c>
      <c r="L6" s="52">
        <v>14.092140921409214</v>
      </c>
      <c r="M6" s="52">
        <v>14.092140921409214</v>
      </c>
      <c r="N6" s="52">
        <v>14.363143631436316</v>
      </c>
      <c r="O6" s="52">
        <v>14.363143631436316</v>
      </c>
      <c r="P6" s="54">
        <v>14.363143631436316</v>
      </c>
      <c r="Q6" s="52">
        <v>8.9430894308943092</v>
      </c>
      <c r="R6" s="52">
        <v>7.8590785907859084</v>
      </c>
      <c r="S6" s="52">
        <v>7.3170731707317076</v>
      </c>
      <c r="T6" s="52">
        <v>7.588075880758808</v>
      </c>
      <c r="U6" s="52">
        <v>6.7750677506775068</v>
      </c>
      <c r="V6" s="52">
        <v>6.5040650406504064</v>
      </c>
      <c r="W6" s="52">
        <v>4.8780487804878048</v>
      </c>
      <c r="X6" s="52">
        <v>3.5230352303523036</v>
      </c>
      <c r="Y6" s="52">
        <v>1.6260162601626016</v>
      </c>
      <c r="Z6" s="52">
        <v>0.54200542005420049</v>
      </c>
      <c r="AA6" s="52">
        <v>0.27100271002710025</v>
      </c>
      <c r="AB6" s="52">
        <v>0</v>
      </c>
      <c r="AC6" s="54">
        <v>0</v>
      </c>
    </row>
    <row r="7" spans="2:29" x14ac:dyDescent="0.2">
      <c r="B7" s="55" t="s">
        <v>10</v>
      </c>
      <c r="C7" s="55">
        <v>4400</v>
      </c>
      <c r="D7" s="52">
        <v>12.5</v>
      </c>
      <c r="E7" s="52">
        <v>13.181818181818182</v>
      </c>
      <c r="F7" s="52">
        <v>14.318181818181818</v>
      </c>
      <c r="G7" s="52">
        <v>15</v>
      </c>
      <c r="H7" s="52">
        <v>15.454545454545455</v>
      </c>
      <c r="I7" s="52">
        <v>16.81818181818182</v>
      </c>
      <c r="J7" s="52">
        <v>17.5</v>
      </c>
      <c r="K7" s="52">
        <v>17.954545454545457</v>
      </c>
      <c r="L7" s="52">
        <v>18.18181818181818</v>
      </c>
      <c r="M7" s="52">
        <v>18.18181818181818</v>
      </c>
      <c r="N7" s="52">
        <v>18.40909090909091</v>
      </c>
      <c r="O7" s="52">
        <v>18.40909090909091</v>
      </c>
      <c r="P7" s="54">
        <v>18.636363636363637</v>
      </c>
      <c r="Q7" s="52">
        <v>12.5</v>
      </c>
      <c r="R7" s="52">
        <v>11.363636363636363</v>
      </c>
      <c r="S7" s="52">
        <v>10.90909090909091</v>
      </c>
      <c r="T7" s="52">
        <v>9.5454545454545467</v>
      </c>
      <c r="U7" s="52">
        <v>8.6363636363636367</v>
      </c>
      <c r="V7" s="52">
        <v>8.8636363636363633</v>
      </c>
      <c r="W7" s="52">
        <v>8.4090909090909101</v>
      </c>
      <c r="X7" s="52">
        <v>7.0454545454545459</v>
      </c>
      <c r="Y7" s="52">
        <v>4.545454545454545</v>
      </c>
      <c r="Z7" s="52">
        <v>3.4090909090909087</v>
      </c>
      <c r="AA7" s="52">
        <v>2.2727272727272725</v>
      </c>
      <c r="AB7" s="52">
        <v>1.3636363636363638</v>
      </c>
      <c r="AC7" s="54">
        <v>1.3636363636363638</v>
      </c>
    </row>
    <row r="8" spans="2:29" x14ac:dyDescent="0.2">
      <c r="B8" s="55" t="s">
        <v>11</v>
      </c>
      <c r="C8" s="55">
        <v>4450</v>
      </c>
      <c r="D8" s="52">
        <v>12.584269662921349</v>
      </c>
      <c r="E8" s="52">
        <v>13.932584269662922</v>
      </c>
      <c r="F8" s="52">
        <v>15.730337078651687</v>
      </c>
      <c r="G8" s="52">
        <v>16.179775280898877</v>
      </c>
      <c r="H8" s="52">
        <v>16.853932584269664</v>
      </c>
      <c r="I8" s="52">
        <v>17.752808988764045</v>
      </c>
      <c r="J8" s="52">
        <v>17.977528089887642</v>
      </c>
      <c r="K8" s="52">
        <v>19.101123595505619</v>
      </c>
      <c r="L8" s="52">
        <v>19.101123595505619</v>
      </c>
      <c r="M8" s="52">
        <v>19.101123595505619</v>
      </c>
      <c r="N8" s="52">
        <v>19.325842696629213</v>
      </c>
      <c r="O8" s="52">
        <v>19.325842696629213</v>
      </c>
      <c r="P8" s="54">
        <v>19.325842696629213</v>
      </c>
      <c r="Q8" s="52">
        <v>12.584269662921349</v>
      </c>
      <c r="R8" s="52">
        <v>11.685393258426966</v>
      </c>
      <c r="S8" s="52">
        <v>11.685393258426966</v>
      </c>
      <c r="T8" s="52">
        <v>9.213483146067416</v>
      </c>
      <c r="U8" s="52">
        <v>8.7640449438202257</v>
      </c>
      <c r="V8" s="52">
        <v>8.5393258426966305</v>
      </c>
      <c r="W8" s="52">
        <v>6.7415730337078656</v>
      </c>
      <c r="X8" s="52">
        <v>6.0674157303370784</v>
      </c>
      <c r="Y8" s="52">
        <v>3.8202247191011236</v>
      </c>
      <c r="Z8" s="52">
        <v>2.4719101123595504</v>
      </c>
      <c r="AA8" s="52">
        <v>1.1235955056179776</v>
      </c>
      <c r="AB8" s="52">
        <v>0.44943820224719105</v>
      </c>
      <c r="AC8" s="54">
        <v>0.44943820224719105</v>
      </c>
    </row>
    <row r="9" spans="2:29" x14ac:dyDescent="0.2">
      <c r="B9" s="55" t="s">
        <v>19</v>
      </c>
      <c r="C9" s="55">
        <v>2900</v>
      </c>
      <c r="D9" s="52">
        <v>13.793103448275861</v>
      </c>
      <c r="E9" s="52">
        <v>14.482758620689657</v>
      </c>
      <c r="F9" s="52">
        <v>16.551724137931036</v>
      </c>
      <c r="G9" s="52">
        <v>17.241379310344826</v>
      </c>
      <c r="H9" s="52">
        <v>17.586206896551726</v>
      </c>
      <c r="I9" s="52">
        <v>18.275862068965516</v>
      </c>
      <c r="J9" s="52">
        <v>19.310344827586206</v>
      </c>
      <c r="K9" s="52">
        <v>20</v>
      </c>
      <c r="L9" s="52">
        <v>20.344827586206893</v>
      </c>
      <c r="M9" s="52">
        <v>20.344827586206893</v>
      </c>
      <c r="N9" s="52">
        <v>20.689655172413794</v>
      </c>
      <c r="O9" s="52">
        <v>20.689655172413794</v>
      </c>
      <c r="P9" s="54">
        <v>21.03448275862069</v>
      </c>
      <c r="Q9" s="52">
        <v>13.793103448275861</v>
      </c>
      <c r="R9" s="52">
        <v>12.758620689655173</v>
      </c>
      <c r="S9" s="52">
        <v>13.448275862068966</v>
      </c>
      <c r="T9" s="52">
        <v>12.068965517241379</v>
      </c>
      <c r="U9" s="52">
        <v>10</v>
      </c>
      <c r="V9" s="52">
        <v>9.6551724137931032</v>
      </c>
      <c r="W9" s="52">
        <v>10</v>
      </c>
      <c r="X9" s="52">
        <v>7.5862068965517242</v>
      </c>
      <c r="Y9" s="52">
        <v>5.1724137931034484</v>
      </c>
      <c r="Z9" s="52">
        <v>3.4482758620689653</v>
      </c>
      <c r="AA9" s="52">
        <v>1.7241379310344827</v>
      </c>
      <c r="AB9" s="52">
        <v>0.34482758620689652</v>
      </c>
      <c r="AC9" s="54">
        <v>0.68965517241379304</v>
      </c>
    </row>
    <row r="10" spans="2:29" x14ac:dyDescent="0.2">
      <c r="B10" s="55" t="s">
        <v>20</v>
      </c>
      <c r="C10" s="55">
        <v>3800</v>
      </c>
      <c r="D10" s="52">
        <v>6.5789473684210522</v>
      </c>
      <c r="E10" s="52">
        <v>7.6315789473684204</v>
      </c>
      <c r="F10" s="52">
        <v>9.2105263157894726</v>
      </c>
      <c r="G10" s="52">
        <v>10</v>
      </c>
      <c r="H10" s="52">
        <v>10.263157894736842</v>
      </c>
      <c r="I10" s="52">
        <v>10.789473684210526</v>
      </c>
      <c r="J10" s="52">
        <v>11.315789473684211</v>
      </c>
      <c r="K10" s="52">
        <v>12.105263157894736</v>
      </c>
      <c r="L10" s="52">
        <v>12.368421052631579</v>
      </c>
      <c r="M10" s="52">
        <v>12.368421052631579</v>
      </c>
      <c r="N10" s="52">
        <v>12.631578947368421</v>
      </c>
      <c r="O10" s="52">
        <v>12.631578947368421</v>
      </c>
      <c r="P10" s="54">
        <v>12.894736842105262</v>
      </c>
      <c r="Q10" s="52">
        <v>6.5789473684210522</v>
      </c>
      <c r="R10" s="52">
        <v>6.5789473684210522</v>
      </c>
      <c r="S10" s="52">
        <v>6.0526315789473681</v>
      </c>
      <c r="T10" s="52">
        <v>6.0526315789473681</v>
      </c>
      <c r="U10" s="52">
        <v>5</v>
      </c>
      <c r="V10" s="52">
        <v>4.2105263157894735</v>
      </c>
      <c r="W10" s="52">
        <v>2.8947368421052633</v>
      </c>
      <c r="X10" s="52">
        <v>1.5789473684210527</v>
      </c>
      <c r="Y10" s="52">
        <v>0.26315789473684209</v>
      </c>
      <c r="Z10" s="52">
        <v>0</v>
      </c>
      <c r="AA10" s="52">
        <v>0.26315789473684209</v>
      </c>
      <c r="AB10" s="52">
        <v>0</v>
      </c>
      <c r="AC10" s="54">
        <v>0</v>
      </c>
    </row>
    <row r="11" spans="2:29" x14ac:dyDescent="0.2">
      <c r="B11" s="55" t="s">
        <v>22</v>
      </c>
      <c r="C11" s="55">
        <v>5100</v>
      </c>
      <c r="D11" s="52">
        <v>8.4313725490196063</v>
      </c>
      <c r="E11" s="52">
        <v>8.8235294117647065</v>
      </c>
      <c r="F11" s="52">
        <v>10</v>
      </c>
      <c r="G11" s="52">
        <v>0.58823529411764697</v>
      </c>
      <c r="H11" s="52">
        <v>10.588235294117647</v>
      </c>
      <c r="I11" s="52">
        <v>10.980392156862745</v>
      </c>
      <c r="J11" s="52">
        <v>11.568627450980392</v>
      </c>
      <c r="K11" s="52">
        <v>11.96078431372549</v>
      </c>
      <c r="L11" s="52">
        <v>12.15686274509804</v>
      </c>
      <c r="M11" s="52">
        <v>12.15686274509804</v>
      </c>
      <c r="N11" s="52">
        <v>12.352941176470587</v>
      </c>
      <c r="O11" s="52">
        <v>12.352941176470587</v>
      </c>
      <c r="P11" s="54">
        <v>12.352941176470587</v>
      </c>
      <c r="Q11" s="52">
        <v>8.4313725490196063</v>
      </c>
      <c r="R11" s="52">
        <v>7.8431372549019605</v>
      </c>
      <c r="S11" s="52">
        <v>8.2352941176470598</v>
      </c>
      <c r="T11" s="52">
        <v>7.4509803921568629</v>
      </c>
      <c r="U11" s="52">
        <v>6.2745098039215685</v>
      </c>
      <c r="V11" s="52">
        <v>6.0784313725490202</v>
      </c>
      <c r="W11" s="52">
        <v>5.6862745098039209</v>
      </c>
      <c r="X11" s="52">
        <v>4.3137254901960782</v>
      </c>
      <c r="Y11" s="52">
        <v>2.9411764705882351</v>
      </c>
      <c r="Z11" s="52">
        <v>1.9607843137254901</v>
      </c>
      <c r="AA11" s="52">
        <v>0.98039215686274506</v>
      </c>
      <c r="AB11" s="52">
        <v>0.19607843137254902</v>
      </c>
      <c r="AC11" s="54">
        <v>0.19607843137254902</v>
      </c>
    </row>
    <row r="12" spans="2:29" x14ac:dyDescent="0.2">
      <c r="B12" s="55" t="s">
        <v>28</v>
      </c>
      <c r="C12" s="55">
        <v>3200</v>
      </c>
      <c r="D12" s="52">
        <v>15</v>
      </c>
      <c r="E12" s="52">
        <v>17.1875</v>
      </c>
      <c r="F12" s="52">
        <v>21.5625</v>
      </c>
      <c r="G12" s="52">
        <v>24.6875</v>
      </c>
      <c r="H12" s="52">
        <v>26.25</v>
      </c>
      <c r="I12" s="52">
        <v>26.875</v>
      </c>
      <c r="J12" s="52">
        <v>27.1875</v>
      </c>
      <c r="K12" s="52">
        <v>27.8125</v>
      </c>
      <c r="L12" s="52">
        <v>28.125</v>
      </c>
      <c r="M12" s="52">
        <v>28.125</v>
      </c>
      <c r="N12" s="52">
        <v>28.125</v>
      </c>
      <c r="O12" s="52">
        <v>28.125</v>
      </c>
      <c r="P12" s="54">
        <v>28.125</v>
      </c>
      <c r="Q12" s="52">
        <v>15</v>
      </c>
      <c r="R12" s="52">
        <v>15.625</v>
      </c>
      <c r="S12" s="52">
        <v>17.8125</v>
      </c>
      <c r="T12" s="52">
        <v>19.0625</v>
      </c>
      <c r="U12" s="52">
        <v>18.75</v>
      </c>
      <c r="V12" s="52">
        <v>17.1875</v>
      </c>
      <c r="W12" s="52">
        <v>15.9375</v>
      </c>
      <c r="X12" s="52">
        <v>14.0625</v>
      </c>
      <c r="Y12" s="52">
        <v>10.625</v>
      </c>
      <c r="Z12" s="52">
        <v>9.0625</v>
      </c>
      <c r="AA12" s="52">
        <v>6.5625</v>
      </c>
      <c r="AB12" s="52">
        <v>5</v>
      </c>
      <c r="AC12" s="54">
        <v>5</v>
      </c>
    </row>
    <row r="13" spans="2:29" x14ac:dyDescent="0.2">
      <c r="B13" s="55" t="s">
        <v>29</v>
      </c>
      <c r="C13" s="55">
        <v>5020</v>
      </c>
      <c r="D13" s="52">
        <v>7.9681274900398407</v>
      </c>
      <c r="E13" s="52">
        <v>9.9601593625498008</v>
      </c>
      <c r="F13" s="52">
        <v>13.147410358565738</v>
      </c>
      <c r="G13" s="52">
        <v>14.741035856573706</v>
      </c>
      <c r="H13" s="52">
        <v>15.737051792828687</v>
      </c>
      <c r="I13" s="52">
        <v>15.936254980079681</v>
      </c>
      <c r="J13" s="52">
        <v>17.131474103585656</v>
      </c>
      <c r="K13" s="52">
        <v>17.729083665338646</v>
      </c>
      <c r="L13" s="52">
        <v>17.928286852589643</v>
      </c>
      <c r="M13" s="52">
        <v>17.928286852589643</v>
      </c>
      <c r="N13" s="52">
        <v>18.127490039840637</v>
      </c>
      <c r="O13" s="52">
        <v>18.127490039840637</v>
      </c>
      <c r="P13" s="54">
        <v>18.127490039840637</v>
      </c>
      <c r="Q13" s="52">
        <v>7.9681274900398407</v>
      </c>
      <c r="R13" s="52">
        <v>9.1633466135458157</v>
      </c>
      <c r="S13" s="52">
        <v>10.159362549800797</v>
      </c>
      <c r="T13" s="52">
        <v>10.756972111553786</v>
      </c>
      <c r="U13" s="52">
        <v>10.956175298804782</v>
      </c>
      <c r="V13" s="52">
        <v>9.9601593625498008</v>
      </c>
      <c r="W13" s="52">
        <v>10.358565737051793</v>
      </c>
      <c r="X13" s="52">
        <v>9.760956175298805</v>
      </c>
      <c r="Y13" s="52">
        <v>8.7649402390438258</v>
      </c>
      <c r="Z13" s="52">
        <v>8.1673306772908365</v>
      </c>
      <c r="AA13" s="52">
        <v>7.3705179282868531</v>
      </c>
      <c r="AB13" s="52">
        <v>5.5776892430278888</v>
      </c>
      <c r="AC13" s="54">
        <v>5.5776892430278888</v>
      </c>
    </row>
    <row r="14" spans="2:29" x14ac:dyDescent="0.2">
      <c r="B14" s="55" t="s">
        <v>31</v>
      </c>
      <c r="C14" s="55">
        <v>4500</v>
      </c>
      <c r="D14" s="52">
        <v>7.333333333333333</v>
      </c>
      <c r="E14" s="52">
        <v>8.2222222222222232</v>
      </c>
      <c r="F14" s="52">
        <v>10.888888888888889</v>
      </c>
      <c r="G14" s="52">
        <v>12.888888888888889</v>
      </c>
      <c r="H14" s="52">
        <v>13.555555555555555</v>
      </c>
      <c r="I14" s="52">
        <v>14</v>
      </c>
      <c r="J14" s="52">
        <v>14.222222222222223</v>
      </c>
      <c r="K14" s="52">
        <v>14.888888888888889</v>
      </c>
      <c r="L14" s="52">
        <v>14.888888888888889</v>
      </c>
      <c r="M14" s="52">
        <v>14.888888888888889</v>
      </c>
      <c r="N14" s="52">
        <v>15.111111111111112</v>
      </c>
      <c r="O14" s="52">
        <v>15.555555555555555</v>
      </c>
      <c r="P14" s="54">
        <v>15.777777777777779</v>
      </c>
      <c r="Q14" s="52">
        <v>7.333333333333333</v>
      </c>
      <c r="R14" s="52">
        <v>6.4444444444444446</v>
      </c>
      <c r="S14" s="52">
        <v>7.333333333333333</v>
      </c>
      <c r="T14" s="52">
        <v>8</v>
      </c>
      <c r="U14" s="52">
        <v>7.5555555555555562</v>
      </c>
      <c r="V14" s="52">
        <v>6.4444444444444446</v>
      </c>
      <c r="W14" s="52">
        <v>5.1111111111111116</v>
      </c>
      <c r="X14" s="52">
        <v>5.333333333333333</v>
      </c>
      <c r="Y14" s="52">
        <v>3.7777777777777781</v>
      </c>
      <c r="Z14" s="52">
        <v>2.4444444444444442</v>
      </c>
      <c r="AA14" s="52">
        <v>1.1111111111111112</v>
      </c>
      <c r="AB14" s="52">
        <v>1.3333333333333333</v>
      </c>
      <c r="AC14" s="54">
        <v>1.5555555555555554</v>
      </c>
    </row>
    <row r="15" spans="2:29" x14ac:dyDescent="0.2">
      <c r="B15" s="55" t="s">
        <v>32</v>
      </c>
      <c r="C15" s="55">
        <v>5600</v>
      </c>
      <c r="D15" s="52">
        <v>8.0357142857142847</v>
      </c>
      <c r="E15" s="52">
        <v>9.2857142857142865</v>
      </c>
      <c r="F15" s="52">
        <v>11.785714285714286</v>
      </c>
      <c r="G15" s="52">
        <v>13.571428571428571</v>
      </c>
      <c r="H15" s="52">
        <v>14.464285714285714</v>
      </c>
      <c r="I15" s="52">
        <v>14.821428571428573</v>
      </c>
      <c r="J15" s="52">
        <v>15</v>
      </c>
      <c r="K15" s="52">
        <v>15.357142857142858</v>
      </c>
      <c r="L15" s="52">
        <v>15.535714285714286</v>
      </c>
      <c r="M15" s="52">
        <v>15.535714285714286</v>
      </c>
      <c r="N15" s="52">
        <v>15.535714285714286</v>
      </c>
      <c r="O15" s="52">
        <v>15.535714285714286</v>
      </c>
      <c r="P15" s="54">
        <v>15.535714285714286</v>
      </c>
      <c r="Q15" s="52">
        <v>8.0357142857142847</v>
      </c>
      <c r="R15" s="52">
        <v>8.3928571428571423</v>
      </c>
      <c r="S15" s="52">
        <v>9.6428571428571423</v>
      </c>
      <c r="T15" s="52">
        <v>10.357142857142856</v>
      </c>
      <c r="U15" s="52">
        <v>10.178571428571429</v>
      </c>
      <c r="V15" s="52">
        <v>9.2857142857142865</v>
      </c>
      <c r="W15" s="52">
        <v>8.5714285714285712</v>
      </c>
      <c r="X15" s="52">
        <v>7.5</v>
      </c>
      <c r="Y15" s="52">
        <v>5.5357142857142856</v>
      </c>
      <c r="Z15" s="52">
        <v>4.6428571428571432</v>
      </c>
      <c r="AA15" s="52">
        <v>3.5714285714285712</v>
      </c>
      <c r="AB15" s="52">
        <v>2.6785714285714284</v>
      </c>
      <c r="AC15" s="54">
        <v>2.6785714285714284</v>
      </c>
    </row>
    <row r="16" spans="2:29" x14ac:dyDescent="0.2">
      <c r="B16" s="55" t="s">
        <v>33</v>
      </c>
      <c r="C16" s="55">
        <v>5600</v>
      </c>
      <c r="D16" s="52">
        <v>8.2142857142857135</v>
      </c>
      <c r="E16" s="52">
        <v>10</v>
      </c>
      <c r="F16" s="52">
        <v>12.857142857142858</v>
      </c>
      <c r="G16" s="52">
        <v>14.285714285714285</v>
      </c>
      <c r="H16" s="52">
        <v>15.178571428571429</v>
      </c>
      <c r="I16" s="52">
        <v>15.357142857142858</v>
      </c>
      <c r="J16" s="52">
        <v>16.428571428571427</v>
      </c>
      <c r="K16" s="52">
        <v>16.964285714285712</v>
      </c>
      <c r="L16" s="52">
        <v>17.142857142857142</v>
      </c>
      <c r="M16" s="52">
        <v>17.142857142857142</v>
      </c>
      <c r="N16" s="52">
        <v>17.321428571428569</v>
      </c>
      <c r="O16" s="52">
        <v>17.321428571428569</v>
      </c>
      <c r="P16" s="54">
        <v>17.321428571428569</v>
      </c>
      <c r="Q16" s="52">
        <v>8.2142857142857135</v>
      </c>
      <c r="R16" s="52">
        <v>9.2857142857142865</v>
      </c>
      <c r="S16" s="52">
        <v>10.178571428571429</v>
      </c>
      <c r="T16" s="52">
        <v>10.714285714285714</v>
      </c>
      <c r="U16" s="52">
        <v>10.178571428571429</v>
      </c>
      <c r="V16" s="52">
        <v>9.2857142857142865</v>
      </c>
      <c r="W16" s="52">
        <v>9.6428571428571423</v>
      </c>
      <c r="X16" s="52">
        <v>9.1071428571428577</v>
      </c>
      <c r="Y16" s="52">
        <v>7.8571428571428577</v>
      </c>
      <c r="Z16" s="52">
        <v>7.3214285714285712</v>
      </c>
      <c r="AA16" s="52">
        <v>6.6071428571428577</v>
      </c>
      <c r="AB16" s="52">
        <v>5</v>
      </c>
      <c r="AC16" s="54">
        <v>5</v>
      </c>
    </row>
    <row r="17" spans="2:29" x14ac:dyDescent="0.2">
      <c r="B17" s="55" t="s">
        <v>35</v>
      </c>
      <c r="C17" s="55">
        <v>6750</v>
      </c>
      <c r="D17" s="52">
        <v>8.148148148148147</v>
      </c>
      <c r="E17" s="52">
        <v>10.222222222222223</v>
      </c>
      <c r="F17" s="52">
        <v>12</v>
      </c>
      <c r="G17" s="52">
        <v>13.333333333333334</v>
      </c>
      <c r="H17" s="52">
        <v>13.777777777777779</v>
      </c>
      <c r="I17" s="52">
        <v>14.074074074074074</v>
      </c>
      <c r="J17" s="52">
        <v>14.222222222222223</v>
      </c>
      <c r="K17" s="52">
        <v>14.666666666666666</v>
      </c>
      <c r="L17" s="52">
        <v>14.666666666666666</v>
      </c>
      <c r="M17" s="52">
        <v>14.666666666666666</v>
      </c>
      <c r="N17" s="52">
        <v>14.814814814814815</v>
      </c>
      <c r="O17" s="52">
        <v>15.111111111111112</v>
      </c>
      <c r="P17" s="54">
        <v>15.111111111111112</v>
      </c>
      <c r="Q17" s="52">
        <v>8.148148148148147</v>
      </c>
      <c r="R17" s="52">
        <v>9.0370370370370381</v>
      </c>
      <c r="S17" s="52">
        <v>9.6296296296296298</v>
      </c>
      <c r="T17" s="52">
        <v>8.5925925925925934</v>
      </c>
      <c r="U17" s="52">
        <v>7.7037037037037042</v>
      </c>
      <c r="V17" s="52">
        <v>6.9629629629629637</v>
      </c>
      <c r="W17" s="52">
        <v>6.0740740740740735</v>
      </c>
      <c r="X17" s="52">
        <v>6.2222222222222214</v>
      </c>
      <c r="Y17" s="52">
        <v>3.7037037037037037</v>
      </c>
      <c r="Z17" s="52">
        <v>2.8148148148148149</v>
      </c>
      <c r="AA17" s="52">
        <v>1.925925925925926</v>
      </c>
      <c r="AB17" s="52">
        <v>2.074074074074074</v>
      </c>
      <c r="AC17" s="54">
        <v>2.074074074074074</v>
      </c>
    </row>
    <row r="18" spans="2:29" x14ac:dyDescent="0.2">
      <c r="B18" s="55" t="s">
        <v>36</v>
      </c>
      <c r="C18" s="56">
        <v>7504</v>
      </c>
      <c r="D18" s="52">
        <v>6.6631130063965882</v>
      </c>
      <c r="E18" s="52">
        <v>7.9957356076759067</v>
      </c>
      <c r="F18" s="52">
        <v>10.127931769722816</v>
      </c>
      <c r="G18" s="52">
        <v>11.194029850746269</v>
      </c>
      <c r="H18" s="52">
        <v>11.860341151385928</v>
      </c>
      <c r="I18" s="52">
        <v>11.99360341151386</v>
      </c>
      <c r="J18" s="52">
        <v>12.793176972281449</v>
      </c>
      <c r="K18" s="52">
        <v>13.192963752665245</v>
      </c>
      <c r="L18" s="52">
        <v>13.326226012793176</v>
      </c>
      <c r="M18" s="52">
        <v>13.326226012793176</v>
      </c>
      <c r="N18" s="52">
        <v>13.459488272921108</v>
      </c>
      <c r="O18" s="52">
        <v>13.459488272921108</v>
      </c>
      <c r="P18" s="54">
        <v>13.459488272921108</v>
      </c>
      <c r="Q18" s="52">
        <v>6.6631130063965882</v>
      </c>
      <c r="R18" s="52">
        <v>7.4626865671641793</v>
      </c>
      <c r="S18" s="52">
        <v>8.1289978678038377</v>
      </c>
      <c r="T18" s="52">
        <v>8.5287846481876333</v>
      </c>
      <c r="U18" s="52">
        <v>8.1289978678038377</v>
      </c>
      <c r="V18" s="52">
        <v>7.4626865671641793</v>
      </c>
      <c r="W18" s="52">
        <v>7.7292110874200421</v>
      </c>
      <c r="X18" s="52">
        <v>7.3294243070362475</v>
      </c>
      <c r="Y18" s="52">
        <v>6.3965884861407245</v>
      </c>
      <c r="Z18" s="52">
        <v>5.9968017057569298</v>
      </c>
      <c r="AA18" s="52">
        <v>5.4637526652452024</v>
      </c>
      <c r="AB18" s="52">
        <v>4.2643923240938166</v>
      </c>
      <c r="AC18" s="54">
        <v>4.2643923240938166</v>
      </c>
    </row>
    <row r="19" spans="2:29" x14ac:dyDescent="0.2">
      <c r="B19" s="55" t="s">
        <v>48</v>
      </c>
      <c r="C19" s="55"/>
      <c r="D19" s="57">
        <f>AVERAGE(D4:D18)</f>
        <v>10.124675460936329</v>
      </c>
      <c r="E19" s="57">
        <f t="shared" ref="E19:AC19" si="0">AVERAGE(E4:E18)</f>
        <v>11.397877599079177</v>
      </c>
      <c r="F19" s="57">
        <f t="shared" si="0"/>
        <v>13.43341366550777</v>
      </c>
      <c r="G19" s="57">
        <f t="shared" si="0"/>
        <v>14.033871478648756</v>
      </c>
      <c r="H19" s="57">
        <f t="shared" si="0"/>
        <v>15.359661311322663</v>
      </c>
      <c r="I19" s="57">
        <f t="shared" si="0"/>
        <v>15.998462093283479</v>
      </c>
      <c r="J19" s="57">
        <f t="shared" si="0"/>
        <v>16.594440902122514</v>
      </c>
      <c r="K19" s="57">
        <f t="shared" si="0"/>
        <v>17.190431259484704</v>
      </c>
      <c r="L19" s="57">
        <f t="shared" si="0"/>
        <v>17.368286874961893</v>
      </c>
      <c r="M19" s="57">
        <f t="shared" si="0"/>
        <v>17.368286874961893</v>
      </c>
      <c r="N19" s="57">
        <f t="shared" si="0"/>
        <v>17.571143873969056</v>
      </c>
      <c r="O19" s="57">
        <f t="shared" si="0"/>
        <v>17.620526590018436</v>
      </c>
      <c r="P19" s="57">
        <f t="shared" si="0"/>
        <v>17.718803063158798</v>
      </c>
      <c r="Q19" s="58">
        <f t="shared" si="0"/>
        <v>10.124675460936329</v>
      </c>
      <c r="R19" s="57">
        <f t="shared" si="0"/>
        <v>10.008364742564764</v>
      </c>
      <c r="S19" s="57">
        <f t="shared" si="0"/>
        <v>10.349109062037007</v>
      </c>
      <c r="T19" s="57">
        <f t="shared" si="0"/>
        <v>10.048821746792925</v>
      </c>
      <c r="U19" s="57">
        <f t="shared" si="0"/>
        <v>9.3211752898167699</v>
      </c>
      <c r="V19" s="57">
        <f t="shared" si="0"/>
        <v>8.7968826215321165</v>
      </c>
      <c r="W19" s="57">
        <f t="shared" si="0"/>
        <v>8.166421060649439</v>
      </c>
      <c r="X19" s="57">
        <f t="shared" si="0"/>
        <v>7.0288469783017398</v>
      </c>
      <c r="Y19" s="57">
        <f t="shared" si="0"/>
        <v>4.9368912921555017</v>
      </c>
      <c r="Z19" s="57">
        <f t="shared" si="0"/>
        <v>3.8756237255546164</v>
      </c>
      <c r="AA19" s="57">
        <f t="shared" si="0"/>
        <v>2.8532298989907092</v>
      </c>
      <c r="AB19" s="57">
        <f t="shared" si="0"/>
        <v>2.0110953516407042</v>
      </c>
      <c r="AC19" s="57">
        <f t="shared" si="0"/>
        <v>2.0766764499804236</v>
      </c>
    </row>
    <row r="20" spans="2:29" x14ac:dyDescent="0.2">
      <c r="B20" s="59"/>
      <c r="C20" s="59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</row>
    <row r="21" spans="2:29" x14ac:dyDescent="0.2">
      <c r="B21" s="109" t="s">
        <v>55</v>
      </c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</row>
    <row r="22" spans="2:29" x14ac:dyDescent="0.2">
      <c r="B22" s="113" t="s">
        <v>51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 t="s">
        <v>52</v>
      </c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</row>
    <row r="23" spans="2:29" ht="25.5" x14ac:dyDescent="0.2">
      <c r="B23" s="49" t="s">
        <v>53</v>
      </c>
      <c r="C23" s="50" t="s">
        <v>3</v>
      </c>
      <c r="D23" s="60">
        <v>0</v>
      </c>
      <c r="E23" s="50">
        <v>1</v>
      </c>
      <c r="F23" s="50">
        <v>2</v>
      </c>
      <c r="G23" s="50">
        <v>3</v>
      </c>
      <c r="H23" s="50">
        <v>4</v>
      </c>
      <c r="I23" s="50">
        <v>5</v>
      </c>
      <c r="J23" s="50">
        <v>6</v>
      </c>
      <c r="K23" s="50">
        <v>7</v>
      </c>
      <c r="L23" s="50">
        <v>8</v>
      </c>
      <c r="M23" s="50">
        <v>9</v>
      </c>
      <c r="N23" s="50">
        <v>10</v>
      </c>
      <c r="O23" s="50">
        <v>11</v>
      </c>
      <c r="P23" s="50">
        <v>12</v>
      </c>
      <c r="Q23" s="60">
        <v>0</v>
      </c>
      <c r="R23" s="50">
        <v>1</v>
      </c>
      <c r="S23" s="50">
        <v>2</v>
      </c>
      <c r="T23" s="50">
        <v>3</v>
      </c>
      <c r="U23" s="50">
        <v>4</v>
      </c>
      <c r="V23" s="50">
        <v>5</v>
      </c>
      <c r="W23" s="50">
        <v>6</v>
      </c>
      <c r="X23" s="50">
        <v>7</v>
      </c>
      <c r="Y23" s="50">
        <v>8</v>
      </c>
      <c r="Z23" s="50">
        <v>9</v>
      </c>
      <c r="AA23" s="50">
        <v>10</v>
      </c>
      <c r="AB23" s="50">
        <v>11</v>
      </c>
      <c r="AC23" s="50">
        <v>12</v>
      </c>
    </row>
    <row r="24" spans="2:29" x14ac:dyDescent="0.2">
      <c r="B24" s="55" t="s">
        <v>8</v>
      </c>
      <c r="C24" s="55">
        <v>3780</v>
      </c>
      <c r="D24" s="48">
        <v>10.052910052910054</v>
      </c>
      <c r="E24" s="48">
        <v>11.640211640211639</v>
      </c>
      <c r="F24" s="48">
        <v>13.756613756613756</v>
      </c>
      <c r="G24" s="48">
        <v>14.285714285714285</v>
      </c>
      <c r="H24" s="48">
        <v>15.079365079365079</v>
      </c>
      <c r="I24" s="48">
        <v>16.137566137566139</v>
      </c>
      <c r="J24" s="48">
        <v>16.402116402116402</v>
      </c>
      <c r="K24" s="48">
        <v>17.724867724867725</v>
      </c>
      <c r="L24" s="48">
        <v>17.724867724867725</v>
      </c>
      <c r="M24" s="48">
        <v>17.724867724867725</v>
      </c>
      <c r="N24" s="48">
        <v>17.989417989417991</v>
      </c>
      <c r="O24" s="48">
        <v>17.989417989417991</v>
      </c>
      <c r="P24" s="54">
        <v>18.253968253968257</v>
      </c>
      <c r="Q24" s="48">
        <v>10.052910052910054</v>
      </c>
      <c r="R24" s="48">
        <v>10.582010582010582</v>
      </c>
      <c r="S24" s="48">
        <v>10.582010582010582</v>
      </c>
      <c r="T24" s="48">
        <v>10.317460317460318</v>
      </c>
      <c r="U24" s="48">
        <v>9.7883597883597897</v>
      </c>
      <c r="V24" s="48">
        <v>9.5238095238095255</v>
      </c>
      <c r="W24" s="48">
        <v>7.9365079365079358</v>
      </c>
      <c r="X24" s="48">
        <v>7.1428571428571423</v>
      </c>
      <c r="Y24" s="48">
        <v>4.4973544973544977</v>
      </c>
      <c r="Z24" s="48">
        <v>2.9100529100529098</v>
      </c>
      <c r="AA24" s="48">
        <v>1.3227513227513228</v>
      </c>
      <c r="AB24" s="48">
        <v>0.52910052910052918</v>
      </c>
      <c r="AC24" s="53">
        <v>0.52910052910052918</v>
      </c>
    </row>
    <row r="25" spans="2:29" x14ac:dyDescent="0.2">
      <c r="B25" s="55" t="s">
        <v>12</v>
      </c>
      <c r="C25" s="55">
        <v>4925</v>
      </c>
      <c r="D25" s="48">
        <v>8.9340101522842641</v>
      </c>
      <c r="E25" s="48">
        <v>9.746192893401016</v>
      </c>
      <c r="F25" s="48">
        <v>10.355329949238579</v>
      </c>
      <c r="G25" s="48">
        <v>11.370558375634518</v>
      </c>
      <c r="H25" s="48">
        <v>11.776649746192895</v>
      </c>
      <c r="I25" s="48">
        <v>12.385786802030458</v>
      </c>
      <c r="J25" s="48">
        <v>12.791878172588831</v>
      </c>
      <c r="K25" s="48">
        <v>12.99492385786802</v>
      </c>
      <c r="L25" s="48">
        <v>13.197969543147208</v>
      </c>
      <c r="M25" s="48">
        <v>13.197969543147208</v>
      </c>
      <c r="N25" s="48">
        <v>13.401015228426397</v>
      </c>
      <c r="O25" s="48">
        <v>13.401015228426397</v>
      </c>
      <c r="P25" s="54">
        <v>13.401015228426397</v>
      </c>
      <c r="Q25" s="48">
        <v>8.9340101522842641</v>
      </c>
      <c r="R25" s="48">
        <v>8.5279187817258872</v>
      </c>
      <c r="S25" s="48">
        <v>7.5126903553299496</v>
      </c>
      <c r="T25" s="48">
        <v>7.1065989847715736</v>
      </c>
      <c r="U25" s="48">
        <v>6.7005076142131985</v>
      </c>
      <c r="V25" s="48">
        <v>5.8883248730964475</v>
      </c>
      <c r="W25" s="48">
        <v>5.2791878172588831</v>
      </c>
      <c r="X25" s="48">
        <v>3.4517766497461926</v>
      </c>
      <c r="Y25" s="48">
        <v>1.4213197969543148</v>
      </c>
      <c r="Z25" s="48">
        <v>0.40609137055837563</v>
      </c>
      <c r="AA25" s="48">
        <v>0.20304568527918782</v>
      </c>
      <c r="AB25" s="48">
        <v>0.20304568527918782</v>
      </c>
      <c r="AC25" s="54">
        <v>0.20304568527918782</v>
      </c>
    </row>
    <row r="26" spans="2:29" x14ac:dyDescent="0.2">
      <c r="B26" s="55" t="s">
        <v>13</v>
      </c>
      <c r="C26" s="55">
        <v>5645</v>
      </c>
      <c r="D26" s="48">
        <v>7.6173604960141716</v>
      </c>
      <c r="E26" s="48">
        <v>7.9716563330380872</v>
      </c>
      <c r="F26" s="48">
        <v>8.6802480070859165</v>
      </c>
      <c r="G26" s="48">
        <v>9.2116917626217898</v>
      </c>
      <c r="H26" s="48">
        <v>9.9202834366696191</v>
      </c>
      <c r="I26" s="48">
        <v>10.274579273693535</v>
      </c>
      <c r="J26" s="48">
        <v>10.451727192205492</v>
      </c>
      <c r="K26" s="48">
        <v>10.983170947741364</v>
      </c>
      <c r="L26" s="48">
        <v>10.983170947741364</v>
      </c>
      <c r="M26" s="48">
        <v>10.983170947741364</v>
      </c>
      <c r="N26" s="48">
        <v>11.160318866253322</v>
      </c>
      <c r="O26" s="48">
        <v>11.160318866253322</v>
      </c>
      <c r="P26" s="54">
        <v>11.337466784765279</v>
      </c>
      <c r="Q26" s="48">
        <v>7.6173604960141716</v>
      </c>
      <c r="R26" s="48">
        <v>6.5544729849424268</v>
      </c>
      <c r="S26" s="48">
        <v>6.2001771479185122</v>
      </c>
      <c r="T26" s="48">
        <v>6.0230292294065544</v>
      </c>
      <c r="U26" s="48">
        <v>5.8458813108945975</v>
      </c>
      <c r="V26" s="48">
        <v>5.3144375553587242</v>
      </c>
      <c r="W26" s="48">
        <v>4.2515500442869794</v>
      </c>
      <c r="X26" s="48">
        <v>3.3658104517271918</v>
      </c>
      <c r="Y26" s="48">
        <v>2.1257750221434897</v>
      </c>
      <c r="Z26" s="48">
        <v>1.0628875110717448</v>
      </c>
      <c r="AA26" s="48">
        <v>0.70859167404782997</v>
      </c>
      <c r="AB26" s="48">
        <v>0.35429583702391498</v>
      </c>
      <c r="AC26" s="54">
        <v>0.35429583702391498</v>
      </c>
    </row>
    <row r="27" spans="2:29" x14ac:dyDescent="0.2">
      <c r="B27" s="55" t="s">
        <v>15</v>
      </c>
      <c r="C27" s="55">
        <v>6323</v>
      </c>
      <c r="D27" s="48">
        <v>6.0098054720860352</v>
      </c>
      <c r="E27" s="48">
        <v>6.6424165744108805</v>
      </c>
      <c r="F27" s="48">
        <v>7.1168749011545156</v>
      </c>
      <c r="G27" s="48">
        <v>7.9076387790605729</v>
      </c>
      <c r="H27" s="48">
        <v>8.2239443302229951</v>
      </c>
      <c r="I27" s="48">
        <v>8.6984026569666302</v>
      </c>
      <c r="J27" s="48">
        <v>9.0147082081290524</v>
      </c>
      <c r="K27" s="48">
        <v>9.1728609837102635</v>
      </c>
      <c r="L27" s="48">
        <v>9.3310137592914764</v>
      </c>
      <c r="M27" s="48">
        <v>9.3310137592914764</v>
      </c>
      <c r="N27" s="48">
        <v>9.4891665348726857</v>
      </c>
      <c r="O27" s="48">
        <v>9.4891665348726857</v>
      </c>
      <c r="P27" s="54">
        <v>9.4891665348726857</v>
      </c>
      <c r="Q27" s="48">
        <v>6.0098054720860352</v>
      </c>
      <c r="R27" s="48">
        <v>5.6934999209236121</v>
      </c>
      <c r="S27" s="48">
        <v>5.2190415941799779</v>
      </c>
      <c r="T27" s="48">
        <v>4.9027360430175548</v>
      </c>
      <c r="U27" s="48">
        <v>4.5864304918551317</v>
      </c>
      <c r="V27" s="48">
        <v>3.9538193895302864</v>
      </c>
      <c r="W27" s="48">
        <v>3.4793610627866518</v>
      </c>
      <c r="X27" s="48">
        <v>2.688597184880595</v>
      </c>
      <c r="Y27" s="48">
        <v>1.1070694290684802</v>
      </c>
      <c r="Z27" s="48">
        <v>0.31630555116242293</v>
      </c>
      <c r="AA27" s="48">
        <v>0.15815277558121146</v>
      </c>
      <c r="AB27" s="48">
        <v>0.15815277558121146</v>
      </c>
      <c r="AC27" s="54">
        <v>0.15815277558121146</v>
      </c>
    </row>
    <row r="28" spans="2:29" x14ac:dyDescent="0.2">
      <c r="B28" s="55" t="s">
        <v>16</v>
      </c>
      <c r="C28" s="55">
        <v>3809</v>
      </c>
      <c r="D28" s="48">
        <v>11.026516145970071</v>
      </c>
      <c r="E28" s="48">
        <v>11.551588343397217</v>
      </c>
      <c r="F28" s="48">
        <v>12.60173273825151</v>
      </c>
      <c r="G28" s="48">
        <v>13.389341034392229</v>
      </c>
      <c r="H28" s="48">
        <v>14.439485429246522</v>
      </c>
      <c r="I28" s="48">
        <v>14.964557626673667</v>
      </c>
      <c r="J28" s="48">
        <v>15.22709372538724</v>
      </c>
      <c r="K28" s="48">
        <v>16.01470202152796</v>
      </c>
      <c r="L28" s="48">
        <v>16.01470202152796</v>
      </c>
      <c r="M28" s="48">
        <v>16.01470202152796</v>
      </c>
      <c r="N28" s="48">
        <v>16.277238120241535</v>
      </c>
      <c r="O28" s="48">
        <v>16.277238120241535</v>
      </c>
      <c r="P28" s="54">
        <v>16.539774218955106</v>
      </c>
      <c r="Q28" s="48">
        <v>11.026516145970071</v>
      </c>
      <c r="R28" s="48">
        <v>9.4512995536886333</v>
      </c>
      <c r="S28" s="48">
        <v>8.9262273562614851</v>
      </c>
      <c r="T28" s="48">
        <v>8.6636912575479137</v>
      </c>
      <c r="U28" s="48">
        <v>8.4011551588343405</v>
      </c>
      <c r="V28" s="48">
        <v>7.61354686269362</v>
      </c>
      <c r="W28" s="48">
        <v>6.0383302704121817</v>
      </c>
      <c r="X28" s="48">
        <v>4.7256497768443166</v>
      </c>
      <c r="Y28" s="48">
        <v>3.1504331845628775</v>
      </c>
      <c r="Z28" s="48">
        <v>1.5752165922814387</v>
      </c>
      <c r="AA28" s="48">
        <v>1.0501443948542926</v>
      </c>
      <c r="AB28" s="48">
        <v>0.52507219742714628</v>
      </c>
      <c r="AC28" s="54">
        <v>0.52507219742714628</v>
      </c>
    </row>
    <row r="29" spans="2:29" x14ac:dyDescent="0.2">
      <c r="B29" s="55" t="s">
        <v>21</v>
      </c>
      <c r="C29" s="55">
        <v>5215</v>
      </c>
      <c r="D29" s="48">
        <v>6.9031639501438153</v>
      </c>
      <c r="E29" s="48">
        <v>7.4784276126558007</v>
      </c>
      <c r="F29" s="48">
        <v>8.2454458293384469</v>
      </c>
      <c r="G29" s="48">
        <v>9.2042186001917532</v>
      </c>
      <c r="H29" s="48">
        <v>9.3959731543624159</v>
      </c>
      <c r="I29" s="48">
        <v>10.162991371045063</v>
      </c>
      <c r="J29" s="48">
        <v>10.354745925215724</v>
      </c>
      <c r="K29" s="48">
        <v>10.738255033557046</v>
      </c>
      <c r="L29" s="48">
        <v>10.930009587727708</v>
      </c>
      <c r="M29" s="48">
        <v>10.930009587727708</v>
      </c>
      <c r="N29" s="48">
        <v>11.121764141898371</v>
      </c>
      <c r="O29" s="48">
        <v>11.121764141898371</v>
      </c>
      <c r="P29" s="54">
        <v>11.313518696069032</v>
      </c>
      <c r="Q29" s="48">
        <v>6.9031639501438153</v>
      </c>
      <c r="R29" s="48">
        <v>6.3279002876318318</v>
      </c>
      <c r="S29" s="48">
        <v>5.7526366251198464</v>
      </c>
      <c r="T29" s="48">
        <v>5.7526366251198464</v>
      </c>
      <c r="U29" s="48">
        <v>5.177372962607862</v>
      </c>
      <c r="V29" s="48">
        <v>4.7938638542665393</v>
      </c>
      <c r="W29" s="48">
        <v>4.4103547459252157</v>
      </c>
      <c r="X29" s="48">
        <v>2.8763183125599232</v>
      </c>
      <c r="Y29" s="48">
        <v>1.1505273250239691</v>
      </c>
      <c r="Z29" s="48">
        <v>0.19175455417066153</v>
      </c>
      <c r="AA29" s="48">
        <v>0</v>
      </c>
      <c r="AB29" s="48">
        <v>0</v>
      </c>
      <c r="AC29" s="54">
        <v>0</v>
      </c>
    </row>
    <row r="30" spans="2:29" x14ac:dyDescent="0.2">
      <c r="B30" s="55" t="s">
        <v>6</v>
      </c>
      <c r="C30" s="55">
        <v>3900</v>
      </c>
      <c r="D30" s="48">
        <v>7.1794871794871797</v>
      </c>
      <c r="E30" s="48">
        <v>7.6923076923076925</v>
      </c>
      <c r="F30" s="48">
        <v>8.4615384615384617</v>
      </c>
      <c r="G30" s="48">
        <v>9.4871794871794872</v>
      </c>
      <c r="H30" s="48">
        <v>10.256410256410257</v>
      </c>
      <c r="I30" s="48">
        <v>11.025641025641026</v>
      </c>
      <c r="J30" s="48">
        <v>11.538461538461538</v>
      </c>
      <c r="K30" s="48">
        <v>12.051282051282051</v>
      </c>
      <c r="L30" s="48">
        <v>12.307692307692308</v>
      </c>
      <c r="M30" s="48">
        <v>12.307692307692308</v>
      </c>
      <c r="N30" s="48">
        <v>12.564102564102564</v>
      </c>
      <c r="O30" s="48">
        <v>12.564102564102564</v>
      </c>
      <c r="P30" s="54">
        <v>12.564102564102564</v>
      </c>
      <c r="Q30" s="48">
        <v>7.1794871794871797</v>
      </c>
      <c r="R30" s="48">
        <v>5.6410256410256414</v>
      </c>
      <c r="S30" s="48">
        <v>5.3846153846153841</v>
      </c>
      <c r="T30" s="48">
        <v>5.3846153846153841</v>
      </c>
      <c r="U30" s="48">
        <v>4.8717948717948723</v>
      </c>
      <c r="V30" s="48">
        <v>4.3589743589743586</v>
      </c>
      <c r="W30" s="48">
        <v>3.0769230769230771</v>
      </c>
      <c r="X30" s="48">
        <v>1.5384615384615385</v>
      </c>
      <c r="Y30" s="48">
        <v>0.76923076923076927</v>
      </c>
      <c r="Z30" s="48">
        <v>0.51282051282051277</v>
      </c>
      <c r="AA30" s="48">
        <v>0.25641025641025639</v>
      </c>
      <c r="AB30" s="48">
        <v>0</v>
      </c>
      <c r="AC30" s="54">
        <v>0</v>
      </c>
    </row>
    <row r="31" spans="2:29" x14ac:dyDescent="0.2">
      <c r="B31" s="55" t="s">
        <v>23</v>
      </c>
      <c r="C31" s="55">
        <v>5330</v>
      </c>
      <c r="D31" s="48">
        <v>5.6285178236397746</v>
      </c>
      <c r="E31" s="48">
        <v>6.7542213883677302</v>
      </c>
      <c r="F31" s="48">
        <v>7.5046904315197001</v>
      </c>
      <c r="G31" s="48">
        <v>7.6923076923076925</v>
      </c>
      <c r="H31" s="48">
        <v>8.2551594746716699</v>
      </c>
      <c r="I31" s="48">
        <v>8.6303939962476548</v>
      </c>
      <c r="J31" s="48">
        <v>9.0056285178236397</v>
      </c>
      <c r="K31" s="48">
        <v>9.5684803001876162</v>
      </c>
      <c r="L31" s="48">
        <v>9.7560975609756095</v>
      </c>
      <c r="M31" s="48">
        <v>9.7560975609756095</v>
      </c>
      <c r="N31" s="48">
        <v>9.9437148217636029</v>
      </c>
      <c r="O31" s="48">
        <v>9.9437148217636029</v>
      </c>
      <c r="P31" s="54">
        <v>9.9437148217636029</v>
      </c>
      <c r="Q31" s="48">
        <v>5.6285178236397746</v>
      </c>
      <c r="R31" s="48">
        <v>6.0037523452157595</v>
      </c>
      <c r="S31" s="48">
        <v>5.2532833020637897</v>
      </c>
      <c r="T31" s="48">
        <v>4.3151969981238274</v>
      </c>
      <c r="U31" s="48">
        <v>3.3771106941838651</v>
      </c>
      <c r="V31" s="48">
        <v>2.8142589118198873</v>
      </c>
      <c r="W31" s="48">
        <v>1.876172607879925</v>
      </c>
      <c r="X31" s="48">
        <v>1.3133208255159474</v>
      </c>
      <c r="Y31" s="48">
        <v>0.18761726078799248</v>
      </c>
      <c r="Z31" s="48">
        <v>0</v>
      </c>
      <c r="AA31" s="48">
        <v>0.18761726078799248</v>
      </c>
      <c r="AB31" s="48">
        <v>0</v>
      </c>
      <c r="AC31" s="54">
        <v>0</v>
      </c>
    </row>
    <row r="32" spans="2:29" x14ac:dyDescent="0.2">
      <c r="B32" s="55" t="s">
        <v>24</v>
      </c>
      <c r="C32" s="55">
        <v>5455</v>
      </c>
      <c r="D32" s="48">
        <v>6.5994500458295144</v>
      </c>
      <c r="E32" s="48">
        <v>7.1494042163153066</v>
      </c>
      <c r="F32" s="48">
        <v>7.8826764436296974</v>
      </c>
      <c r="G32" s="48">
        <v>8.7992667277726859</v>
      </c>
      <c r="H32" s="48">
        <v>8.9825847846012827</v>
      </c>
      <c r="I32" s="48">
        <v>9.7158570119156735</v>
      </c>
      <c r="J32" s="48">
        <v>9.8991750687442721</v>
      </c>
      <c r="K32" s="48">
        <v>10.265811182401468</v>
      </c>
      <c r="L32" s="48">
        <v>10.449129239230064</v>
      </c>
      <c r="M32" s="48">
        <v>10.449129239230064</v>
      </c>
      <c r="N32" s="48">
        <v>10.632447296058661</v>
      </c>
      <c r="O32" s="48">
        <v>10.632447296058661</v>
      </c>
      <c r="P32" s="54">
        <v>10.632447296058661</v>
      </c>
      <c r="Q32" s="48">
        <v>6.5994500458295144</v>
      </c>
      <c r="R32" s="48">
        <v>6.0494958753437214</v>
      </c>
      <c r="S32" s="48">
        <v>5.4995417048579283</v>
      </c>
      <c r="T32" s="48">
        <v>5.4995417048579283</v>
      </c>
      <c r="U32" s="48">
        <v>4.9495875343721361</v>
      </c>
      <c r="V32" s="48">
        <v>4.5829514207149407</v>
      </c>
      <c r="W32" s="48">
        <v>4.2163153070577453</v>
      </c>
      <c r="X32" s="48">
        <v>2.7497708524289641</v>
      </c>
      <c r="Y32" s="48">
        <v>1.0999083409715857</v>
      </c>
      <c r="Z32" s="48">
        <v>0.18331805682859761</v>
      </c>
      <c r="AA32" s="48">
        <v>0</v>
      </c>
      <c r="AB32" s="48">
        <v>0</v>
      </c>
      <c r="AC32" s="54">
        <v>0</v>
      </c>
    </row>
    <row r="33" spans="2:29" x14ac:dyDescent="0.2">
      <c r="B33" s="55" t="s">
        <v>25</v>
      </c>
      <c r="C33" s="55">
        <v>6200</v>
      </c>
      <c r="D33" s="48">
        <v>4.5161290322580649</v>
      </c>
      <c r="E33" s="48">
        <v>4.838709677419355</v>
      </c>
      <c r="F33" s="48">
        <v>5.32258064516129</v>
      </c>
      <c r="G33" s="48">
        <v>5.967741935483871</v>
      </c>
      <c r="H33" s="48">
        <v>6.4516129032258061</v>
      </c>
      <c r="I33" s="48">
        <v>6.935483870967742</v>
      </c>
      <c r="J33" s="48">
        <v>7.2580645161290329</v>
      </c>
      <c r="K33" s="48">
        <v>7.580645161290323</v>
      </c>
      <c r="L33" s="48">
        <v>7.741935483870968</v>
      </c>
      <c r="M33" s="48">
        <v>7.741935483870968</v>
      </c>
      <c r="N33" s="48">
        <v>7.9032258064516139</v>
      </c>
      <c r="O33" s="48">
        <v>7.9032258064516139</v>
      </c>
      <c r="P33" s="54">
        <v>7.9032258064516139</v>
      </c>
      <c r="Q33" s="48">
        <v>4.5161290322580649</v>
      </c>
      <c r="R33" s="48">
        <v>3.5483870967741939</v>
      </c>
      <c r="S33" s="48">
        <v>3.3870967741935485</v>
      </c>
      <c r="T33" s="48">
        <v>3.3870967741935485</v>
      </c>
      <c r="U33" s="48">
        <v>3.064516129032258</v>
      </c>
      <c r="V33" s="48">
        <v>2.7419354838709675</v>
      </c>
      <c r="W33" s="48">
        <v>1.935483870967742</v>
      </c>
      <c r="X33" s="48">
        <v>0.967741935483871</v>
      </c>
      <c r="Y33" s="48">
        <v>0.4838709677419355</v>
      </c>
      <c r="Z33" s="48">
        <v>0.32258064516129031</v>
      </c>
      <c r="AA33" s="48">
        <v>0.16129032258064516</v>
      </c>
      <c r="AB33" s="48">
        <v>0</v>
      </c>
      <c r="AC33" s="54">
        <v>0</v>
      </c>
    </row>
    <row r="34" spans="2:29" x14ac:dyDescent="0.2">
      <c r="B34" s="55" t="s">
        <v>26</v>
      </c>
      <c r="C34" s="55">
        <v>7100</v>
      </c>
      <c r="D34" s="48">
        <v>4.507042253521127</v>
      </c>
      <c r="E34" s="48">
        <v>4.9295774647887329</v>
      </c>
      <c r="F34" s="48">
        <v>5.492957746478873</v>
      </c>
      <c r="G34" s="48">
        <v>6.197183098591549</v>
      </c>
      <c r="H34" s="48">
        <v>6.3380281690140849</v>
      </c>
      <c r="I34" s="48">
        <v>6.901408450704225</v>
      </c>
      <c r="J34" s="48">
        <v>7.042253521126761</v>
      </c>
      <c r="K34" s="48">
        <v>7.323943661971831</v>
      </c>
      <c r="L34" s="48">
        <v>7.4647887323943669</v>
      </c>
      <c r="M34" s="48">
        <v>7.4647887323943669</v>
      </c>
      <c r="N34" s="48">
        <v>7.605633802816901</v>
      </c>
      <c r="O34" s="48">
        <v>7.605633802816901</v>
      </c>
      <c r="P34" s="54">
        <v>7.605633802816901</v>
      </c>
      <c r="Q34" s="48">
        <v>4.507042253521127</v>
      </c>
      <c r="R34" s="48">
        <v>4.084507042253521</v>
      </c>
      <c r="S34" s="48">
        <v>3.6619718309859155</v>
      </c>
      <c r="T34" s="48">
        <v>3.6619718309859155</v>
      </c>
      <c r="U34" s="48">
        <v>3.2394366197183095</v>
      </c>
      <c r="V34" s="48">
        <v>2.9577464788732395</v>
      </c>
      <c r="W34" s="48">
        <v>2.676056338028169</v>
      </c>
      <c r="X34" s="48">
        <v>1.8309859154929577</v>
      </c>
      <c r="Y34" s="48">
        <v>0.84507042253521136</v>
      </c>
      <c r="Z34" s="48">
        <v>0.14084507042253522</v>
      </c>
      <c r="AA34" s="48">
        <v>0</v>
      </c>
      <c r="AB34" s="48">
        <v>0</v>
      </c>
      <c r="AC34" s="54">
        <v>0</v>
      </c>
    </row>
    <row r="35" spans="2:29" x14ac:dyDescent="0.2">
      <c r="B35" s="55" t="s">
        <v>27</v>
      </c>
      <c r="C35" s="55">
        <v>4204</v>
      </c>
      <c r="D35" s="48">
        <v>5.7088487155090393</v>
      </c>
      <c r="E35" s="48">
        <v>6.1845861084681255</v>
      </c>
      <c r="F35" s="48">
        <v>6.8981921979067549</v>
      </c>
      <c r="G35" s="48">
        <v>7.8496669838249291</v>
      </c>
      <c r="H35" s="48">
        <v>8.5632730732635576</v>
      </c>
      <c r="I35" s="48">
        <v>9.2768791627021887</v>
      </c>
      <c r="J35" s="48">
        <v>9.7526165556612749</v>
      </c>
      <c r="K35" s="48">
        <v>10.228353948620361</v>
      </c>
      <c r="L35" s="48">
        <v>10.466222645099904</v>
      </c>
      <c r="M35" s="48">
        <v>10.466222645099904</v>
      </c>
      <c r="N35" s="48">
        <v>10.704091341579447</v>
      </c>
      <c r="O35" s="48">
        <v>10.704091341579447</v>
      </c>
      <c r="P35" s="54">
        <v>10.704091341579447</v>
      </c>
      <c r="Q35" s="48">
        <v>5.7088487155090393</v>
      </c>
      <c r="R35" s="48">
        <v>4.2816365366317788</v>
      </c>
      <c r="S35" s="48">
        <v>4.0437678401522366</v>
      </c>
      <c r="T35" s="48">
        <v>4.0437678401522366</v>
      </c>
      <c r="U35" s="48">
        <v>3.5680304471931494</v>
      </c>
      <c r="V35" s="48">
        <v>3.0922930542340628</v>
      </c>
      <c r="W35" s="48">
        <v>1.9029495718363465</v>
      </c>
      <c r="X35" s="48">
        <v>0.95147478591817325</v>
      </c>
      <c r="Y35" s="48">
        <v>0.71360608943862991</v>
      </c>
      <c r="Z35" s="48">
        <v>0.47573739295908662</v>
      </c>
      <c r="AA35" s="48">
        <v>0.23786869647954331</v>
      </c>
      <c r="AB35" s="48">
        <v>0</v>
      </c>
      <c r="AC35" s="54">
        <v>0</v>
      </c>
    </row>
    <row r="36" spans="2:29" x14ac:dyDescent="0.2">
      <c r="B36" s="55" t="s">
        <v>30</v>
      </c>
      <c r="C36" s="55">
        <v>5500</v>
      </c>
      <c r="D36" s="48">
        <v>5.454545454545455</v>
      </c>
      <c r="E36" s="48">
        <v>6.3636363636363642</v>
      </c>
      <c r="F36" s="48">
        <v>8.7272727272727284</v>
      </c>
      <c r="G36" s="48">
        <v>11.272727272727273</v>
      </c>
      <c r="H36" s="48">
        <v>12.727272727272728</v>
      </c>
      <c r="I36" s="48">
        <v>13.818181818181818</v>
      </c>
      <c r="J36" s="48">
        <v>14.181818181818183</v>
      </c>
      <c r="K36" s="48">
        <v>14.363636363636363</v>
      </c>
      <c r="L36" s="48">
        <v>14.545454545454545</v>
      </c>
      <c r="M36" s="48">
        <v>14.545454545454545</v>
      </c>
      <c r="N36" s="48">
        <v>14.727272727272728</v>
      </c>
      <c r="O36" s="48">
        <v>14.727272727272728</v>
      </c>
      <c r="P36" s="54">
        <v>14.909090909090908</v>
      </c>
      <c r="Q36" s="48">
        <v>5.454545454545455</v>
      </c>
      <c r="R36" s="48">
        <v>5.2727272727272725</v>
      </c>
      <c r="S36" s="48">
        <v>6.1818181818181817</v>
      </c>
      <c r="T36" s="48">
        <v>7.4545454545454541</v>
      </c>
      <c r="U36" s="48">
        <v>7.6363636363636367</v>
      </c>
      <c r="V36" s="48">
        <v>7.6363636363636367</v>
      </c>
      <c r="W36" s="48">
        <v>7.4545454545454541</v>
      </c>
      <c r="X36" s="48">
        <v>5.8181818181818175</v>
      </c>
      <c r="Y36" s="48">
        <v>3.8181818181818183</v>
      </c>
      <c r="Z36" s="48">
        <v>2.9090909090909087</v>
      </c>
      <c r="AA36" s="48">
        <v>2</v>
      </c>
      <c r="AB36" s="48">
        <v>1.2727272727272727</v>
      </c>
      <c r="AC36" s="54">
        <v>1.4545454545454544</v>
      </c>
    </row>
    <row r="37" spans="2:29" x14ac:dyDescent="0.2">
      <c r="B37" s="55" t="s">
        <v>34</v>
      </c>
      <c r="C37" s="55">
        <v>6100</v>
      </c>
      <c r="D37" s="48">
        <v>9.8360655737704921</v>
      </c>
      <c r="E37" s="48">
        <v>12.295081967213115</v>
      </c>
      <c r="F37" s="48">
        <v>14.426229508196721</v>
      </c>
      <c r="G37" s="48">
        <v>16.721311475409834</v>
      </c>
      <c r="H37" s="48">
        <v>18.032786885245901</v>
      </c>
      <c r="I37" s="48">
        <v>19.016393442622952</v>
      </c>
      <c r="J37" s="48">
        <v>19.344262295081968</v>
      </c>
      <c r="K37" s="48">
        <v>19.508196721311474</v>
      </c>
      <c r="L37" s="48">
        <v>19.672131147540984</v>
      </c>
      <c r="M37" s="48">
        <v>19.672131147540984</v>
      </c>
      <c r="N37" s="48">
        <v>19.836065573770494</v>
      </c>
      <c r="O37" s="48">
        <v>20.16393442622951</v>
      </c>
      <c r="P37" s="54">
        <v>20.16393442622951</v>
      </c>
      <c r="Q37" s="48">
        <v>9.8360655737704921</v>
      </c>
      <c r="R37" s="48">
        <v>11.311475409836065</v>
      </c>
      <c r="S37" s="48">
        <v>12.131147540983607</v>
      </c>
      <c r="T37" s="48">
        <v>13.278688524590164</v>
      </c>
      <c r="U37" s="48">
        <v>13.442622950819672</v>
      </c>
      <c r="V37" s="48">
        <v>13.442622950819672</v>
      </c>
      <c r="W37" s="48">
        <v>12.950819672131148</v>
      </c>
      <c r="X37" s="48">
        <v>11.475409836065573</v>
      </c>
      <c r="Y37" s="48">
        <v>9.6721311475409841</v>
      </c>
      <c r="Z37" s="48">
        <v>7.2131147540983607</v>
      </c>
      <c r="AA37" s="48">
        <v>4.7540983606557381</v>
      </c>
      <c r="AB37" s="48">
        <v>3.9344262295081966</v>
      </c>
      <c r="AC37" s="54">
        <v>3.9344262295081966</v>
      </c>
    </row>
    <row r="38" spans="2:29" x14ac:dyDescent="0.2">
      <c r="B38" s="56" t="s">
        <v>37</v>
      </c>
      <c r="C38" s="56">
        <v>4932</v>
      </c>
      <c r="D38" s="48">
        <v>12.773722627737227</v>
      </c>
      <c r="E38" s="48">
        <v>15.815085158150852</v>
      </c>
      <c r="F38" s="48">
        <v>18.450932684509329</v>
      </c>
      <c r="G38" s="48">
        <v>21.289537712895374</v>
      </c>
      <c r="H38" s="48">
        <v>22.911597729115979</v>
      </c>
      <c r="I38" s="48">
        <v>24.128142741281426</v>
      </c>
      <c r="J38" s="48">
        <v>24.533657745336576</v>
      </c>
      <c r="K38" s="48">
        <v>24.73641524736415</v>
      </c>
      <c r="L38" s="48">
        <v>24.939172749391727</v>
      </c>
      <c r="M38" s="48">
        <v>24.939172749391727</v>
      </c>
      <c r="N38" s="48">
        <v>25.141930251419303</v>
      </c>
      <c r="O38" s="48">
        <v>25.547445255474454</v>
      </c>
      <c r="P38" s="54">
        <v>25.547445255474454</v>
      </c>
      <c r="Q38" s="48">
        <v>12.773722627737227</v>
      </c>
      <c r="R38" s="48">
        <v>14.598540145985401</v>
      </c>
      <c r="S38" s="48">
        <v>15.612327656123275</v>
      </c>
      <c r="T38" s="48">
        <v>17.031630170316301</v>
      </c>
      <c r="U38" s="48">
        <v>17.234387672343875</v>
      </c>
      <c r="V38" s="48">
        <v>17.234387672343875</v>
      </c>
      <c r="W38" s="48">
        <v>16.626115166261151</v>
      </c>
      <c r="X38" s="48">
        <v>14.801297648012977</v>
      </c>
      <c r="Y38" s="48">
        <v>12.570965125709652</v>
      </c>
      <c r="Z38" s="48">
        <v>9.5296025952960264</v>
      </c>
      <c r="AA38" s="48">
        <v>6.488240064882401</v>
      </c>
      <c r="AB38" s="48">
        <v>5.4744525547445262</v>
      </c>
      <c r="AC38" s="54">
        <v>5.4744525547445262</v>
      </c>
    </row>
    <row r="39" spans="2:29" x14ac:dyDescent="0.2">
      <c r="B39" s="55" t="s">
        <v>48</v>
      </c>
      <c r="C39" s="55"/>
      <c r="D39" s="57">
        <f>AVERAGE(D24:D38)</f>
        <v>7.5165049983804186</v>
      </c>
      <c r="E39" s="57">
        <f t="shared" ref="E39:AC39" si="1">AVERAGE(E24:E38)</f>
        <v>8.4702068955854593</v>
      </c>
      <c r="F39" s="57">
        <f t="shared" si="1"/>
        <v>9.5948877351930868</v>
      </c>
      <c r="G39" s="57">
        <f t="shared" si="1"/>
        <v>10.709739014920524</v>
      </c>
      <c r="H39" s="57">
        <f t="shared" si="1"/>
        <v>11.423628478592056</v>
      </c>
      <c r="I39" s="57">
        <f t="shared" si="1"/>
        <v>12.138151025882681</v>
      </c>
      <c r="J39" s="57">
        <f t="shared" si="1"/>
        <v>12.453213837721732</v>
      </c>
      <c r="K39" s="57">
        <f t="shared" si="1"/>
        <v>12.883703013822533</v>
      </c>
      <c r="L39" s="57">
        <f t="shared" si="1"/>
        <v>13.034957199730261</v>
      </c>
      <c r="M39" s="57">
        <f t="shared" si="1"/>
        <v>13.034957199730261</v>
      </c>
      <c r="N39" s="57">
        <f t="shared" si="1"/>
        <v>13.233160337756374</v>
      </c>
      <c r="O39" s="57">
        <f t="shared" si="1"/>
        <v>13.282052594857317</v>
      </c>
      <c r="P39" s="57">
        <f t="shared" si="1"/>
        <v>13.353906396041628</v>
      </c>
      <c r="Q39" s="58">
        <f t="shared" si="1"/>
        <v>7.5165049983804186</v>
      </c>
      <c r="R39" s="57">
        <f t="shared" si="1"/>
        <v>7.1952432984477541</v>
      </c>
      <c r="S39" s="57">
        <f t="shared" si="1"/>
        <v>7.0232235917742818</v>
      </c>
      <c r="T39" s="57">
        <f t="shared" si="1"/>
        <v>7.1215471426469694</v>
      </c>
      <c r="U39" s="57">
        <f t="shared" si="1"/>
        <v>6.792237192172446</v>
      </c>
      <c r="V39" s="57">
        <f t="shared" si="1"/>
        <v>6.3966224017846516</v>
      </c>
      <c r="W39" s="57">
        <f t="shared" si="1"/>
        <v>5.6073781961872404</v>
      </c>
      <c r="X39" s="57">
        <f t="shared" si="1"/>
        <v>4.3798436449451454</v>
      </c>
      <c r="Y39" s="57">
        <f t="shared" si="1"/>
        <v>2.9075374131497473</v>
      </c>
      <c r="Z39" s="57">
        <f t="shared" si="1"/>
        <v>1.8499612283983247</v>
      </c>
      <c r="AA39" s="57">
        <f t="shared" si="1"/>
        <v>1.1685473876206947</v>
      </c>
      <c r="AB39" s="57">
        <f t="shared" si="1"/>
        <v>0.83008487209279902</v>
      </c>
      <c r="AC39" s="57">
        <f t="shared" si="1"/>
        <v>0.84220608421401111</v>
      </c>
    </row>
    <row r="42" spans="2:29" x14ac:dyDescent="0.2"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</row>
    <row r="43" spans="2:29" ht="30.75" customHeight="1" x14ac:dyDescent="0.2">
      <c r="B43" s="110" t="s">
        <v>44</v>
      </c>
      <c r="C43" s="112" t="s">
        <v>54</v>
      </c>
      <c r="D43" s="112"/>
      <c r="E43" s="112" t="s">
        <v>56</v>
      </c>
      <c r="F43" s="112"/>
    </row>
    <row r="44" spans="2:29" ht="63.75" x14ac:dyDescent="0.2">
      <c r="B44" s="111"/>
      <c r="C44" s="61" t="s">
        <v>49</v>
      </c>
      <c r="D44" s="61" t="s">
        <v>50</v>
      </c>
      <c r="E44" s="61" t="s">
        <v>49</v>
      </c>
      <c r="F44" s="61" t="s">
        <v>50</v>
      </c>
    </row>
    <row r="45" spans="2:29" x14ac:dyDescent="0.2">
      <c r="B45" s="62">
        <v>0</v>
      </c>
      <c r="C45" s="63">
        <v>10.124675460936329</v>
      </c>
      <c r="D45" s="53">
        <v>10.124675460936329</v>
      </c>
      <c r="E45" s="64">
        <v>7.5165049983804186</v>
      </c>
      <c r="F45" s="53">
        <v>7.5165049983804186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</row>
    <row r="46" spans="2:29" x14ac:dyDescent="0.2">
      <c r="B46" s="62">
        <v>1</v>
      </c>
      <c r="C46" s="65">
        <v>11.397877599079177</v>
      </c>
      <c r="D46" s="54">
        <v>10.008364742564764</v>
      </c>
      <c r="E46" s="52">
        <v>8.4702068955854593</v>
      </c>
      <c r="F46" s="54">
        <v>7.1952432984477541</v>
      </c>
    </row>
    <row r="47" spans="2:29" x14ac:dyDescent="0.2">
      <c r="B47" s="62">
        <v>2</v>
      </c>
      <c r="C47" s="65">
        <v>13.43341366550777</v>
      </c>
      <c r="D47" s="54">
        <v>10.349109062037007</v>
      </c>
      <c r="E47" s="52">
        <v>9.5948877351930868</v>
      </c>
      <c r="F47" s="54">
        <v>7.0232235917742818</v>
      </c>
    </row>
    <row r="48" spans="2:29" x14ac:dyDescent="0.2">
      <c r="B48" s="62">
        <v>3</v>
      </c>
      <c r="C48" s="65">
        <v>14.033871478648756</v>
      </c>
      <c r="D48" s="54">
        <v>10.048821746792925</v>
      </c>
      <c r="E48" s="52">
        <v>10.709739014920524</v>
      </c>
      <c r="F48" s="54">
        <v>7.1215471426469694</v>
      </c>
    </row>
    <row r="49" spans="2:6" x14ac:dyDescent="0.2">
      <c r="B49" s="62">
        <v>4</v>
      </c>
      <c r="C49" s="65">
        <v>15.359661311322663</v>
      </c>
      <c r="D49" s="54">
        <v>9.3211752898167699</v>
      </c>
      <c r="E49" s="52">
        <v>11.423628478592056</v>
      </c>
      <c r="F49" s="54">
        <v>6.792237192172446</v>
      </c>
    </row>
    <row r="50" spans="2:6" x14ac:dyDescent="0.2">
      <c r="B50" s="62">
        <v>5</v>
      </c>
      <c r="C50" s="65">
        <v>15.998462093283479</v>
      </c>
      <c r="D50" s="54">
        <v>8.7968826215321165</v>
      </c>
      <c r="E50" s="52">
        <v>12.138151025882681</v>
      </c>
      <c r="F50" s="54">
        <v>6.3966224017846516</v>
      </c>
    </row>
    <row r="51" spans="2:6" x14ac:dyDescent="0.2">
      <c r="B51" s="62">
        <v>6</v>
      </c>
      <c r="C51" s="65">
        <v>16.594440902122514</v>
      </c>
      <c r="D51" s="54">
        <v>8.166421060649439</v>
      </c>
      <c r="E51" s="52">
        <v>12.453213837721732</v>
      </c>
      <c r="F51" s="54">
        <v>5.6073781961872404</v>
      </c>
    </row>
    <row r="52" spans="2:6" x14ac:dyDescent="0.2">
      <c r="B52" s="62">
        <v>7</v>
      </c>
      <c r="C52" s="65">
        <v>17.190431259484704</v>
      </c>
      <c r="D52" s="54">
        <v>7.0288469783017398</v>
      </c>
      <c r="E52" s="52">
        <v>12.883703013822533</v>
      </c>
      <c r="F52" s="54">
        <v>4.3798436449451454</v>
      </c>
    </row>
    <row r="53" spans="2:6" x14ac:dyDescent="0.2">
      <c r="B53" s="62">
        <v>8</v>
      </c>
      <c r="C53" s="65">
        <v>17.368286874961893</v>
      </c>
      <c r="D53" s="54">
        <v>4.9368912921555017</v>
      </c>
      <c r="E53" s="52">
        <v>13.034957199730261</v>
      </c>
      <c r="F53" s="54">
        <v>2.9075374131497473</v>
      </c>
    </row>
    <row r="54" spans="2:6" x14ac:dyDescent="0.2">
      <c r="B54" s="62">
        <v>9</v>
      </c>
      <c r="C54" s="65">
        <v>17.368286874961893</v>
      </c>
      <c r="D54" s="54">
        <v>3.8756237255546164</v>
      </c>
      <c r="E54" s="52">
        <v>13.034957199730261</v>
      </c>
      <c r="F54" s="54">
        <v>1.8499612283983247</v>
      </c>
    </row>
    <row r="55" spans="2:6" x14ac:dyDescent="0.2">
      <c r="B55" s="62">
        <v>10</v>
      </c>
      <c r="C55" s="65">
        <v>17.571143873969056</v>
      </c>
      <c r="D55" s="54">
        <v>2.8532298989907092</v>
      </c>
      <c r="E55" s="52">
        <v>13.233160337756374</v>
      </c>
      <c r="F55" s="54">
        <v>1.1685473876206947</v>
      </c>
    </row>
    <row r="56" spans="2:6" x14ac:dyDescent="0.2">
      <c r="B56" s="62">
        <v>11</v>
      </c>
      <c r="C56" s="65">
        <v>17.620526590018436</v>
      </c>
      <c r="D56" s="54">
        <v>2.0110953516407042</v>
      </c>
      <c r="E56" s="52">
        <v>13.282052594857317</v>
      </c>
      <c r="F56" s="54">
        <v>0.83008487209279902</v>
      </c>
    </row>
    <row r="57" spans="2:6" x14ac:dyDescent="0.2">
      <c r="B57" s="62">
        <v>12</v>
      </c>
      <c r="C57" s="66">
        <v>17.718803063158798</v>
      </c>
      <c r="D57" s="67">
        <v>2.0766764499804236</v>
      </c>
      <c r="E57" s="68">
        <v>13.353906396041628</v>
      </c>
      <c r="F57" s="67">
        <v>0.84220608421401111</v>
      </c>
    </row>
  </sheetData>
  <mergeCells count="9">
    <mergeCell ref="B1:AC1"/>
    <mergeCell ref="B21:AC21"/>
    <mergeCell ref="B43:B44"/>
    <mergeCell ref="C43:D43"/>
    <mergeCell ref="E43:F43"/>
    <mergeCell ref="B2:P2"/>
    <mergeCell ref="Q2:AC2"/>
    <mergeCell ref="B22:P22"/>
    <mergeCell ref="Q22:AC2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82D2-B33B-42A8-85D6-C326490CD3F3}">
  <dimension ref="B3:AC64"/>
  <sheetViews>
    <sheetView topLeftCell="A32" zoomScale="70" zoomScaleNormal="70" workbookViewId="0">
      <selection activeCell="R54" sqref="R54"/>
    </sheetView>
  </sheetViews>
  <sheetFormatPr defaultRowHeight="12.75" x14ac:dyDescent="0.2"/>
  <sheetData>
    <row r="3" spans="2:29" x14ac:dyDescent="0.2">
      <c r="B3" s="119" t="s">
        <v>43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</row>
    <row r="4" spans="2:29" x14ac:dyDescent="0.2">
      <c r="B4" s="115" t="s">
        <v>51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 t="s">
        <v>52</v>
      </c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</row>
    <row r="5" spans="2:29" ht="25.5" x14ac:dyDescent="0.2">
      <c r="B5" s="83" t="s">
        <v>53</v>
      </c>
      <c r="C5" s="84" t="s">
        <v>3</v>
      </c>
      <c r="D5" s="84">
        <v>0</v>
      </c>
      <c r="E5" s="84">
        <v>1</v>
      </c>
      <c r="F5" s="84">
        <v>2</v>
      </c>
      <c r="G5" s="84">
        <v>3</v>
      </c>
      <c r="H5" s="84">
        <v>4</v>
      </c>
      <c r="I5" s="84">
        <v>5</v>
      </c>
      <c r="J5" s="84">
        <v>6</v>
      </c>
      <c r="K5" s="84">
        <v>7</v>
      </c>
      <c r="L5" s="84">
        <v>8</v>
      </c>
      <c r="M5" s="84">
        <v>9</v>
      </c>
      <c r="N5" s="84">
        <v>10</v>
      </c>
      <c r="O5" s="84">
        <v>11</v>
      </c>
      <c r="P5" s="84">
        <v>12</v>
      </c>
      <c r="Q5" s="84">
        <v>0</v>
      </c>
      <c r="R5" s="84">
        <v>1</v>
      </c>
      <c r="S5" s="84">
        <v>2</v>
      </c>
      <c r="T5" s="84">
        <v>3</v>
      </c>
      <c r="U5" s="84">
        <v>4</v>
      </c>
      <c r="V5" s="84">
        <v>5</v>
      </c>
      <c r="W5" s="84">
        <v>6</v>
      </c>
      <c r="X5" s="84">
        <v>7</v>
      </c>
      <c r="Y5" s="84">
        <v>8</v>
      </c>
      <c r="Z5" s="84">
        <v>9</v>
      </c>
      <c r="AA5" s="84">
        <v>10</v>
      </c>
      <c r="AB5" s="84">
        <v>11</v>
      </c>
      <c r="AC5" s="84">
        <v>12</v>
      </c>
    </row>
    <row r="6" spans="2:29" x14ac:dyDescent="0.2">
      <c r="B6" s="85" t="s">
        <v>5</v>
      </c>
      <c r="C6" s="85">
        <v>2400</v>
      </c>
      <c r="D6" s="73">
        <v>18.75</v>
      </c>
      <c r="E6" s="73">
        <v>20</v>
      </c>
      <c r="F6" s="73">
        <v>22.083333333333332</v>
      </c>
      <c r="G6" s="73">
        <v>23.333333333333336</v>
      </c>
      <c r="H6" s="73">
        <v>24.166666666666668</v>
      </c>
      <c r="I6" s="73">
        <v>26.666666666666668</v>
      </c>
      <c r="J6" s="73">
        <v>27.916666666666664</v>
      </c>
      <c r="K6" s="73">
        <v>28.75</v>
      </c>
      <c r="L6" s="73">
        <v>29.166666666666668</v>
      </c>
      <c r="M6" s="73">
        <v>29.166666666666668</v>
      </c>
      <c r="N6" s="73">
        <v>29.583333333333332</v>
      </c>
      <c r="O6" s="73">
        <v>29.583333333333332</v>
      </c>
      <c r="P6" s="71">
        <v>30</v>
      </c>
      <c r="Q6" s="73">
        <v>18.75</v>
      </c>
      <c r="R6" s="73">
        <v>17.916666666666668</v>
      </c>
      <c r="S6" s="73">
        <v>17.083333333333332</v>
      </c>
      <c r="T6" s="73">
        <v>15.833333333333334</v>
      </c>
      <c r="U6" s="73">
        <v>14.166666666666666</v>
      </c>
      <c r="V6" s="73">
        <v>15.416666666666668</v>
      </c>
      <c r="W6" s="73">
        <v>14.583333333333334</v>
      </c>
      <c r="X6" s="73">
        <v>12.083333333333334</v>
      </c>
      <c r="Y6" s="73">
        <v>7.5</v>
      </c>
      <c r="Z6" s="73">
        <v>5.416666666666667</v>
      </c>
      <c r="AA6" s="73">
        <v>3.3333333333333335</v>
      </c>
      <c r="AB6" s="73">
        <v>1.6666666666666667</v>
      </c>
      <c r="AC6" s="74">
        <v>2.0833333333333335</v>
      </c>
    </row>
    <row r="7" spans="2:29" x14ac:dyDescent="0.2">
      <c r="B7" s="81" t="s">
        <v>9</v>
      </c>
      <c r="C7" s="81">
        <v>3690</v>
      </c>
      <c r="D7" s="73">
        <v>8.9430894308943092</v>
      </c>
      <c r="E7" s="73">
        <v>10.027100271002711</v>
      </c>
      <c r="F7" s="73">
        <v>10.56910569105691</v>
      </c>
      <c r="G7" s="73">
        <v>11.924119241192411</v>
      </c>
      <c r="H7" s="73">
        <v>12.466124661246614</v>
      </c>
      <c r="I7" s="73">
        <v>13.008130081300813</v>
      </c>
      <c r="J7" s="73">
        <v>13.279132791327914</v>
      </c>
      <c r="K7" s="73">
        <v>14.092140921409214</v>
      </c>
      <c r="L7" s="73">
        <v>14.092140921409214</v>
      </c>
      <c r="M7" s="73">
        <v>14.092140921409214</v>
      </c>
      <c r="N7" s="73">
        <v>14.363143631436316</v>
      </c>
      <c r="O7" s="73">
        <v>14.363143631436316</v>
      </c>
      <c r="P7" s="74">
        <v>14.363143631436316</v>
      </c>
      <c r="Q7" s="73">
        <v>8.9430894308943092</v>
      </c>
      <c r="R7" s="73">
        <v>7.8590785907859084</v>
      </c>
      <c r="S7" s="73">
        <v>7.3170731707317076</v>
      </c>
      <c r="T7" s="73">
        <v>7.588075880758808</v>
      </c>
      <c r="U7" s="73">
        <v>6.7750677506775068</v>
      </c>
      <c r="V7" s="73">
        <v>6.5040650406504064</v>
      </c>
      <c r="W7" s="73">
        <v>4.8780487804878048</v>
      </c>
      <c r="X7" s="73">
        <v>3.5230352303523036</v>
      </c>
      <c r="Y7" s="73">
        <v>1.6260162601626016</v>
      </c>
      <c r="Z7" s="73">
        <v>0.54200542005420049</v>
      </c>
      <c r="AA7" s="73">
        <v>0.27100271002710025</v>
      </c>
      <c r="AB7" s="73">
        <v>0</v>
      </c>
      <c r="AC7" s="74">
        <v>0</v>
      </c>
    </row>
    <row r="8" spans="2:29" x14ac:dyDescent="0.2">
      <c r="B8" s="81" t="s">
        <v>10</v>
      </c>
      <c r="C8" s="81">
        <v>4400</v>
      </c>
      <c r="D8" s="73">
        <v>12.5</v>
      </c>
      <c r="E8" s="73">
        <v>13.181818181818182</v>
      </c>
      <c r="F8" s="73">
        <v>14.318181818181818</v>
      </c>
      <c r="G8" s="73">
        <v>15</v>
      </c>
      <c r="H8" s="73">
        <v>15.454545454545455</v>
      </c>
      <c r="I8" s="73">
        <v>16.81818181818182</v>
      </c>
      <c r="J8" s="73">
        <v>17.5</v>
      </c>
      <c r="K8" s="73">
        <v>17.954545454545457</v>
      </c>
      <c r="L8" s="73">
        <v>18.18181818181818</v>
      </c>
      <c r="M8" s="73">
        <v>18.18181818181818</v>
      </c>
      <c r="N8" s="73">
        <v>18.40909090909091</v>
      </c>
      <c r="O8" s="73">
        <v>18.40909090909091</v>
      </c>
      <c r="P8" s="74">
        <v>18.636363636363637</v>
      </c>
      <c r="Q8" s="73">
        <v>12.5</v>
      </c>
      <c r="R8" s="73">
        <v>11.363636363636363</v>
      </c>
      <c r="S8" s="73">
        <v>10.90909090909091</v>
      </c>
      <c r="T8" s="73">
        <v>9.5454545454545467</v>
      </c>
      <c r="U8" s="73">
        <v>8.6363636363636367</v>
      </c>
      <c r="V8" s="73">
        <v>8.8636363636363633</v>
      </c>
      <c r="W8" s="73">
        <v>8.4090909090909101</v>
      </c>
      <c r="X8" s="73">
        <v>7.0454545454545459</v>
      </c>
      <c r="Y8" s="73">
        <v>4.545454545454545</v>
      </c>
      <c r="Z8" s="73">
        <v>3.4090909090909087</v>
      </c>
      <c r="AA8" s="73">
        <v>2.2727272727272725</v>
      </c>
      <c r="AB8" s="73">
        <v>1.3636363636363638</v>
      </c>
      <c r="AC8" s="74">
        <v>1.3636363636363638</v>
      </c>
    </row>
    <row r="9" spans="2:29" x14ac:dyDescent="0.2">
      <c r="B9" s="81" t="s">
        <v>11</v>
      </c>
      <c r="C9" s="81">
        <v>4450</v>
      </c>
      <c r="D9" s="73">
        <v>12.584269662921349</v>
      </c>
      <c r="E9" s="73">
        <v>13.932584269662922</v>
      </c>
      <c r="F9" s="73">
        <v>15.730337078651687</v>
      </c>
      <c r="G9" s="73">
        <v>16.179775280898877</v>
      </c>
      <c r="H9" s="73">
        <v>16.853932584269664</v>
      </c>
      <c r="I9" s="73">
        <v>17.752808988764045</v>
      </c>
      <c r="J9" s="73">
        <v>17.977528089887642</v>
      </c>
      <c r="K9" s="73">
        <v>19.101123595505619</v>
      </c>
      <c r="L9" s="73">
        <v>19.101123595505619</v>
      </c>
      <c r="M9" s="73">
        <v>19.101123595505619</v>
      </c>
      <c r="N9" s="73">
        <v>19.325842696629213</v>
      </c>
      <c r="O9" s="73">
        <v>19.325842696629213</v>
      </c>
      <c r="P9" s="74">
        <v>19.325842696629213</v>
      </c>
      <c r="Q9" s="73">
        <v>12.584269662921349</v>
      </c>
      <c r="R9" s="73">
        <v>11.685393258426966</v>
      </c>
      <c r="S9" s="73">
        <v>11.685393258426966</v>
      </c>
      <c r="T9" s="73">
        <v>9.213483146067416</v>
      </c>
      <c r="U9" s="73">
        <v>8.7640449438202257</v>
      </c>
      <c r="V9" s="73">
        <v>8.5393258426966305</v>
      </c>
      <c r="W9" s="73">
        <v>6.7415730337078656</v>
      </c>
      <c r="X9" s="73">
        <v>6.0674157303370784</v>
      </c>
      <c r="Y9" s="73">
        <v>3.8202247191011236</v>
      </c>
      <c r="Z9" s="73">
        <v>2.4719101123595504</v>
      </c>
      <c r="AA9" s="73">
        <v>1.1235955056179776</v>
      </c>
      <c r="AB9" s="73">
        <v>0.44943820224719105</v>
      </c>
      <c r="AC9" s="74">
        <v>0.44943820224719105</v>
      </c>
    </row>
    <row r="10" spans="2:29" x14ac:dyDescent="0.2">
      <c r="B10" s="81" t="s">
        <v>19</v>
      </c>
      <c r="C10" s="81">
        <v>2900</v>
      </c>
      <c r="D10" s="73">
        <v>13.793103448275861</v>
      </c>
      <c r="E10" s="73">
        <v>14.482758620689657</v>
      </c>
      <c r="F10" s="73">
        <v>16.551724137931036</v>
      </c>
      <c r="G10" s="73">
        <v>17.241379310344826</v>
      </c>
      <c r="H10" s="73">
        <v>17.586206896551726</v>
      </c>
      <c r="I10" s="73">
        <v>18.275862068965516</v>
      </c>
      <c r="J10" s="73">
        <v>19.310344827586206</v>
      </c>
      <c r="K10" s="73">
        <v>20</v>
      </c>
      <c r="L10" s="73">
        <v>20.344827586206893</v>
      </c>
      <c r="M10" s="73">
        <v>20.344827586206893</v>
      </c>
      <c r="N10" s="73">
        <v>20.689655172413794</v>
      </c>
      <c r="O10" s="73">
        <v>20.689655172413794</v>
      </c>
      <c r="P10" s="74">
        <v>21.03448275862069</v>
      </c>
      <c r="Q10" s="73">
        <v>13.793103448275861</v>
      </c>
      <c r="R10" s="73">
        <v>12.758620689655173</v>
      </c>
      <c r="S10" s="73">
        <v>13.448275862068966</v>
      </c>
      <c r="T10" s="73">
        <v>12.068965517241379</v>
      </c>
      <c r="U10" s="73">
        <v>10</v>
      </c>
      <c r="V10" s="73">
        <v>9.6551724137931032</v>
      </c>
      <c r="W10" s="73">
        <v>10</v>
      </c>
      <c r="X10" s="73">
        <v>7.5862068965517242</v>
      </c>
      <c r="Y10" s="73">
        <v>5.1724137931034484</v>
      </c>
      <c r="Z10" s="73">
        <v>3.4482758620689653</v>
      </c>
      <c r="AA10" s="73">
        <v>1.7241379310344827</v>
      </c>
      <c r="AB10" s="73">
        <v>0.34482758620689652</v>
      </c>
      <c r="AC10" s="74">
        <v>0.68965517241379304</v>
      </c>
    </row>
    <row r="11" spans="2:29" x14ac:dyDescent="0.2">
      <c r="B11" s="81" t="s">
        <v>28</v>
      </c>
      <c r="C11" s="81">
        <v>3200</v>
      </c>
      <c r="D11" s="73">
        <v>15</v>
      </c>
      <c r="E11" s="73">
        <v>17.1875</v>
      </c>
      <c r="F11" s="73">
        <v>21.5625</v>
      </c>
      <c r="G11" s="73">
        <v>24.6875</v>
      </c>
      <c r="H11" s="73">
        <v>26.25</v>
      </c>
      <c r="I11" s="73">
        <v>26.875</v>
      </c>
      <c r="J11" s="73">
        <v>27.1875</v>
      </c>
      <c r="K11" s="73">
        <v>27.8125</v>
      </c>
      <c r="L11" s="73">
        <v>28.125</v>
      </c>
      <c r="M11" s="73">
        <v>28.125</v>
      </c>
      <c r="N11" s="73">
        <v>28.125</v>
      </c>
      <c r="O11" s="73">
        <v>28.125</v>
      </c>
      <c r="P11" s="74">
        <v>28.125</v>
      </c>
      <c r="Q11" s="73">
        <v>15</v>
      </c>
      <c r="R11" s="73">
        <v>15.625</v>
      </c>
      <c r="S11" s="73">
        <v>17.8125</v>
      </c>
      <c r="T11" s="73">
        <v>19.0625</v>
      </c>
      <c r="U11" s="73">
        <v>18.75</v>
      </c>
      <c r="V11" s="73">
        <v>17.1875</v>
      </c>
      <c r="W11" s="73">
        <v>15.9375</v>
      </c>
      <c r="X11" s="73">
        <v>14.0625</v>
      </c>
      <c r="Y11" s="73">
        <v>10.625</v>
      </c>
      <c r="Z11" s="73">
        <v>9.0625</v>
      </c>
      <c r="AA11" s="73">
        <v>6.5625</v>
      </c>
      <c r="AB11" s="73">
        <v>5</v>
      </c>
      <c r="AC11" s="74">
        <v>5</v>
      </c>
    </row>
    <row r="12" spans="2:29" x14ac:dyDescent="0.2">
      <c r="B12" s="81" t="s">
        <v>35</v>
      </c>
      <c r="C12" s="81">
        <v>6750</v>
      </c>
      <c r="D12" s="73">
        <v>8.148148148148147</v>
      </c>
      <c r="E12" s="73">
        <v>10.222222222222223</v>
      </c>
      <c r="F12" s="73">
        <v>12</v>
      </c>
      <c r="G12" s="73">
        <v>13.333333333333334</v>
      </c>
      <c r="H12" s="73">
        <v>13.777777777777779</v>
      </c>
      <c r="I12" s="73">
        <v>14.074074074074074</v>
      </c>
      <c r="J12" s="73">
        <v>14.222222222222223</v>
      </c>
      <c r="K12" s="73">
        <v>14.666666666666666</v>
      </c>
      <c r="L12" s="73">
        <v>14.666666666666666</v>
      </c>
      <c r="M12" s="73">
        <v>14.666666666666666</v>
      </c>
      <c r="N12" s="73">
        <v>14.814814814814815</v>
      </c>
      <c r="O12" s="73">
        <v>15.111111111111112</v>
      </c>
      <c r="P12" s="74">
        <v>15.111111111111112</v>
      </c>
      <c r="Q12" s="73">
        <v>8.148148148148147</v>
      </c>
      <c r="R12" s="73">
        <v>9.0370370370370381</v>
      </c>
      <c r="S12" s="73">
        <v>9.6296296296296298</v>
      </c>
      <c r="T12" s="73">
        <v>8.5925925925925934</v>
      </c>
      <c r="U12" s="73">
        <v>7.7037037037037042</v>
      </c>
      <c r="V12" s="73">
        <v>6.9629629629629637</v>
      </c>
      <c r="W12" s="73">
        <v>6.0740740740740735</v>
      </c>
      <c r="X12" s="73">
        <v>6.2222222222222214</v>
      </c>
      <c r="Y12" s="73">
        <v>3.7037037037037037</v>
      </c>
      <c r="Z12" s="73">
        <v>2.8148148148148149</v>
      </c>
      <c r="AA12" s="73">
        <v>1.925925925925926</v>
      </c>
      <c r="AB12" s="73">
        <v>2.074074074074074</v>
      </c>
      <c r="AC12" s="74">
        <v>2.074074074074074</v>
      </c>
    </row>
    <row r="13" spans="2:29" x14ac:dyDescent="0.2">
      <c r="B13" s="81" t="s">
        <v>8</v>
      </c>
      <c r="C13" s="81">
        <v>3780</v>
      </c>
      <c r="D13" s="25">
        <v>10.052910052910054</v>
      </c>
      <c r="E13" s="25">
        <v>11.640211640211639</v>
      </c>
      <c r="F13" s="25">
        <v>13.756613756613756</v>
      </c>
      <c r="G13" s="25">
        <v>14.285714285714285</v>
      </c>
      <c r="H13" s="25">
        <v>15.079365079365079</v>
      </c>
      <c r="I13" s="25">
        <v>16.137566137566139</v>
      </c>
      <c r="J13" s="25">
        <v>16.402116402116402</v>
      </c>
      <c r="K13" s="25">
        <v>17.724867724867725</v>
      </c>
      <c r="L13" s="25">
        <v>17.724867724867725</v>
      </c>
      <c r="M13" s="25">
        <v>17.724867724867725</v>
      </c>
      <c r="N13" s="25">
        <v>17.989417989417991</v>
      </c>
      <c r="O13" s="25">
        <v>17.989417989417991</v>
      </c>
      <c r="P13" s="74">
        <v>18.253968253968257</v>
      </c>
      <c r="Q13" s="25">
        <v>10.052910052910054</v>
      </c>
      <c r="R13" s="25">
        <v>10.582010582010582</v>
      </c>
      <c r="S13" s="25">
        <v>10.582010582010582</v>
      </c>
      <c r="T13" s="25">
        <v>10.317460317460318</v>
      </c>
      <c r="U13" s="25">
        <v>9.7883597883597897</v>
      </c>
      <c r="V13" s="25">
        <v>9.5238095238095255</v>
      </c>
      <c r="W13" s="25">
        <v>7.9365079365079358</v>
      </c>
      <c r="X13" s="25">
        <v>7.1428571428571423</v>
      </c>
      <c r="Y13" s="25">
        <v>4.4973544973544977</v>
      </c>
      <c r="Z13" s="25">
        <v>2.9100529100529098</v>
      </c>
      <c r="AA13" s="25">
        <v>1.3227513227513228</v>
      </c>
      <c r="AB13" s="25">
        <v>0.52910052910052918</v>
      </c>
      <c r="AC13" s="71">
        <v>0.52910052910052918</v>
      </c>
    </row>
    <row r="14" spans="2:29" x14ac:dyDescent="0.2">
      <c r="B14" s="81" t="s">
        <v>12</v>
      </c>
      <c r="C14" s="81">
        <v>4925</v>
      </c>
      <c r="D14" s="25">
        <v>8.9340101522842641</v>
      </c>
      <c r="E14" s="25">
        <v>9.746192893401016</v>
      </c>
      <c r="F14" s="25">
        <v>10.355329949238579</v>
      </c>
      <c r="G14" s="25">
        <v>11.370558375634518</v>
      </c>
      <c r="H14" s="25">
        <v>11.776649746192895</v>
      </c>
      <c r="I14" s="25">
        <v>12.385786802030458</v>
      </c>
      <c r="J14" s="25">
        <v>12.791878172588831</v>
      </c>
      <c r="K14" s="25">
        <v>12.99492385786802</v>
      </c>
      <c r="L14" s="25">
        <v>13.197969543147208</v>
      </c>
      <c r="M14" s="25">
        <v>13.197969543147208</v>
      </c>
      <c r="N14" s="25">
        <v>13.401015228426397</v>
      </c>
      <c r="O14" s="25">
        <v>13.401015228426397</v>
      </c>
      <c r="P14" s="74">
        <v>13.401015228426397</v>
      </c>
      <c r="Q14" s="25">
        <v>8.9340101522842641</v>
      </c>
      <c r="R14" s="25">
        <v>8.5279187817258872</v>
      </c>
      <c r="S14" s="25">
        <v>7.5126903553299496</v>
      </c>
      <c r="T14" s="25">
        <v>7.1065989847715736</v>
      </c>
      <c r="U14" s="25">
        <v>6.7005076142131985</v>
      </c>
      <c r="V14" s="25">
        <v>5.8883248730964475</v>
      </c>
      <c r="W14" s="25">
        <v>5.2791878172588831</v>
      </c>
      <c r="X14" s="25">
        <v>3.4517766497461926</v>
      </c>
      <c r="Y14" s="25">
        <v>1.4213197969543148</v>
      </c>
      <c r="Z14" s="25">
        <v>0.40609137055837563</v>
      </c>
      <c r="AA14" s="25">
        <v>0.20304568527918782</v>
      </c>
      <c r="AB14" s="25">
        <v>0.20304568527918782</v>
      </c>
      <c r="AC14" s="74">
        <v>0.20304568527918782</v>
      </c>
    </row>
    <row r="15" spans="2:29" x14ac:dyDescent="0.2">
      <c r="B15" s="81" t="s">
        <v>13</v>
      </c>
      <c r="C15" s="81">
        <v>5645</v>
      </c>
      <c r="D15" s="25">
        <v>7.6173604960141716</v>
      </c>
      <c r="E15" s="25">
        <v>7.9716563330380872</v>
      </c>
      <c r="F15" s="25">
        <v>8.6802480070859165</v>
      </c>
      <c r="G15" s="25">
        <v>9.2116917626217898</v>
      </c>
      <c r="H15" s="25">
        <v>9.9202834366696191</v>
      </c>
      <c r="I15" s="25">
        <v>10.274579273693535</v>
      </c>
      <c r="J15" s="25">
        <v>10.451727192205492</v>
      </c>
      <c r="K15" s="25">
        <v>10.983170947741364</v>
      </c>
      <c r="L15" s="25">
        <v>10.983170947741364</v>
      </c>
      <c r="M15" s="25">
        <v>10.983170947741364</v>
      </c>
      <c r="N15" s="25">
        <v>11.160318866253322</v>
      </c>
      <c r="O15" s="25">
        <v>11.160318866253322</v>
      </c>
      <c r="P15" s="74">
        <v>11.337466784765279</v>
      </c>
      <c r="Q15" s="25">
        <v>7.6173604960141716</v>
      </c>
      <c r="R15" s="25">
        <v>6.5544729849424268</v>
      </c>
      <c r="S15" s="25">
        <v>6.2001771479185122</v>
      </c>
      <c r="T15" s="25">
        <v>6.0230292294065544</v>
      </c>
      <c r="U15" s="25">
        <v>5.8458813108945975</v>
      </c>
      <c r="V15" s="25">
        <v>5.3144375553587242</v>
      </c>
      <c r="W15" s="25">
        <v>4.2515500442869794</v>
      </c>
      <c r="X15" s="25">
        <v>3.3658104517271918</v>
      </c>
      <c r="Y15" s="25">
        <v>2.1257750221434897</v>
      </c>
      <c r="Z15" s="25">
        <v>1.0628875110717448</v>
      </c>
      <c r="AA15" s="25">
        <v>0.70859167404782997</v>
      </c>
      <c r="AB15" s="25">
        <v>0.35429583702391498</v>
      </c>
      <c r="AC15" s="74">
        <v>0.35429583702391498</v>
      </c>
    </row>
    <row r="16" spans="2:29" x14ac:dyDescent="0.2">
      <c r="B16" s="81" t="s">
        <v>21</v>
      </c>
      <c r="C16" s="81">
        <v>5215</v>
      </c>
      <c r="D16" s="25">
        <v>6.9031639501438153</v>
      </c>
      <c r="E16" s="25">
        <v>7.4784276126558007</v>
      </c>
      <c r="F16" s="25">
        <v>8.2454458293384469</v>
      </c>
      <c r="G16" s="25">
        <v>9.2042186001917532</v>
      </c>
      <c r="H16" s="25">
        <v>9.3959731543624159</v>
      </c>
      <c r="I16" s="25">
        <v>10.162991371045063</v>
      </c>
      <c r="J16" s="25">
        <v>10.354745925215724</v>
      </c>
      <c r="K16" s="25">
        <v>10.738255033557046</v>
      </c>
      <c r="L16" s="25">
        <v>10.930009587727708</v>
      </c>
      <c r="M16" s="25">
        <v>10.930009587727708</v>
      </c>
      <c r="N16" s="25">
        <v>11.121764141898371</v>
      </c>
      <c r="O16" s="25">
        <v>11.121764141898371</v>
      </c>
      <c r="P16" s="74">
        <v>11.313518696069032</v>
      </c>
      <c r="Q16" s="25">
        <v>6.9031639501438153</v>
      </c>
      <c r="R16" s="25">
        <v>6.3279002876318318</v>
      </c>
      <c r="S16" s="25">
        <v>5.7526366251198464</v>
      </c>
      <c r="T16" s="25">
        <v>5.7526366251198464</v>
      </c>
      <c r="U16" s="25">
        <v>5.177372962607862</v>
      </c>
      <c r="V16" s="25">
        <v>4.7938638542665393</v>
      </c>
      <c r="W16" s="25">
        <v>4.4103547459252157</v>
      </c>
      <c r="X16" s="25">
        <v>2.8763183125599232</v>
      </c>
      <c r="Y16" s="25">
        <v>1.1505273250239691</v>
      </c>
      <c r="Z16" s="25">
        <v>0.19175455417066153</v>
      </c>
      <c r="AA16" s="25">
        <v>0</v>
      </c>
      <c r="AB16" s="25">
        <v>0</v>
      </c>
      <c r="AC16" s="74">
        <v>0</v>
      </c>
    </row>
    <row r="17" spans="2:29" x14ac:dyDescent="0.2">
      <c r="B17" s="81" t="s">
        <v>6</v>
      </c>
      <c r="C17" s="81">
        <v>3900</v>
      </c>
      <c r="D17" s="25">
        <v>7.1794871794871797</v>
      </c>
      <c r="E17" s="25">
        <v>7.6923076923076925</v>
      </c>
      <c r="F17" s="25">
        <v>8.4615384615384617</v>
      </c>
      <c r="G17" s="25">
        <v>9.4871794871794872</v>
      </c>
      <c r="H17" s="25">
        <v>10.256410256410257</v>
      </c>
      <c r="I17" s="25">
        <v>11.025641025641026</v>
      </c>
      <c r="J17" s="25">
        <v>11.538461538461538</v>
      </c>
      <c r="K17" s="25">
        <v>12.051282051282051</v>
      </c>
      <c r="L17" s="25">
        <v>12.307692307692308</v>
      </c>
      <c r="M17" s="25">
        <v>12.307692307692308</v>
      </c>
      <c r="N17" s="25">
        <v>12.564102564102564</v>
      </c>
      <c r="O17" s="25">
        <v>12.564102564102564</v>
      </c>
      <c r="P17" s="74">
        <v>12.564102564102564</v>
      </c>
      <c r="Q17" s="25">
        <v>7.1794871794871797</v>
      </c>
      <c r="R17" s="25">
        <v>5.6410256410256414</v>
      </c>
      <c r="S17" s="25">
        <v>5.3846153846153841</v>
      </c>
      <c r="T17" s="25">
        <v>5.3846153846153841</v>
      </c>
      <c r="U17" s="25">
        <v>4.8717948717948723</v>
      </c>
      <c r="V17" s="25">
        <v>4.3589743589743586</v>
      </c>
      <c r="W17" s="25">
        <v>3.0769230769230771</v>
      </c>
      <c r="X17" s="25">
        <v>1.5384615384615385</v>
      </c>
      <c r="Y17" s="25">
        <v>0.76923076923076927</v>
      </c>
      <c r="Z17" s="25">
        <v>0.51282051282051277</v>
      </c>
      <c r="AA17" s="25">
        <v>0.25641025641025639</v>
      </c>
      <c r="AB17" s="25">
        <v>0</v>
      </c>
      <c r="AC17" s="74">
        <v>0</v>
      </c>
    </row>
    <row r="18" spans="2:29" x14ac:dyDescent="0.2">
      <c r="B18" s="81" t="s">
        <v>23</v>
      </c>
      <c r="C18" s="81">
        <v>5330</v>
      </c>
      <c r="D18" s="25">
        <v>5.6285178236397746</v>
      </c>
      <c r="E18" s="25">
        <v>6.7542213883677302</v>
      </c>
      <c r="F18" s="25">
        <v>7.5046904315197001</v>
      </c>
      <c r="G18" s="25">
        <v>7.6923076923076925</v>
      </c>
      <c r="H18" s="25">
        <v>8.2551594746716699</v>
      </c>
      <c r="I18" s="25">
        <v>8.6303939962476548</v>
      </c>
      <c r="J18" s="25">
        <v>9.0056285178236397</v>
      </c>
      <c r="K18" s="25">
        <v>9.5684803001876162</v>
      </c>
      <c r="L18" s="25">
        <v>9.7560975609756095</v>
      </c>
      <c r="M18" s="25">
        <v>9.7560975609756095</v>
      </c>
      <c r="N18" s="25">
        <v>9.9437148217636029</v>
      </c>
      <c r="O18" s="25">
        <v>9.9437148217636029</v>
      </c>
      <c r="P18" s="74">
        <v>9.9437148217636029</v>
      </c>
      <c r="Q18" s="25">
        <v>5.6285178236397746</v>
      </c>
      <c r="R18" s="25">
        <v>6.0037523452157595</v>
      </c>
      <c r="S18" s="25">
        <v>5.2532833020637897</v>
      </c>
      <c r="T18" s="25">
        <v>4.3151969981238274</v>
      </c>
      <c r="U18" s="25">
        <v>3.3771106941838651</v>
      </c>
      <c r="V18" s="25">
        <v>2.8142589118198873</v>
      </c>
      <c r="W18" s="25">
        <v>1.876172607879925</v>
      </c>
      <c r="X18" s="25">
        <v>1.3133208255159474</v>
      </c>
      <c r="Y18" s="25">
        <v>0.18761726078799248</v>
      </c>
      <c r="Z18" s="25">
        <v>0</v>
      </c>
      <c r="AA18" s="25">
        <v>0.18761726078799248</v>
      </c>
      <c r="AB18" s="25">
        <v>0</v>
      </c>
      <c r="AC18" s="74">
        <v>0</v>
      </c>
    </row>
    <row r="19" spans="2:29" x14ac:dyDescent="0.2">
      <c r="B19" s="81" t="s">
        <v>26</v>
      </c>
      <c r="C19" s="81">
        <v>7100</v>
      </c>
      <c r="D19" s="25">
        <v>4.507042253521127</v>
      </c>
      <c r="E19" s="25">
        <v>4.9295774647887329</v>
      </c>
      <c r="F19" s="25">
        <v>5.492957746478873</v>
      </c>
      <c r="G19" s="25">
        <v>6.197183098591549</v>
      </c>
      <c r="H19" s="25">
        <v>6.3380281690140849</v>
      </c>
      <c r="I19" s="25">
        <v>6.901408450704225</v>
      </c>
      <c r="J19" s="25">
        <v>7.042253521126761</v>
      </c>
      <c r="K19" s="25">
        <v>7.323943661971831</v>
      </c>
      <c r="L19" s="25">
        <v>7.4647887323943669</v>
      </c>
      <c r="M19" s="25">
        <v>7.4647887323943669</v>
      </c>
      <c r="N19" s="25">
        <v>7.605633802816901</v>
      </c>
      <c r="O19" s="25">
        <v>7.605633802816901</v>
      </c>
      <c r="P19" s="74">
        <v>7.605633802816901</v>
      </c>
      <c r="Q19" s="25">
        <v>4.507042253521127</v>
      </c>
      <c r="R19" s="25">
        <v>4.084507042253521</v>
      </c>
      <c r="S19" s="25">
        <v>3.6619718309859155</v>
      </c>
      <c r="T19" s="25">
        <v>3.6619718309859155</v>
      </c>
      <c r="U19" s="25">
        <v>3.2394366197183095</v>
      </c>
      <c r="V19" s="25">
        <v>2.9577464788732395</v>
      </c>
      <c r="W19" s="25">
        <v>2.676056338028169</v>
      </c>
      <c r="X19" s="25">
        <v>1.8309859154929577</v>
      </c>
      <c r="Y19" s="25">
        <v>0.84507042253521136</v>
      </c>
      <c r="Z19" s="25">
        <v>0.14084507042253522</v>
      </c>
      <c r="AA19" s="25">
        <v>0</v>
      </c>
      <c r="AB19" s="25">
        <v>0</v>
      </c>
      <c r="AC19" s="74">
        <v>0</v>
      </c>
    </row>
    <row r="20" spans="2:29" x14ac:dyDescent="0.2">
      <c r="B20" s="82" t="s">
        <v>37</v>
      </c>
      <c r="C20" s="82">
        <v>4932</v>
      </c>
      <c r="D20" s="25">
        <v>12.773722627737227</v>
      </c>
      <c r="E20" s="25">
        <v>15.815085158150852</v>
      </c>
      <c r="F20" s="25">
        <v>18.450932684509329</v>
      </c>
      <c r="G20" s="25">
        <v>21.289537712895374</v>
      </c>
      <c r="H20" s="25">
        <v>22.911597729115979</v>
      </c>
      <c r="I20" s="25">
        <v>24.128142741281426</v>
      </c>
      <c r="J20" s="25">
        <v>24.533657745336576</v>
      </c>
      <c r="K20" s="25">
        <v>24.73641524736415</v>
      </c>
      <c r="L20" s="25">
        <v>24.939172749391727</v>
      </c>
      <c r="M20" s="25">
        <v>24.939172749391727</v>
      </c>
      <c r="N20" s="25">
        <v>25.141930251419303</v>
      </c>
      <c r="O20" s="25">
        <v>25.547445255474454</v>
      </c>
      <c r="P20" s="74">
        <v>25.547445255474454</v>
      </c>
      <c r="Q20" s="25">
        <v>12.773722627737227</v>
      </c>
      <c r="R20" s="25">
        <v>14.598540145985401</v>
      </c>
      <c r="S20" s="25">
        <v>15.612327656123275</v>
      </c>
      <c r="T20" s="25">
        <v>17.031630170316301</v>
      </c>
      <c r="U20" s="25">
        <v>17.234387672343875</v>
      </c>
      <c r="V20" s="25">
        <v>17.234387672343875</v>
      </c>
      <c r="W20" s="25">
        <v>16.626115166261151</v>
      </c>
      <c r="X20" s="25">
        <v>14.801297648012977</v>
      </c>
      <c r="Y20" s="25">
        <v>12.570965125709652</v>
      </c>
      <c r="Z20" s="25">
        <v>9.5296025952960264</v>
      </c>
      <c r="AA20" s="25">
        <v>6.488240064882401</v>
      </c>
      <c r="AB20" s="25">
        <v>5.4744525547445262</v>
      </c>
      <c r="AC20" s="74">
        <v>5.4744525547445262</v>
      </c>
    </row>
    <row r="21" spans="2:29" x14ac:dyDescent="0.2">
      <c r="B21" s="81" t="s">
        <v>48</v>
      </c>
      <c r="C21" s="81"/>
      <c r="D21" s="47">
        <f>AVERAGE(D6:D20)</f>
        <v>10.220988348398485</v>
      </c>
      <c r="E21" s="47">
        <f t="shared" ref="E21:AC21" si="0">AVERAGE(E6:E20)</f>
        <v>11.404110916554483</v>
      </c>
      <c r="F21" s="47">
        <f t="shared" si="0"/>
        <v>12.917529261698521</v>
      </c>
      <c r="G21" s="47">
        <f t="shared" si="0"/>
        <v>14.029188767615947</v>
      </c>
      <c r="H21" s="47">
        <f t="shared" si="0"/>
        <v>14.699248072457328</v>
      </c>
      <c r="I21" s="47">
        <f t="shared" si="0"/>
        <v>15.541148899744165</v>
      </c>
      <c r="J21" s="47">
        <f t="shared" si="0"/>
        <v>15.967590907504375</v>
      </c>
      <c r="K21" s="47">
        <f t="shared" si="0"/>
        <v>16.566554364197781</v>
      </c>
      <c r="L21" s="47">
        <f t="shared" si="0"/>
        <v>16.732134184814083</v>
      </c>
      <c r="M21" s="47">
        <f t="shared" si="0"/>
        <v>16.732134184814083</v>
      </c>
      <c r="N21" s="47">
        <f t="shared" si="0"/>
        <v>16.949251881587788</v>
      </c>
      <c r="O21" s="47">
        <f t="shared" si="0"/>
        <v>16.996039301611219</v>
      </c>
      <c r="P21" s="47">
        <f t="shared" si="0"/>
        <v>17.104187282769828</v>
      </c>
      <c r="Q21" s="47">
        <f t="shared" si="0"/>
        <v>10.220988348398485</v>
      </c>
      <c r="R21" s="47">
        <f t="shared" si="0"/>
        <v>9.9043706944666123</v>
      </c>
      <c r="S21" s="47">
        <f t="shared" si="0"/>
        <v>9.8563339364965863</v>
      </c>
      <c r="T21" s="47">
        <f t="shared" si="0"/>
        <v>9.4331696370831875</v>
      </c>
      <c r="U21" s="47">
        <f t="shared" si="0"/>
        <v>8.7353798823565416</v>
      </c>
      <c r="V21" s="47">
        <f t="shared" si="0"/>
        <v>8.4010088345965812</v>
      </c>
      <c r="W21" s="47">
        <f t="shared" si="0"/>
        <v>7.5170991909176905</v>
      </c>
      <c r="X21" s="47">
        <f t="shared" si="0"/>
        <v>6.1940664295083376</v>
      </c>
      <c r="Y21" s="47">
        <f t="shared" si="0"/>
        <v>4.0373782160843543</v>
      </c>
      <c r="Z21" s="47">
        <f t="shared" si="0"/>
        <v>2.7946212206298586</v>
      </c>
      <c r="AA21" s="47">
        <f t="shared" si="0"/>
        <v>1.758658596188339</v>
      </c>
      <c r="AB21" s="47">
        <f t="shared" si="0"/>
        <v>1.1639691665986234</v>
      </c>
      <c r="AC21" s="47">
        <f t="shared" si="0"/>
        <v>1.2147354501235275</v>
      </c>
    </row>
    <row r="24" spans="2:29" x14ac:dyDescent="0.2">
      <c r="B24" s="119" t="s">
        <v>59</v>
      </c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</row>
    <row r="25" spans="2:29" x14ac:dyDescent="0.2">
      <c r="B25" s="115" t="s">
        <v>51</v>
      </c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 t="s">
        <v>52</v>
      </c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</row>
    <row r="26" spans="2:29" ht="25.5" x14ac:dyDescent="0.2">
      <c r="B26" s="83" t="s">
        <v>53</v>
      </c>
      <c r="C26" s="84" t="s">
        <v>3</v>
      </c>
      <c r="D26" s="84">
        <v>0</v>
      </c>
      <c r="E26" s="84">
        <v>1</v>
      </c>
      <c r="F26" s="84">
        <v>2</v>
      </c>
      <c r="G26" s="84">
        <v>3</v>
      </c>
      <c r="H26" s="84">
        <v>4</v>
      </c>
      <c r="I26" s="84">
        <v>5</v>
      </c>
      <c r="J26" s="84">
        <v>6</v>
      </c>
      <c r="K26" s="84">
        <v>7</v>
      </c>
      <c r="L26" s="84">
        <v>8</v>
      </c>
      <c r="M26" s="84">
        <v>9</v>
      </c>
      <c r="N26" s="84">
        <v>10</v>
      </c>
      <c r="O26" s="84">
        <v>11</v>
      </c>
      <c r="P26" s="84">
        <v>12</v>
      </c>
      <c r="Q26" s="84">
        <v>0</v>
      </c>
      <c r="R26" s="84">
        <v>1</v>
      </c>
      <c r="S26" s="84">
        <v>2</v>
      </c>
      <c r="T26" s="84">
        <v>3</v>
      </c>
      <c r="U26" s="84">
        <v>4</v>
      </c>
      <c r="V26" s="84">
        <v>5</v>
      </c>
      <c r="W26" s="84">
        <v>6</v>
      </c>
      <c r="X26" s="84">
        <v>7</v>
      </c>
      <c r="Y26" s="84">
        <v>8</v>
      </c>
      <c r="Z26" s="84">
        <v>9</v>
      </c>
      <c r="AA26" s="84">
        <v>10</v>
      </c>
      <c r="AB26" s="84">
        <v>11</v>
      </c>
      <c r="AC26" s="84">
        <v>12</v>
      </c>
    </row>
    <row r="27" spans="2:29" x14ac:dyDescent="0.2">
      <c r="B27" s="81" t="s">
        <v>7</v>
      </c>
      <c r="C27" s="81">
        <v>4593</v>
      </c>
      <c r="D27" s="73">
        <v>8.9266274765948186</v>
      </c>
      <c r="E27" s="73">
        <v>10.015240583496626</v>
      </c>
      <c r="F27" s="73">
        <v>10.668408447637709</v>
      </c>
      <c r="G27" s="73">
        <v>11.539298933159156</v>
      </c>
      <c r="H27" s="73">
        <v>12.192466797300238</v>
      </c>
      <c r="I27" s="73">
        <v>12.627912040060963</v>
      </c>
      <c r="J27" s="73">
        <v>13.063357282821686</v>
      </c>
      <c r="K27" s="73">
        <v>13.281079904202047</v>
      </c>
      <c r="L27" s="73">
        <v>13.498802525582407</v>
      </c>
      <c r="M27" s="73">
        <v>13.498802525582407</v>
      </c>
      <c r="N27" s="73">
        <v>13.716525146962768</v>
      </c>
      <c r="O27" s="73">
        <v>13.716525146962768</v>
      </c>
      <c r="P27" s="74">
        <v>13.716525146962768</v>
      </c>
      <c r="Q27" s="73">
        <v>8.9266274765948186</v>
      </c>
      <c r="R27" s="73">
        <v>8.7089048552144561</v>
      </c>
      <c r="S27" s="73">
        <v>7.62029174831265</v>
      </c>
      <c r="T27" s="73">
        <v>6.9671238841715653</v>
      </c>
      <c r="U27" s="73">
        <v>6.7494012627912037</v>
      </c>
      <c r="V27" s="73">
        <v>6.0962333986501189</v>
      </c>
      <c r="W27" s="73">
        <v>5.8785107772697582</v>
      </c>
      <c r="X27" s="73">
        <v>3.9190071848465058</v>
      </c>
      <c r="Y27" s="73">
        <v>1.5240583496625297</v>
      </c>
      <c r="Z27" s="73">
        <v>0.43544524276072283</v>
      </c>
      <c r="AA27" s="73">
        <v>0.21772262138036141</v>
      </c>
      <c r="AB27" s="73">
        <v>0.21772262138036141</v>
      </c>
      <c r="AC27" s="74">
        <v>0.21772262138036141</v>
      </c>
    </row>
    <row r="28" spans="2:29" x14ac:dyDescent="0.2">
      <c r="B28" s="81" t="s">
        <v>20</v>
      </c>
      <c r="C28" s="81">
        <v>3800</v>
      </c>
      <c r="D28" s="73">
        <v>6.5789473684210522</v>
      </c>
      <c r="E28" s="73">
        <v>7.6315789473684204</v>
      </c>
      <c r="F28" s="73">
        <v>9.2105263157894726</v>
      </c>
      <c r="G28" s="73">
        <v>10</v>
      </c>
      <c r="H28" s="73">
        <v>10.263157894736842</v>
      </c>
      <c r="I28" s="73">
        <v>10.789473684210526</v>
      </c>
      <c r="J28" s="73">
        <v>11.315789473684211</v>
      </c>
      <c r="K28" s="73">
        <v>12.105263157894736</v>
      </c>
      <c r="L28" s="73">
        <v>12.368421052631579</v>
      </c>
      <c r="M28" s="73">
        <v>12.368421052631579</v>
      </c>
      <c r="N28" s="73">
        <v>12.631578947368421</v>
      </c>
      <c r="O28" s="73">
        <v>12.631578947368421</v>
      </c>
      <c r="P28" s="74">
        <v>12.894736842105262</v>
      </c>
      <c r="Q28" s="73">
        <v>6.5789473684210522</v>
      </c>
      <c r="R28" s="73">
        <v>6.5789473684210522</v>
      </c>
      <c r="S28" s="73">
        <v>6.0526315789473681</v>
      </c>
      <c r="T28" s="73">
        <v>6.0526315789473681</v>
      </c>
      <c r="U28" s="73">
        <v>5</v>
      </c>
      <c r="V28" s="73">
        <v>4.2105263157894735</v>
      </c>
      <c r="W28" s="73">
        <v>2.8947368421052633</v>
      </c>
      <c r="X28" s="73">
        <v>1.5789473684210527</v>
      </c>
      <c r="Y28" s="73">
        <v>0.26315789473684209</v>
      </c>
      <c r="Z28" s="73">
        <v>0</v>
      </c>
      <c r="AA28" s="73">
        <v>0.26315789473684209</v>
      </c>
      <c r="AB28" s="73">
        <v>0</v>
      </c>
      <c r="AC28" s="74">
        <v>0</v>
      </c>
    </row>
    <row r="29" spans="2:29" x14ac:dyDescent="0.2">
      <c r="B29" s="81" t="s">
        <v>22</v>
      </c>
      <c r="C29" s="81">
        <v>5100</v>
      </c>
      <c r="D29" s="73">
        <v>8.4313725490196063</v>
      </c>
      <c r="E29" s="73">
        <v>8.8235294117647065</v>
      </c>
      <c r="F29" s="73">
        <v>10</v>
      </c>
      <c r="G29" s="73">
        <v>0.58823529411764697</v>
      </c>
      <c r="H29" s="73">
        <v>10.588235294117647</v>
      </c>
      <c r="I29" s="73">
        <v>10.980392156862745</v>
      </c>
      <c r="J29" s="73">
        <v>11.568627450980392</v>
      </c>
      <c r="K29" s="73">
        <v>11.96078431372549</v>
      </c>
      <c r="L29" s="73">
        <v>12.15686274509804</v>
      </c>
      <c r="M29" s="73">
        <v>12.15686274509804</v>
      </c>
      <c r="N29" s="73">
        <v>12.352941176470587</v>
      </c>
      <c r="O29" s="73">
        <v>12.352941176470587</v>
      </c>
      <c r="P29" s="74">
        <v>12.352941176470587</v>
      </c>
      <c r="Q29" s="73">
        <v>8.4313725490196063</v>
      </c>
      <c r="R29" s="73">
        <v>7.8431372549019605</v>
      </c>
      <c r="S29" s="73">
        <v>8.2352941176470598</v>
      </c>
      <c r="T29" s="73">
        <v>7.4509803921568629</v>
      </c>
      <c r="U29" s="73">
        <v>6.2745098039215685</v>
      </c>
      <c r="V29" s="73">
        <v>6.0784313725490202</v>
      </c>
      <c r="W29" s="73">
        <v>5.6862745098039209</v>
      </c>
      <c r="X29" s="73">
        <v>4.3137254901960782</v>
      </c>
      <c r="Y29" s="73">
        <v>2.9411764705882351</v>
      </c>
      <c r="Z29" s="73">
        <v>1.9607843137254901</v>
      </c>
      <c r="AA29" s="73">
        <v>0.98039215686274506</v>
      </c>
      <c r="AB29" s="73">
        <v>0.19607843137254902</v>
      </c>
      <c r="AC29" s="74">
        <v>0.19607843137254902</v>
      </c>
    </row>
    <row r="30" spans="2:29" x14ac:dyDescent="0.2">
      <c r="B30" s="81" t="s">
        <v>29</v>
      </c>
      <c r="C30" s="81">
        <v>5020</v>
      </c>
      <c r="D30" s="73">
        <v>7.9681274900398407</v>
      </c>
      <c r="E30" s="73">
        <v>9.9601593625498008</v>
      </c>
      <c r="F30" s="73">
        <v>13.147410358565738</v>
      </c>
      <c r="G30" s="73">
        <v>14.741035856573706</v>
      </c>
      <c r="H30" s="73">
        <v>15.737051792828687</v>
      </c>
      <c r="I30" s="73">
        <v>15.936254980079681</v>
      </c>
      <c r="J30" s="73">
        <v>17.131474103585656</v>
      </c>
      <c r="K30" s="73">
        <v>17.729083665338646</v>
      </c>
      <c r="L30" s="73">
        <v>17.928286852589643</v>
      </c>
      <c r="M30" s="73">
        <v>17.928286852589643</v>
      </c>
      <c r="N30" s="73">
        <v>18.127490039840637</v>
      </c>
      <c r="O30" s="73">
        <v>18.127490039840637</v>
      </c>
      <c r="P30" s="74">
        <v>18.127490039840637</v>
      </c>
      <c r="Q30" s="73">
        <v>7.9681274900398407</v>
      </c>
      <c r="R30" s="73">
        <v>9.1633466135458157</v>
      </c>
      <c r="S30" s="73">
        <v>10.159362549800797</v>
      </c>
      <c r="T30" s="73">
        <v>10.756972111553786</v>
      </c>
      <c r="U30" s="73">
        <v>10.956175298804782</v>
      </c>
      <c r="V30" s="73">
        <v>9.9601593625498008</v>
      </c>
      <c r="W30" s="73">
        <v>10.358565737051793</v>
      </c>
      <c r="X30" s="73">
        <v>9.760956175298805</v>
      </c>
      <c r="Y30" s="73">
        <v>8.7649402390438258</v>
      </c>
      <c r="Z30" s="73">
        <v>8.1673306772908365</v>
      </c>
      <c r="AA30" s="73">
        <v>7.3705179282868531</v>
      </c>
      <c r="AB30" s="73">
        <v>5.5776892430278888</v>
      </c>
      <c r="AC30" s="74">
        <v>5.5776892430278888</v>
      </c>
    </row>
    <row r="31" spans="2:29" x14ac:dyDescent="0.2">
      <c r="B31" s="81" t="s">
        <v>31</v>
      </c>
      <c r="C31" s="81">
        <v>4500</v>
      </c>
      <c r="D31" s="73">
        <v>7.333333333333333</v>
      </c>
      <c r="E31" s="73">
        <v>8.2222222222222232</v>
      </c>
      <c r="F31" s="73">
        <v>10.888888888888889</v>
      </c>
      <c r="G31" s="73">
        <v>12.888888888888889</v>
      </c>
      <c r="H31" s="73">
        <v>13.555555555555555</v>
      </c>
      <c r="I31" s="73">
        <v>14</v>
      </c>
      <c r="J31" s="73">
        <v>14.222222222222223</v>
      </c>
      <c r="K31" s="73">
        <v>14.888888888888889</v>
      </c>
      <c r="L31" s="73">
        <v>14.888888888888889</v>
      </c>
      <c r="M31" s="73">
        <v>14.888888888888889</v>
      </c>
      <c r="N31" s="73">
        <v>15.111111111111112</v>
      </c>
      <c r="O31" s="73">
        <v>15.555555555555555</v>
      </c>
      <c r="P31" s="74">
        <v>15.777777777777779</v>
      </c>
      <c r="Q31" s="73">
        <v>7.333333333333333</v>
      </c>
      <c r="R31" s="73">
        <v>6.4444444444444446</v>
      </c>
      <c r="S31" s="73">
        <v>7.333333333333333</v>
      </c>
      <c r="T31" s="73">
        <v>8</v>
      </c>
      <c r="U31" s="73">
        <v>7.5555555555555562</v>
      </c>
      <c r="V31" s="73">
        <v>6.4444444444444446</v>
      </c>
      <c r="W31" s="73">
        <v>5.1111111111111116</v>
      </c>
      <c r="X31" s="73">
        <v>5.333333333333333</v>
      </c>
      <c r="Y31" s="73">
        <v>3.7777777777777781</v>
      </c>
      <c r="Z31" s="73">
        <v>2.4444444444444442</v>
      </c>
      <c r="AA31" s="73">
        <v>1.1111111111111112</v>
      </c>
      <c r="AB31" s="73">
        <v>1.3333333333333333</v>
      </c>
      <c r="AC31" s="74">
        <v>1.5555555555555554</v>
      </c>
    </row>
    <row r="32" spans="2:29" x14ac:dyDescent="0.2">
      <c r="B32" s="81" t="s">
        <v>32</v>
      </c>
      <c r="C32" s="81">
        <v>5600</v>
      </c>
      <c r="D32" s="73">
        <v>8.0357142857142847</v>
      </c>
      <c r="E32" s="73">
        <v>9.2857142857142865</v>
      </c>
      <c r="F32" s="73">
        <v>11.785714285714286</v>
      </c>
      <c r="G32" s="73">
        <v>13.571428571428571</v>
      </c>
      <c r="H32" s="73">
        <v>14.464285714285714</v>
      </c>
      <c r="I32" s="73">
        <v>14.821428571428573</v>
      </c>
      <c r="J32" s="73">
        <v>15</v>
      </c>
      <c r="K32" s="73">
        <v>15.357142857142858</v>
      </c>
      <c r="L32" s="73">
        <v>15.535714285714286</v>
      </c>
      <c r="M32" s="73">
        <v>15.535714285714286</v>
      </c>
      <c r="N32" s="73">
        <v>15.535714285714286</v>
      </c>
      <c r="O32" s="73">
        <v>15.535714285714286</v>
      </c>
      <c r="P32" s="74">
        <v>15.535714285714286</v>
      </c>
      <c r="Q32" s="73">
        <v>8.0357142857142847</v>
      </c>
      <c r="R32" s="73">
        <v>8.3928571428571423</v>
      </c>
      <c r="S32" s="73">
        <v>9.6428571428571423</v>
      </c>
      <c r="T32" s="73">
        <v>10.357142857142856</v>
      </c>
      <c r="U32" s="73">
        <v>10.178571428571429</v>
      </c>
      <c r="V32" s="73">
        <v>9.2857142857142865</v>
      </c>
      <c r="W32" s="73">
        <v>8.5714285714285712</v>
      </c>
      <c r="X32" s="73">
        <v>7.5</v>
      </c>
      <c r="Y32" s="73">
        <v>5.5357142857142856</v>
      </c>
      <c r="Z32" s="73">
        <v>4.6428571428571432</v>
      </c>
      <c r="AA32" s="73">
        <v>3.5714285714285712</v>
      </c>
      <c r="AB32" s="73">
        <v>2.6785714285714284</v>
      </c>
      <c r="AC32" s="74">
        <v>2.6785714285714284</v>
      </c>
    </row>
    <row r="33" spans="2:29" x14ac:dyDescent="0.2">
      <c r="B33" s="81" t="s">
        <v>33</v>
      </c>
      <c r="C33" s="81">
        <v>5600</v>
      </c>
      <c r="D33" s="73">
        <v>8.2142857142857135</v>
      </c>
      <c r="E33" s="73">
        <v>10</v>
      </c>
      <c r="F33" s="73">
        <v>12.857142857142858</v>
      </c>
      <c r="G33" s="73">
        <v>14.285714285714285</v>
      </c>
      <c r="H33" s="73">
        <v>15.178571428571429</v>
      </c>
      <c r="I33" s="73">
        <v>15.357142857142858</v>
      </c>
      <c r="J33" s="73">
        <v>16.428571428571427</v>
      </c>
      <c r="K33" s="73">
        <v>16.964285714285712</v>
      </c>
      <c r="L33" s="73">
        <v>17.142857142857142</v>
      </c>
      <c r="M33" s="73">
        <v>17.142857142857142</v>
      </c>
      <c r="N33" s="73">
        <v>17.321428571428569</v>
      </c>
      <c r="O33" s="73">
        <v>17.321428571428569</v>
      </c>
      <c r="P33" s="74">
        <v>17.321428571428569</v>
      </c>
      <c r="Q33" s="73">
        <v>8.2142857142857135</v>
      </c>
      <c r="R33" s="73">
        <v>9.2857142857142865</v>
      </c>
      <c r="S33" s="73">
        <v>10.178571428571429</v>
      </c>
      <c r="T33" s="73">
        <v>10.714285714285714</v>
      </c>
      <c r="U33" s="73">
        <v>10.178571428571429</v>
      </c>
      <c r="V33" s="73">
        <v>9.2857142857142865</v>
      </c>
      <c r="W33" s="73">
        <v>9.6428571428571423</v>
      </c>
      <c r="X33" s="73">
        <v>9.1071428571428577</v>
      </c>
      <c r="Y33" s="73">
        <v>7.8571428571428577</v>
      </c>
      <c r="Z33" s="73">
        <v>7.3214285714285712</v>
      </c>
      <c r="AA33" s="73">
        <v>6.6071428571428577</v>
      </c>
      <c r="AB33" s="73">
        <v>5</v>
      </c>
      <c r="AC33" s="74">
        <v>5</v>
      </c>
    </row>
    <row r="34" spans="2:29" x14ac:dyDescent="0.2">
      <c r="B34" s="81" t="s">
        <v>36</v>
      </c>
      <c r="C34" s="82">
        <v>7504</v>
      </c>
      <c r="D34" s="73">
        <v>6.6631130063965882</v>
      </c>
      <c r="E34" s="73">
        <v>7.9957356076759067</v>
      </c>
      <c r="F34" s="73">
        <v>10.127931769722816</v>
      </c>
      <c r="G34" s="73">
        <v>11.194029850746269</v>
      </c>
      <c r="H34" s="73">
        <v>11.860341151385928</v>
      </c>
      <c r="I34" s="73">
        <v>11.99360341151386</v>
      </c>
      <c r="J34" s="73">
        <v>12.793176972281449</v>
      </c>
      <c r="K34" s="73">
        <v>13.192963752665245</v>
      </c>
      <c r="L34" s="73">
        <v>13.326226012793176</v>
      </c>
      <c r="M34" s="73">
        <v>13.326226012793176</v>
      </c>
      <c r="N34" s="73">
        <v>13.459488272921108</v>
      </c>
      <c r="O34" s="73">
        <v>13.459488272921108</v>
      </c>
      <c r="P34" s="74">
        <v>13.459488272921108</v>
      </c>
      <c r="Q34" s="73">
        <v>6.6631130063965882</v>
      </c>
      <c r="R34" s="73">
        <v>7.4626865671641793</v>
      </c>
      <c r="S34" s="73">
        <v>8.1289978678038377</v>
      </c>
      <c r="T34" s="73">
        <v>8.5287846481876333</v>
      </c>
      <c r="U34" s="73">
        <v>8.1289978678038377</v>
      </c>
      <c r="V34" s="73">
        <v>7.4626865671641793</v>
      </c>
      <c r="W34" s="73">
        <v>7.7292110874200421</v>
      </c>
      <c r="X34" s="73">
        <v>7.3294243070362475</v>
      </c>
      <c r="Y34" s="73">
        <v>6.3965884861407245</v>
      </c>
      <c r="Z34" s="73">
        <v>5.9968017057569298</v>
      </c>
      <c r="AA34" s="73">
        <v>5.4637526652452024</v>
      </c>
      <c r="AB34" s="73">
        <v>4.2643923240938166</v>
      </c>
      <c r="AC34" s="74">
        <v>4.2643923240938166</v>
      </c>
    </row>
    <row r="35" spans="2:29" x14ac:dyDescent="0.2">
      <c r="B35" s="81" t="s">
        <v>15</v>
      </c>
      <c r="C35" s="81">
        <v>6323</v>
      </c>
      <c r="D35" s="25">
        <v>6.0098054720860352</v>
      </c>
      <c r="E35" s="25">
        <v>6.6424165744108805</v>
      </c>
      <c r="F35" s="25">
        <v>7.1168749011545156</v>
      </c>
      <c r="G35" s="25">
        <v>7.9076387790605729</v>
      </c>
      <c r="H35" s="25">
        <v>8.2239443302229951</v>
      </c>
      <c r="I35" s="25">
        <v>8.6984026569666302</v>
      </c>
      <c r="J35" s="25">
        <v>9.0147082081290524</v>
      </c>
      <c r="K35" s="25">
        <v>9.1728609837102635</v>
      </c>
      <c r="L35" s="25">
        <v>9.3310137592914764</v>
      </c>
      <c r="M35" s="25">
        <v>9.3310137592914764</v>
      </c>
      <c r="N35" s="25">
        <v>9.4891665348726857</v>
      </c>
      <c r="O35" s="25">
        <v>9.4891665348726857</v>
      </c>
      <c r="P35" s="74">
        <v>9.4891665348726857</v>
      </c>
      <c r="Q35" s="25">
        <v>6.0098054720860352</v>
      </c>
      <c r="R35" s="25">
        <v>5.6934999209236121</v>
      </c>
      <c r="S35" s="25">
        <v>5.2190415941799779</v>
      </c>
      <c r="T35" s="25">
        <v>4.9027360430175548</v>
      </c>
      <c r="U35" s="25">
        <v>4.5864304918551317</v>
      </c>
      <c r="V35" s="25">
        <v>3.9538193895302864</v>
      </c>
      <c r="W35" s="25">
        <v>3.4793610627866518</v>
      </c>
      <c r="X35" s="25">
        <v>2.688597184880595</v>
      </c>
      <c r="Y35" s="25">
        <v>1.1070694290684802</v>
      </c>
      <c r="Z35" s="25">
        <v>0.31630555116242293</v>
      </c>
      <c r="AA35" s="25">
        <v>0.15815277558121146</v>
      </c>
      <c r="AB35" s="25">
        <v>0.15815277558121146</v>
      </c>
      <c r="AC35" s="74">
        <v>0.15815277558121146</v>
      </c>
    </row>
    <row r="36" spans="2:29" x14ac:dyDescent="0.2">
      <c r="B36" s="81" t="s">
        <v>16</v>
      </c>
      <c r="C36" s="81">
        <v>3809</v>
      </c>
      <c r="D36" s="25">
        <v>11.026516145970071</v>
      </c>
      <c r="E36" s="25">
        <v>11.551588343397217</v>
      </c>
      <c r="F36" s="25">
        <v>12.60173273825151</v>
      </c>
      <c r="G36" s="25">
        <v>13.389341034392229</v>
      </c>
      <c r="H36" s="25">
        <v>14.439485429246522</v>
      </c>
      <c r="I36" s="25">
        <v>14.964557626673667</v>
      </c>
      <c r="J36" s="25">
        <v>15.22709372538724</v>
      </c>
      <c r="K36" s="25">
        <v>16.01470202152796</v>
      </c>
      <c r="L36" s="25">
        <v>16.01470202152796</v>
      </c>
      <c r="M36" s="25">
        <v>16.01470202152796</v>
      </c>
      <c r="N36" s="25">
        <v>16.277238120241535</v>
      </c>
      <c r="O36" s="25">
        <v>16.277238120241535</v>
      </c>
      <c r="P36" s="74">
        <v>16.539774218955106</v>
      </c>
      <c r="Q36" s="25">
        <v>11.026516145970071</v>
      </c>
      <c r="R36" s="25">
        <v>9.4512995536886333</v>
      </c>
      <c r="S36" s="25">
        <v>8.9262273562614851</v>
      </c>
      <c r="T36" s="25">
        <v>8.6636912575479137</v>
      </c>
      <c r="U36" s="25">
        <v>8.4011551588343405</v>
      </c>
      <c r="V36" s="25">
        <v>7.61354686269362</v>
      </c>
      <c r="W36" s="25">
        <v>6.0383302704121817</v>
      </c>
      <c r="X36" s="25">
        <v>4.7256497768443166</v>
      </c>
      <c r="Y36" s="25">
        <v>3.1504331845628775</v>
      </c>
      <c r="Z36" s="25">
        <v>1.5752165922814387</v>
      </c>
      <c r="AA36" s="25">
        <v>1.0501443948542926</v>
      </c>
      <c r="AB36" s="25">
        <v>0.52507219742714628</v>
      </c>
      <c r="AC36" s="74">
        <v>0.52507219742714628</v>
      </c>
    </row>
    <row r="37" spans="2:29" x14ac:dyDescent="0.2">
      <c r="B37" s="81" t="s">
        <v>24</v>
      </c>
      <c r="C37" s="81">
        <v>5455</v>
      </c>
      <c r="D37" s="25">
        <v>6.5994500458295144</v>
      </c>
      <c r="E37" s="25">
        <v>7.1494042163153066</v>
      </c>
      <c r="F37" s="25">
        <v>7.8826764436296974</v>
      </c>
      <c r="G37" s="25">
        <v>8.7992667277726859</v>
      </c>
      <c r="H37" s="25">
        <v>8.9825847846012827</v>
      </c>
      <c r="I37" s="25">
        <v>9.7158570119156735</v>
      </c>
      <c r="J37" s="25">
        <v>9.8991750687442721</v>
      </c>
      <c r="K37" s="25">
        <v>10.265811182401468</v>
      </c>
      <c r="L37" s="25">
        <v>10.449129239230064</v>
      </c>
      <c r="M37" s="25">
        <v>10.449129239230064</v>
      </c>
      <c r="N37" s="25">
        <v>10.632447296058661</v>
      </c>
      <c r="O37" s="25">
        <v>10.632447296058661</v>
      </c>
      <c r="P37" s="74">
        <v>10.632447296058661</v>
      </c>
      <c r="Q37" s="25">
        <v>6.5994500458295144</v>
      </c>
      <c r="R37" s="25">
        <v>6.0494958753437214</v>
      </c>
      <c r="S37" s="25">
        <v>5.4995417048579283</v>
      </c>
      <c r="T37" s="25">
        <v>5.4995417048579283</v>
      </c>
      <c r="U37" s="25">
        <v>4.9495875343721361</v>
      </c>
      <c r="V37" s="25">
        <v>4.5829514207149407</v>
      </c>
      <c r="W37" s="25">
        <v>4.2163153070577453</v>
      </c>
      <c r="X37" s="25">
        <v>2.7497708524289641</v>
      </c>
      <c r="Y37" s="25">
        <v>1.0999083409715857</v>
      </c>
      <c r="Z37" s="25">
        <v>0.18331805682859761</v>
      </c>
      <c r="AA37" s="25">
        <v>0</v>
      </c>
      <c r="AB37" s="25">
        <v>0</v>
      </c>
      <c r="AC37" s="74">
        <v>0</v>
      </c>
    </row>
    <row r="38" spans="2:29" x14ac:dyDescent="0.2">
      <c r="B38" s="81" t="s">
        <v>25</v>
      </c>
      <c r="C38" s="81">
        <v>6200</v>
      </c>
      <c r="D38" s="25">
        <v>4.5161290322580649</v>
      </c>
      <c r="E38" s="25">
        <v>4.838709677419355</v>
      </c>
      <c r="F38" s="25">
        <v>5.32258064516129</v>
      </c>
      <c r="G38" s="25">
        <v>5.967741935483871</v>
      </c>
      <c r="H38" s="25">
        <v>6.4516129032258061</v>
      </c>
      <c r="I38" s="25">
        <v>6.935483870967742</v>
      </c>
      <c r="J38" s="25">
        <v>7.2580645161290329</v>
      </c>
      <c r="K38" s="25">
        <v>7.580645161290323</v>
      </c>
      <c r="L38" s="25">
        <v>7.741935483870968</v>
      </c>
      <c r="M38" s="25">
        <v>7.741935483870968</v>
      </c>
      <c r="N38" s="25">
        <v>7.9032258064516139</v>
      </c>
      <c r="O38" s="25">
        <v>7.9032258064516139</v>
      </c>
      <c r="P38" s="74">
        <v>7.9032258064516139</v>
      </c>
      <c r="Q38" s="25">
        <v>4.5161290322580649</v>
      </c>
      <c r="R38" s="25">
        <v>3.5483870967741939</v>
      </c>
      <c r="S38" s="25">
        <v>3.3870967741935485</v>
      </c>
      <c r="T38" s="25">
        <v>3.3870967741935485</v>
      </c>
      <c r="U38" s="25">
        <v>3.064516129032258</v>
      </c>
      <c r="V38" s="25">
        <v>2.7419354838709675</v>
      </c>
      <c r="W38" s="25">
        <v>1.935483870967742</v>
      </c>
      <c r="X38" s="25">
        <v>0.967741935483871</v>
      </c>
      <c r="Y38" s="25">
        <v>0.4838709677419355</v>
      </c>
      <c r="Z38" s="25">
        <v>0.32258064516129031</v>
      </c>
      <c r="AA38" s="25">
        <v>0.16129032258064516</v>
      </c>
      <c r="AB38" s="25">
        <v>0</v>
      </c>
      <c r="AC38" s="74">
        <v>0</v>
      </c>
    </row>
    <row r="39" spans="2:29" x14ac:dyDescent="0.2">
      <c r="B39" s="81" t="s">
        <v>27</v>
      </c>
      <c r="C39" s="81">
        <v>4204</v>
      </c>
      <c r="D39" s="25">
        <v>5.7088487155090393</v>
      </c>
      <c r="E39" s="25">
        <v>6.1845861084681255</v>
      </c>
      <c r="F39" s="25">
        <v>6.8981921979067549</v>
      </c>
      <c r="G39" s="25">
        <v>7.8496669838249291</v>
      </c>
      <c r="H39" s="25">
        <v>8.5632730732635576</v>
      </c>
      <c r="I39" s="25">
        <v>9.2768791627021887</v>
      </c>
      <c r="J39" s="25">
        <v>9.7526165556612749</v>
      </c>
      <c r="K39" s="25">
        <v>10.228353948620361</v>
      </c>
      <c r="L39" s="25">
        <v>10.466222645099904</v>
      </c>
      <c r="M39" s="25">
        <v>10.466222645099904</v>
      </c>
      <c r="N39" s="25">
        <v>10.704091341579447</v>
      </c>
      <c r="O39" s="25">
        <v>10.704091341579447</v>
      </c>
      <c r="P39" s="74">
        <v>10.704091341579447</v>
      </c>
      <c r="Q39" s="25">
        <v>5.7088487155090393</v>
      </c>
      <c r="R39" s="25">
        <v>4.2816365366317788</v>
      </c>
      <c r="S39" s="25">
        <v>4.0437678401522366</v>
      </c>
      <c r="T39" s="25">
        <v>4.0437678401522366</v>
      </c>
      <c r="U39" s="25">
        <v>3.5680304471931494</v>
      </c>
      <c r="V39" s="25">
        <v>3.0922930542340628</v>
      </c>
      <c r="W39" s="25">
        <v>1.9029495718363465</v>
      </c>
      <c r="X39" s="25">
        <v>0.95147478591817325</v>
      </c>
      <c r="Y39" s="25">
        <v>0.71360608943862991</v>
      </c>
      <c r="Z39" s="25">
        <v>0.47573739295908662</v>
      </c>
      <c r="AA39" s="25">
        <v>0.23786869647954331</v>
      </c>
      <c r="AB39" s="25">
        <v>0</v>
      </c>
      <c r="AC39" s="74">
        <v>0</v>
      </c>
    </row>
    <row r="40" spans="2:29" x14ac:dyDescent="0.2">
      <c r="B40" s="81" t="s">
        <v>30</v>
      </c>
      <c r="C40" s="81">
        <v>5500</v>
      </c>
      <c r="D40" s="25">
        <v>5.454545454545455</v>
      </c>
      <c r="E40" s="25">
        <v>6.3636363636363642</v>
      </c>
      <c r="F40" s="25">
        <v>8.7272727272727284</v>
      </c>
      <c r="G40" s="25">
        <v>11.272727272727273</v>
      </c>
      <c r="H40" s="25">
        <v>12.727272727272728</v>
      </c>
      <c r="I40" s="25">
        <v>13.818181818181818</v>
      </c>
      <c r="J40" s="25">
        <v>14.181818181818183</v>
      </c>
      <c r="K40" s="25">
        <v>14.363636363636363</v>
      </c>
      <c r="L40" s="25">
        <v>14.545454545454545</v>
      </c>
      <c r="M40" s="25">
        <v>14.545454545454545</v>
      </c>
      <c r="N40" s="25">
        <v>14.727272727272728</v>
      </c>
      <c r="O40" s="25">
        <v>14.727272727272728</v>
      </c>
      <c r="P40" s="74">
        <v>14.909090909090908</v>
      </c>
      <c r="Q40" s="25">
        <v>5.454545454545455</v>
      </c>
      <c r="R40" s="25">
        <v>5.2727272727272725</v>
      </c>
      <c r="S40" s="25">
        <v>6.1818181818181817</v>
      </c>
      <c r="T40" s="25">
        <v>7.4545454545454541</v>
      </c>
      <c r="U40" s="25">
        <v>7.6363636363636367</v>
      </c>
      <c r="V40" s="25">
        <v>7.6363636363636367</v>
      </c>
      <c r="W40" s="25">
        <v>7.4545454545454541</v>
      </c>
      <c r="X40" s="25">
        <v>5.8181818181818175</v>
      </c>
      <c r="Y40" s="25">
        <v>3.8181818181818183</v>
      </c>
      <c r="Z40" s="25">
        <v>2.9090909090909087</v>
      </c>
      <c r="AA40" s="25">
        <v>2</v>
      </c>
      <c r="AB40" s="25">
        <v>1.2727272727272727</v>
      </c>
      <c r="AC40" s="74">
        <v>1.4545454545454544</v>
      </c>
    </row>
    <row r="41" spans="2:29" x14ac:dyDescent="0.2">
      <c r="B41" s="81" t="s">
        <v>34</v>
      </c>
      <c r="C41" s="81">
        <v>6100</v>
      </c>
      <c r="D41" s="25">
        <v>9.8360655737704921</v>
      </c>
      <c r="E41" s="25">
        <v>12.295081967213115</v>
      </c>
      <c r="F41" s="25">
        <v>14.426229508196721</v>
      </c>
      <c r="G41" s="25">
        <v>16.721311475409834</v>
      </c>
      <c r="H41" s="25">
        <v>18.032786885245901</v>
      </c>
      <c r="I41" s="25">
        <v>19.016393442622952</v>
      </c>
      <c r="J41" s="25">
        <v>19.344262295081968</v>
      </c>
      <c r="K41" s="25">
        <v>19.508196721311474</v>
      </c>
      <c r="L41" s="25">
        <v>19.672131147540984</v>
      </c>
      <c r="M41" s="25">
        <v>19.672131147540984</v>
      </c>
      <c r="N41" s="25">
        <v>19.836065573770494</v>
      </c>
      <c r="O41" s="25">
        <v>20.16393442622951</v>
      </c>
      <c r="P41" s="74">
        <v>20.16393442622951</v>
      </c>
      <c r="Q41" s="25">
        <v>9.8360655737704921</v>
      </c>
      <c r="R41" s="25">
        <v>11.311475409836065</v>
      </c>
      <c r="S41" s="25">
        <v>12.131147540983607</v>
      </c>
      <c r="T41" s="25">
        <v>13.278688524590164</v>
      </c>
      <c r="U41" s="25">
        <v>13.442622950819672</v>
      </c>
      <c r="V41" s="25">
        <v>13.442622950819672</v>
      </c>
      <c r="W41" s="25">
        <v>12.950819672131148</v>
      </c>
      <c r="X41" s="25">
        <v>11.475409836065573</v>
      </c>
      <c r="Y41" s="25">
        <v>9.6721311475409841</v>
      </c>
      <c r="Z41" s="25">
        <v>7.2131147540983607</v>
      </c>
      <c r="AA41" s="25">
        <v>4.7540983606557381</v>
      </c>
      <c r="AB41" s="25">
        <v>3.9344262295081966</v>
      </c>
      <c r="AC41" s="74">
        <v>3.9344262295081966</v>
      </c>
    </row>
    <row r="42" spans="2:29" x14ac:dyDescent="0.2">
      <c r="B42" s="81" t="s">
        <v>48</v>
      </c>
      <c r="C42" s="81"/>
      <c r="D42" s="47">
        <f>AVERAGE(D27:D41)</f>
        <v>7.4201921109182605</v>
      </c>
      <c r="E42" s="47">
        <f t="shared" ref="E42:AC42" si="1">AVERAGE(E27:E41)</f>
        <v>8.4639735781101528</v>
      </c>
      <c r="F42" s="47">
        <f t="shared" si="1"/>
        <v>10.110772139002332</v>
      </c>
      <c r="G42" s="47">
        <f t="shared" si="1"/>
        <v>10.714421725953327</v>
      </c>
      <c r="H42" s="47">
        <f t="shared" si="1"/>
        <v>12.084041717457387</v>
      </c>
      <c r="I42" s="47">
        <f t="shared" si="1"/>
        <v>12.595464219421991</v>
      </c>
      <c r="J42" s="47">
        <f t="shared" si="1"/>
        <v>13.080063832339871</v>
      </c>
      <c r="K42" s="47">
        <f t="shared" si="1"/>
        <v>13.507579909109458</v>
      </c>
      <c r="L42" s="47">
        <f t="shared" si="1"/>
        <v>13.671109889878071</v>
      </c>
      <c r="M42" s="47">
        <f t="shared" si="1"/>
        <v>13.671109889878071</v>
      </c>
      <c r="N42" s="47">
        <f t="shared" si="1"/>
        <v>13.855052330137644</v>
      </c>
      <c r="O42" s="47">
        <f t="shared" si="1"/>
        <v>13.906539883264539</v>
      </c>
      <c r="P42" s="47">
        <f t="shared" si="1"/>
        <v>13.968522176430595</v>
      </c>
      <c r="Q42" s="47">
        <f t="shared" si="1"/>
        <v>7.4201921109182605</v>
      </c>
      <c r="R42" s="47">
        <f t="shared" si="1"/>
        <v>7.2992373465459064</v>
      </c>
      <c r="S42" s="47">
        <f t="shared" si="1"/>
        <v>7.515998717314706</v>
      </c>
      <c r="T42" s="47">
        <f t="shared" si="1"/>
        <v>7.7371992523567066</v>
      </c>
      <c r="U42" s="47">
        <f t="shared" si="1"/>
        <v>7.3780325996326752</v>
      </c>
      <c r="V42" s="47">
        <f t="shared" si="1"/>
        <v>6.7924961887201851</v>
      </c>
      <c r="W42" s="47">
        <f t="shared" si="1"/>
        <v>6.2567000659189906</v>
      </c>
      <c r="X42" s="47">
        <f t="shared" si="1"/>
        <v>5.2146241937385449</v>
      </c>
      <c r="Y42" s="47">
        <f t="shared" si="1"/>
        <v>3.807050489220893</v>
      </c>
      <c r="Z42" s="47">
        <f t="shared" si="1"/>
        <v>2.9309637333230829</v>
      </c>
      <c r="AA42" s="47">
        <f t="shared" si="1"/>
        <v>2.2631186904230649</v>
      </c>
      <c r="AB42" s="47">
        <f t="shared" si="1"/>
        <v>1.6772110571348804</v>
      </c>
      <c r="AC42" s="47">
        <f t="shared" si="1"/>
        <v>1.7041470840709072</v>
      </c>
    </row>
    <row r="44" spans="2:29" x14ac:dyDescent="0.2"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</row>
    <row r="45" spans="2:29" x14ac:dyDescent="0.2"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</row>
    <row r="46" spans="2:29" x14ac:dyDescent="0.2"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</row>
    <row r="47" spans="2:29" x14ac:dyDescent="0.2"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</row>
    <row r="49" spans="2:17" x14ac:dyDescent="0.2">
      <c r="B49" s="114" t="s">
        <v>44</v>
      </c>
      <c r="C49" s="115"/>
      <c r="D49" s="115"/>
      <c r="E49" s="115"/>
      <c r="F49" s="115"/>
      <c r="G49" s="116"/>
      <c r="H49" s="116"/>
      <c r="I49" s="116"/>
      <c r="J49" s="116"/>
    </row>
    <row r="50" spans="2:17" x14ac:dyDescent="0.2">
      <c r="B50" s="114"/>
      <c r="C50" s="117" t="s">
        <v>43</v>
      </c>
      <c r="D50" s="117"/>
      <c r="E50" s="117" t="s">
        <v>42</v>
      </c>
      <c r="F50" s="117"/>
      <c r="G50" s="118"/>
      <c r="H50" s="118"/>
      <c r="I50" s="118"/>
      <c r="J50" s="118"/>
    </row>
    <row r="51" spans="2:17" ht="63.75" x14ac:dyDescent="0.2">
      <c r="B51" s="114"/>
      <c r="C51" s="36" t="s">
        <v>49</v>
      </c>
      <c r="D51" s="36" t="s">
        <v>50</v>
      </c>
      <c r="E51" s="36" t="s">
        <v>49</v>
      </c>
      <c r="F51" s="36" t="s">
        <v>50</v>
      </c>
      <c r="G51" s="78"/>
      <c r="H51" s="78"/>
      <c r="I51" s="78"/>
      <c r="J51" s="78"/>
    </row>
    <row r="52" spans="2:17" x14ac:dyDescent="0.2">
      <c r="B52" s="32">
        <v>0</v>
      </c>
      <c r="C52" s="69">
        <v>10.220988348398485</v>
      </c>
      <c r="D52" s="71">
        <v>10.220988348398485</v>
      </c>
      <c r="E52" s="70">
        <v>7.4201921109182605</v>
      </c>
      <c r="F52" s="71">
        <v>7.4201921109182605</v>
      </c>
      <c r="G52" s="79"/>
      <c r="H52" s="79"/>
      <c r="I52" s="79"/>
      <c r="J52" s="79"/>
      <c r="K52" s="25"/>
      <c r="L52" s="25"/>
      <c r="M52" s="25"/>
      <c r="N52" s="25"/>
      <c r="O52" s="25"/>
      <c r="P52" s="25"/>
      <c r="Q52" s="25"/>
    </row>
    <row r="53" spans="2:17" x14ac:dyDescent="0.2">
      <c r="B53" s="32">
        <v>1</v>
      </c>
      <c r="C53" s="72">
        <v>11.404110916554483</v>
      </c>
      <c r="D53" s="74">
        <v>9.9043706944666123</v>
      </c>
      <c r="E53" s="73">
        <v>8.4639735781101528</v>
      </c>
      <c r="F53" s="74">
        <v>7.2992373465459064</v>
      </c>
      <c r="G53" s="79"/>
      <c r="H53" s="79"/>
      <c r="I53" s="79"/>
      <c r="J53" s="79"/>
      <c r="K53" s="25"/>
      <c r="L53" s="25"/>
      <c r="M53" s="25"/>
      <c r="N53" s="25"/>
      <c r="O53" s="25"/>
      <c r="P53" s="25"/>
      <c r="Q53" s="25"/>
    </row>
    <row r="54" spans="2:17" x14ac:dyDescent="0.2">
      <c r="B54" s="32">
        <v>2</v>
      </c>
      <c r="C54" s="72">
        <v>12.917529261698521</v>
      </c>
      <c r="D54" s="74">
        <v>9.8563339364965863</v>
      </c>
      <c r="E54" s="73">
        <v>10.110772139002332</v>
      </c>
      <c r="F54" s="74">
        <v>7.515998717314706</v>
      </c>
      <c r="G54" s="79"/>
      <c r="H54" s="79"/>
      <c r="I54" s="79"/>
      <c r="J54" s="79"/>
      <c r="K54" s="25"/>
      <c r="L54" s="25"/>
      <c r="M54" s="25"/>
      <c r="N54" s="25"/>
      <c r="O54" s="25"/>
      <c r="P54" s="25"/>
      <c r="Q54" s="25"/>
    </row>
    <row r="55" spans="2:17" x14ac:dyDescent="0.2">
      <c r="B55" s="32">
        <v>3</v>
      </c>
      <c r="C55" s="72">
        <v>14.029188767615947</v>
      </c>
      <c r="D55" s="74">
        <v>9.4331696370831875</v>
      </c>
      <c r="E55" s="73">
        <v>10.714421725953327</v>
      </c>
      <c r="F55" s="74">
        <v>7.7371992523567066</v>
      </c>
      <c r="G55" s="79"/>
      <c r="H55" s="79"/>
      <c r="I55" s="79"/>
      <c r="J55" s="79"/>
      <c r="K55" s="25"/>
      <c r="L55" s="25"/>
      <c r="M55" s="25"/>
      <c r="N55" s="25"/>
      <c r="O55" s="25"/>
      <c r="P55" s="25"/>
      <c r="Q55" s="25"/>
    </row>
    <row r="56" spans="2:17" x14ac:dyDescent="0.2">
      <c r="B56" s="32">
        <v>4</v>
      </c>
      <c r="C56" s="72">
        <v>14.699248072457328</v>
      </c>
      <c r="D56" s="74">
        <v>8.7353798823565416</v>
      </c>
      <c r="E56" s="73">
        <v>12.084041717457387</v>
      </c>
      <c r="F56" s="74">
        <v>7.3780325996326752</v>
      </c>
      <c r="G56" s="79"/>
      <c r="H56" s="79"/>
      <c r="I56" s="79"/>
      <c r="J56" s="79"/>
      <c r="K56" s="25"/>
      <c r="L56" s="25"/>
      <c r="M56" s="25"/>
      <c r="N56" s="25"/>
      <c r="O56" s="25"/>
      <c r="P56" s="25"/>
      <c r="Q56" s="25"/>
    </row>
    <row r="57" spans="2:17" x14ac:dyDescent="0.2">
      <c r="B57" s="32">
        <v>5</v>
      </c>
      <c r="C57" s="72">
        <v>15.541148899744165</v>
      </c>
      <c r="D57" s="74">
        <v>8.4010088345965812</v>
      </c>
      <c r="E57" s="73">
        <v>12.595464219421991</v>
      </c>
      <c r="F57" s="74">
        <v>6.7924961887201851</v>
      </c>
      <c r="G57" s="79"/>
      <c r="H57" s="79"/>
      <c r="I57" s="79"/>
      <c r="J57" s="79"/>
      <c r="K57" s="25"/>
      <c r="L57" s="25"/>
      <c r="M57" s="25"/>
      <c r="N57" s="25"/>
      <c r="O57" s="25"/>
      <c r="P57" s="25"/>
      <c r="Q57" s="25"/>
    </row>
    <row r="58" spans="2:17" x14ac:dyDescent="0.2">
      <c r="B58" s="32">
        <v>6</v>
      </c>
      <c r="C58" s="72">
        <v>15.967590907504375</v>
      </c>
      <c r="D58" s="74">
        <v>7.5170991909176905</v>
      </c>
      <c r="E58" s="73">
        <v>13.080063832339871</v>
      </c>
      <c r="F58" s="74">
        <v>6.2567000659189906</v>
      </c>
      <c r="G58" s="79"/>
      <c r="H58" s="79"/>
      <c r="I58" s="79"/>
      <c r="J58" s="79"/>
      <c r="K58" s="25"/>
      <c r="L58" s="25"/>
      <c r="M58" s="25"/>
      <c r="N58" s="25"/>
      <c r="O58" s="25"/>
      <c r="P58" s="25"/>
      <c r="Q58" s="25"/>
    </row>
    <row r="59" spans="2:17" x14ac:dyDescent="0.2">
      <c r="B59" s="32">
        <v>7</v>
      </c>
      <c r="C59" s="72">
        <v>16.566554364197781</v>
      </c>
      <c r="D59" s="74">
        <v>6.1940664295083376</v>
      </c>
      <c r="E59" s="73">
        <v>13.507579909109458</v>
      </c>
      <c r="F59" s="74">
        <v>5.2146241937385449</v>
      </c>
      <c r="G59" s="79"/>
      <c r="H59" s="79"/>
      <c r="I59" s="79"/>
      <c r="J59" s="79"/>
      <c r="K59" s="25"/>
      <c r="L59" s="25"/>
      <c r="M59" s="25"/>
      <c r="N59" s="25"/>
      <c r="O59" s="25"/>
      <c r="P59" s="25"/>
      <c r="Q59" s="25"/>
    </row>
    <row r="60" spans="2:17" x14ac:dyDescent="0.2">
      <c r="B60" s="32">
        <v>8</v>
      </c>
      <c r="C60" s="72">
        <v>16.732134184814083</v>
      </c>
      <c r="D60" s="74">
        <v>4.0373782160843543</v>
      </c>
      <c r="E60" s="73">
        <v>13.671109889878071</v>
      </c>
      <c r="F60" s="74">
        <v>3.807050489220893</v>
      </c>
      <c r="G60" s="79"/>
      <c r="H60" s="79"/>
      <c r="I60" s="79"/>
      <c r="J60" s="79"/>
      <c r="K60" s="25"/>
      <c r="L60" s="25"/>
      <c r="M60" s="25"/>
      <c r="N60" s="25"/>
      <c r="O60" s="25"/>
      <c r="P60" s="25"/>
      <c r="Q60" s="25"/>
    </row>
    <row r="61" spans="2:17" x14ac:dyDescent="0.2">
      <c r="B61" s="32">
        <v>9</v>
      </c>
      <c r="C61" s="72">
        <v>16.732134184814083</v>
      </c>
      <c r="D61" s="74">
        <v>2.7946212206298586</v>
      </c>
      <c r="E61" s="73">
        <v>13.671109889878071</v>
      </c>
      <c r="F61" s="74">
        <v>2.9309637333230829</v>
      </c>
      <c r="G61" s="79"/>
      <c r="H61" s="79"/>
      <c r="I61" s="79"/>
      <c r="J61" s="79"/>
      <c r="K61" s="25"/>
      <c r="L61" s="25"/>
      <c r="M61" s="25"/>
      <c r="N61" s="25"/>
      <c r="O61" s="25"/>
      <c r="P61" s="25"/>
      <c r="Q61" s="25"/>
    </row>
    <row r="62" spans="2:17" x14ac:dyDescent="0.2">
      <c r="B62" s="32">
        <v>10</v>
      </c>
      <c r="C62" s="72">
        <v>16.949251881587788</v>
      </c>
      <c r="D62" s="74">
        <v>1.758658596188339</v>
      </c>
      <c r="E62" s="73">
        <v>13.855052330137644</v>
      </c>
      <c r="F62" s="74">
        <v>2.2631186904230649</v>
      </c>
      <c r="G62" s="79"/>
      <c r="H62" s="79"/>
      <c r="I62" s="79"/>
      <c r="J62" s="79"/>
      <c r="K62" s="25"/>
      <c r="L62" s="25"/>
      <c r="M62" s="25"/>
      <c r="N62" s="25"/>
      <c r="O62" s="25"/>
      <c r="P62" s="25"/>
      <c r="Q62" s="25"/>
    </row>
    <row r="63" spans="2:17" x14ac:dyDescent="0.2">
      <c r="B63" s="32">
        <v>11</v>
      </c>
      <c r="C63" s="72">
        <v>16.996039301611219</v>
      </c>
      <c r="D63" s="74">
        <v>1.1639691665986234</v>
      </c>
      <c r="E63" s="73">
        <v>13.906539883264539</v>
      </c>
      <c r="F63" s="74">
        <v>1.6772110571348804</v>
      </c>
      <c r="G63" s="79"/>
      <c r="H63" s="79"/>
      <c r="I63" s="79"/>
      <c r="J63" s="79"/>
      <c r="K63" s="25"/>
      <c r="L63" s="25"/>
      <c r="M63" s="25"/>
      <c r="N63" s="25"/>
      <c r="O63" s="25"/>
      <c r="P63" s="25"/>
      <c r="Q63" s="25"/>
    </row>
    <row r="64" spans="2:17" x14ac:dyDescent="0.2">
      <c r="B64" s="32">
        <v>12</v>
      </c>
      <c r="C64" s="75">
        <v>17.104187282769828</v>
      </c>
      <c r="D64" s="77">
        <v>1.2147354501235275</v>
      </c>
      <c r="E64" s="76">
        <v>13.968522176430595</v>
      </c>
      <c r="F64" s="77">
        <v>1.7041470840709072</v>
      </c>
      <c r="G64" s="79"/>
      <c r="H64" s="79"/>
      <c r="I64" s="79"/>
      <c r="J64" s="79"/>
      <c r="K64" s="25"/>
      <c r="L64" s="25"/>
      <c r="M64" s="25"/>
      <c r="N64" s="25"/>
      <c r="O64" s="25"/>
      <c r="P64" s="25"/>
      <c r="Q64" s="25"/>
    </row>
  </sheetData>
  <mergeCells count="13">
    <mergeCell ref="B3:AC3"/>
    <mergeCell ref="B4:P4"/>
    <mergeCell ref="Q4:AC4"/>
    <mergeCell ref="B24:AC24"/>
    <mergeCell ref="B25:P25"/>
    <mergeCell ref="Q25:AC25"/>
    <mergeCell ref="B49:B51"/>
    <mergeCell ref="C49:F49"/>
    <mergeCell ref="G49:J49"/>
    <mergeCell ref="C50:D50"/>
    <mergeCell ref="E50:F50"/>
    <mergeCell ref="G50:H50"/>
    <mergeCell ref="I50:J5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3BB97-B903-4D33-9ADF-87B38509BB02}">
  <dimension ref="A3:AC72"/>
  <sheetViews>
    <sheetView topLeftCell="G53" zoomScale="85" zoomScaleNormal="85" workbookViewId="0">
      <selection activeCell="V76" sqref="V76"/>
    </sheetView>
  </sheetViews>
  <sheetFormatPr defaultRowHeight="12.75" x14ac:dyDescent="0.2"/>
  <sheetData>
    <row r="3" spans="1:29" x14ac:dyDescent="0.2">
      <c r="B3" s="119" t="s">
        <v>57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</row>
    <row r="4" spans="1:29" x14ac:dyDescent="0.2">
      <c r="B4" s="113" t="s">
        <v>51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 t="s">
        <v>52</v>
      </c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</row>
    <row r="5" spans="1:29" ht="25.5" x14ac:dyDescent="0.2">
      <c r="B5" s="49" t="s">
        <v>53</v>
      </c>
      <c r="C5" s="50" t="s">
        <v>3</v>
      </c>
      <c r="D5" s="50">
        <v>0</v>
      </c>
      <c r="E5" s="50">
        <v>1</v>
      </c>
      <c r="F5" s="50">
        <v>2</v>
      </c>
      <c r="G5" s="50">
        <v>3</v>
      </c>
      <c r="H5" s="50">
        <v>4</v>
      </c>
      <c r="I5" s="50">
        <v>5</v>
      </c>
      <c r="J5" s="50">
        <v>6</v>
      </c>
      <c r="K5" s="50">
        <v>7</v>
      </c>
      <c r="L5" s="50">
        <v>8</v>
      </c>
      <c r="M5" s="50">
        <v>9</v>
      </c>
      <c r="N5" s="50">
        <v>10</v>
      </c>
      <c r="O5" s="50">
        <v>11</v>
      </c>
      <c r="P5" s="50">
        <v>12</v>
      </c>
      <c r="Q5" s="50">
        <v>0</v>
      </c>
      <c r="R5" s="50">
        <v>1</v>
      </c>
      <c r="S5" s="50">
        <v>2</v>
      </c>
      <c r="T5" s="50">
        <v>3</v>
      </c>
      <c r="U5" s="50">
        <v>4</v>
      </c>
      <c r="V5" s="50">
        <v>5</v>
      </c>
      <c r="W5" s="50">
        <v>6</v>
      </c>
      <c r="X5" s="50">
        <v>7</v>
      </c>
      <c r="Y5" s="50">
        <v>8</v>
      </c>
      <c r="Z5" s="50">
        <v>9</v>
      </c>
      <c r="AA5" s="50">
        <v>10</v>
      </c>
      <c r="AB5" s="50">
        <v>11</v>
      </c>
      <c r="AC5" s="50">
        <v>12</v>
      </c>
    </row>
    <row r="6" spans="1:29" x14ac:dyDescent="0.2">
      <c r="B6" s="51" t="s">
        <v>5</v>
      </c>
      <c r="C6" s="51">
        <v>2400</v>
      </c>
      <c r="D6" s="52">
        <v>18.75</v>
      </c>
      <c r="E6" s="52">
        <v>20</v>
      </c>
      <c r="F6" s="52">
        <v>22.083333333333332</v>
      </c>
      <c r="G6" s="52">
        <v>23.333333333333336</v>
      </c>
      <c r="H6" s="52">
        <v>24.166666666666668</v>
      </c>
      <c r="I6" s="52">
        <v>26.666666666666668</v>
      </c>
      <c r="J6" s="52">
        <v>27.916666666666664</v>
      </c>
      <c r="K6" s="52">
        <v>28.75</v>
      </c>
      <c r="L6" s="52">
        <v>29.166666666666668</v>
      </c>
      <c r="M6" s="52">
        <v>29.166666666666668</v>
      </c>
      <c r="N6" s="52">
        <v>29.583333333333332</v>
      </c>
      <c r="O6" s="52">
        <v>29.583333333333332</v>
      </c>
      <c r="P6" s="53">
        <v>30</v>
      </c>
      <c r="Q6" s="52">
        <v>18.75</v>
      </c>
      <c r="R6" s="52">
        <v>17.916666666666668</v>
      </c>
      <c r="S6" s="52">
        <v>17.083333333333332</v>
      </c>
      <c r="T6" s="52">
        <v>15.833333333333334</v>
      </c>
      <c r="U6" s="52">
        <v>14.166666666666666</v>
      </c>
      <c r="V6" s="52">
        <v>15.416666666666668</v>
      </c>
      <c r="W6" s="52">
        <v>14.583333333333334</v>
      </c>
      <c r="X6" s="52">
        <v>12.083333333333334</v>
      </c>
      <c r="Y6" s="52">
        <v>7.5</v>
      </c>
      <c r="Z6" s="52">
        <v>5.416666666666667</v>
      </c>
      <c r="AA6" s="52">
        <v>3.3333333333333335</v>
      </c>
      <c r="AB6" s="52">
        <v>1.6666666666666667</v>
      </c>
      <c r="AC6" s="54">
        <v>2.0833333333333335</v>
      </c>
    </row>
    <row r="7" spans="1:29" x14ac:dyDescent="0.2">
      <c r="B7" s="55" t="s">
        <v>9</v>
      </c>
      <c r="C7" s="55">
        <v>3690</v>
      </c>
      <c r="D7" s="52">
        <v>8.9430894308943092</v>
      </c>
      <c r="E7" s="52">
        <v>10.027100271002711</v>
      </c>
      <c r="F7" s="52">
        <v>10.56910569105691</v>
      </c>
      <c r="G7" s="52">
        <v>11.924119241192411</v>
      </c>
      <c r="H7" s="52">
        <v>12.466124661246614</v>
      </c>
      <c r="I7" s="52">
        <v>13.008130081300813</v>
      </c>
      <c r="J7" s="52">
        <v>13.279132791327914</v>
      </c>
      <c r="K7" s="52">
        <v>14.092140921409214</v>
      </c>
      <c r="L7" s="52">
        <v>14.092140921409214</v>
      </c>
      <c r="M7" s="52">
        <v>14.092140921409214</v>
      </c>
      <c r="N7" s="52">
        <v>14.363143631436316</v>
      </c>
      <c r="O7" s="52">
        <v>14.363143631436316</v>
      </c>
      <c r="P7" s="54">
        <v>14.363143631436316</v>
      </c>
      <c r="Q7" s="52">
        <v>8.9430894308943092</v>
      </c>
      <c r="R7" s="52">
        <v>7.8590785907859084</v>
      </c>
      <c r="S7" s="52">
        <v>7.3170731707317076</v>
      </c>
      <c r="T7" s="52">
        <v>7.588075880758808</v>
      </c>
      <c r="U7" s="52">
        <v>6.7750677506775068</v>
      </c>
      <c r="V7" s="52">
        <v>6.5040650406504064</v>
      </c>
      <c r="W7" s="52">
        <v>4.8780487804878048</v>
      </c>
      <c r="X7" s="52">
        <v>3.5230352303523036</v>
      </c>
      <c r="Y7" s="52">
        <v>1.6260162601626016</v>
      </c>
      <c r="Z7" s="52">
        <v>0.54200542005420049</v>
      </c>
      <c r="AA7" s="52">
        <v>0.27100271002710025</v>
      </c>
      <c r="AB7" s="52">
        <v>0</v>
      </c>
      <c r="AC7" s="54">
        <v>0</v>
      </c>
    </row>
    <row r="8" spans="1:29" x14ac:dyDescent="0.2">
      <c r="B8" s="55" t="s">
        <v>10</v>
      </c>
      <c r="C8" s="55">
        <v>4400</v>
      </c>
      <c r="D8" s="52">
        <v>12.5</v>
      </c>
      <c r="E8" s="52">
        <v>13.181818181818182</v>
      </c>
      <c r="F8" s="52">
        <v>14.318181818181818</v>
      </c>
      <c r="G8" s="52">
        <v>15</v>
      </c>
      <c r="H8" s="52">
        <v>15.454545454545455</v>
      </c>
      <c r="I8" s="52">
        <v>16.81818181818182</v>
      </c>
      <c r="J8" s="52">
        <v>17.5</v>
      </c>
      <c r="K8" s="52">
        <v>17.954545454545457</v>
      </c>
      <c r="L8" s="52">
        <v>18.18181818181818</v>
      </c>
      <c r="M8" s="52">
        <v>18.18181818181818</v>
      </c>
      <c r="N8" s="52">
        <v>18.40909090909091</v>
      </c>
      <c r="O8" s="52">
        <v>18.40909090909091</v>
      </c>
      <c r="P8" s="54">
        <v>18.636363636363637</v>
      </c>
      <c r="Q8" s="52">
        <v>12.5</v>
      </c>
      <c r="R8" s="52">
        <v>11.363636363636363</v>
      </c>
      <c r="S8" s="52">
        <v>10.90909090909091</v>
      </c>
      <c r="T8" s="52">
        <v>9.5454545454545467</v>
      </c>
      <c r="U8" s="52">
        <v>8.6363636363636367</v>
      </c>
      <c r="V8" s="52">
        <v>8.8636363636363633</v>
      </c>
      <c r="W8" s="52">
        <v>8.4090909090909101</v>
      </c>
      <c r="X8" s="52">
        <v>7.0454545454545459</v>
      </c>
      <c r="Y8" s="52">
        <v>4.545454545454545</v>
      </c>
      <c r="Z8" s="52">
        <v>3.4090909090909087</v>
      </c>
      <c r="AA8" s="52">
        <v>2.2727272727272725</v>
      </c>
      <c r="AB8" s="52">
        <v>1.3636363636363638</v>
      </c>
      <c r="AC8" s="54">
        <v>1.3636363636363638</v>
      </c>
    </row>
    <row r="9" spans="1:29" x14ac:dyDescent="0.2">
      <c r="B9" s="55" t="s">
        <v>11</v>
      </c>
      <c r="C9" s="55">
        <v>4450</v>
      </c>
      <c r="D9" s="52">
        <v>12.584269662921349</v>
      </c>
      <c r="E9" s="52">
        <v>13.932584269662922</v>
      </c>
      <c r="F9" s="52">
        <v>15.730337078651687</v>
      </c>
      <c r="G9" s="52">
        <v>16.179775280898877</v>
      </c>
      <c r="H9" s="52">
        <v>16.853932584269664</v>
      </c>
      <c r="I9" s="52">
        <v>17.752808988764045</v>
      </c>
      <c r="J9" s="52">
        <v>17.977528089887642</v>
      </c>
      <c r="K9" s="52">
        <v>19.101123595505619</v>
      </c>
      <c r="L9" s="52">
        <v>19.101123595505619</v>
      </c>
      <c r="M9" s="52">
        <v>19.101123595505619</v>
      </c>
      <c r="N9" s="52">
        <v>19.325842696629213</v>
      </c>
      <c r="O9" s="52">
        <v>19.325842696629213</v>
      </c>
      <c r="P9" s="54">
        <v>19.325842696629213</v>
      </c>
      <c r="Q9" s="52">
        <v>12.584269662921349</v>
      </c>
      <c r="R9" s="52">
        <v>11.685393258426966</v>
      </c>
      <c r="S9" s="52">
        <v>11.685393258426966</v>
      </c>
      <c r="T9" s="52">
        <v>9.213483146067416</v>
      </c>
      <c r="U9" s="52">
        <v>8.7640449438202257</v>
      </c>
      <c r="V9" s="52">
        <v>8.5393258426966305</v>
      </c>
      <c r="W9" s="52">
        <v>6.7415730337078656</v>
      </c>
      <c r="X9" s="52">
        <v>6.0674157303370784</v>
      </c>
      <c r="Y9" s="52">
        <v>3.8202247191011236</v>
      </c>
      <c r="Z9" s="52">
        <v>2.4719101123595504</v>
      </c>
      <c r="AA9" s="52">
        <v>1.1235955056179776</v>
      </c>
      <c r="AB9" s="52">
        <v>0.44943820224719105</v>
      </c>
      <c r="AC9" s="54">
        <v>0.44943820224719105</v>
      </c>
    </row>
    <row r="10" spans="1:29" x14ac:dyDescent="0.2">
      <c r="B10" s="55" t="s">
        <v>19</v>
      </c>
      <c r="C10" s="55">
        <v>2900</v>
      </c>
      <c r="D10" s="52">
        <v>13.793103448275861</v>
      </c>
      <c r="E10" s="52">
        <v>14.482758620689657</v>
      </c>
      <c r="F10" s="52">
        <v>16.551724137931036</v>
      </c>
      <c r="G10" s="52">
        <v>17.241379310344826</v>
      </c>
      <c r="H10" s="52">
        <v>17.586206896551726</v>
      </c>
      <c r="I10" s="52">
        <v>18.275862068965516</v>
      </c>
      <c r="J10" s="52">
        <v>19.310344827586206</v>
      </c>
      <c r="K10" s="52">
        <v>20</v>
      </c>
      <c r="L10" s="52">
        <v>20.344827586206893</v>
      </c>
      <c r="M10" s="52">
        <v>20.344827586206893</v>
      </c>
      <c r="N10" s="52">
        <v>20.689655172413794</v>
      </c>
      <c r="O10" s="52">
        <v>20.689655172413794</v>
      </c>
      <c r="P10" s="54">
        <v>21.03448275862069</v>
      </c>
      <c r="Q10" s="52">
        <v>13.793103448275861</v>
      </c>
      <c r="R10" s="52">
        <v>12.758620689655173</v>
      </c>
      <c r="S10" s="52">
        <v>13.448275862068966</v>
      </c>
      <c r="T10" s="52">
        <v>12.068965517241379</v>
      </c>
      <c r="U10" s="52">
        <v>10</v>
      </c>
      <c r="V10" s="52">
        <v>9.6551724137931032</v>
      </c>
      <c r="W10" s="52">
        <v>10</v>
      </c>
      <c r="X10" s="52">
        <v>7.5862068965517242</v>
      </c>
      <c r="Y10" s="52">
        <v>5.1724137931034484</v>
      </c>
      <c r="Z10" s="52">
        <v>3.4482758620689653</v>
      </c>
      <c r="AA10" s="52">
        <v>1.7241379310344827</v>
      </c>
      <c r="AB10" s="52">
        <v>0.34482758620689652</v>
      </c>
      <c r="AC10" s="54">
        <v>0.68965517241379304</v>
      </c>
    </row>
    <row r="11" spans="1:29" x14ac:dyDescent="0.2">
      <c r="B11" s="55" t="s">
        <v>28</v>
      </c>
      <c r="C11" s="55">
        <v>3200</v>
      </c>
      <c r="D11" s="52">
        <v>15</v>
      </c>
      <c r="E11" s="52">
        <v>17.1875</v>
      </c>
      <c r="F11" s="52">
        <v>21.5625</v>
      </c>
      <c r="G11" s="52">
        <v>24.6875</v>
      </c>
      <c r="H11" s="52">
        <v>26.25</v>
      </c>
      <c r="I11" s="52">
        <v>26.875</v>
      </c>
      <c r="J11" s="52">
        <v>27.1875</v>
      </c>
      <c r="K11" s="52">
        <v>27.8125</v>
      </c>
      <c r="L11" s="52">
        <v>28.125</v>
      </c>
      <c r="M11" s="52">
        <v>28.125</v>
      </c>
      <c r="N11" s="52">
        <v>28.125</v>
      </c>
      <c r="O11" s="52">
        <v>28.125</v>
      </c>
      <c r="P11" s="54">
        <v>28.125</v>
      </c>
      <c r="Q11" s="52">
        <v>15</v>
      </c>
      <c r="R11" s="52">
        <v>15.625</v>
      </c>
      <c r="S11" s="52">
        <v>17.8125</v>
      </c>
      <c r="T11" s="52">
        <v>19.0625</v>
      </c>
      <c r="U11" s="52">
        <v>18.75</v>
      </c>
      <c r="V11" s="52">
        <v>17.1875</v>
      </c>
      <c r="W11" s="52">
        <v>15.9375</v>
      </c>
      <c r="X11" s="52">
        <v>14.0625</v>
      </c>
      <c r="Y11" s="52">
        <v>10.625</v>
      </c>
      <c r="Z11" s="52">
        <v>9.0625</v>
      </c>
      <c r="AA11" s="52">
        <v>6.5625</v>
      </c>
      <c r="AB11" s="52">
        <v>5</v>
      </c>
      <c r="AC11" s="54">
        <v>5</v>
      </c>
    </row>
    <row r="12" spans="1:29" x14ac:dyDescent="0.2">
      <c r="B12" s="56" t="s">
        <v>35</v>
      </c>
      <c r="C12" s="56">
        <v>6750</v>
      </c>
      <c r="D12" s="52">
        <v>8.148148148148147</v>
      </c>
      <c r="E12" s="52">
        <v>10.222222222222223</v>
      </c>
      <c r="F12" s="52">
        <v>12</v>
      </c>
      <c r="G12" s="52">
        <v>13.333333333333334</v>
      </c>
      <c r="H12" s="52">
        <v>13.777777777777779</v>
      </c>
      <c r="I12" s="52">
        <v>14.074074074074074</v>
      </c>
      <c r="J12" s="52">
        <v>14.222222222222223</v>
      </c>
      <c r="K12" s="52">
        <v>14.666666666666666</v>
      </c>
      <c r="L12" s="52">
        <v>14.666666666666666</v>
      </c>
      <c r="M12" s="52">
        <v>14.666666666666666</v>
      </c>
      <c r="N12" s="52">
        <v>14.814814814814815</v>
      </c>
      <c r="O12" s="52">
        <v>15.111111111111112</v>
      </c>
      <c r="P12" s="54">
        <v>15.111111111111112</v>
      </c>
      <c r="Q12" s="52">
        <v>8.148148148148147</v>
      </c>
      <c r="R12" s="52">
        <v>9.0370370370370381</v>
      </c>
      <c r="S12" s="52">
        <v>9.6296296296296298</v>
      </c>
      <c r="T12" s="52">
        <v>8.5925925925925934</v>
      </c>
      <c r="U12" s="52">
        <v>7.7037037037037042</v>
      </c>
      <c r="V12" s="52">
        <v>6.9629629629629637</v>
      </c>
      <c r="W12" s="52">
        <v>6.0740740740740735</v>
      </c>
      <c r="X12" s="52">
        <v>6.2222222222222214</v>
      </c>
      <c r="Y12" s="52">
        <v>3.7037037037037037</v>
      </c>
      <c r="Z12" s="52">
        <v>2.8148148148148149</v>
      </c>
      <c r="AA12" s="52">
        <v>1.925925925925926</v>
      </c>
      <c r="AB12" s="52">
        <v>2.074074074074074</v>
      </c>
      <c r="AC12" s="54">
        <v>2.074074074074074</v>
      </c>
    </row>
    <row r="13" spans="1:29" x14ac:dyDescent="0.2">
      <c r="B13" s="55" t="s">
        <v>48</v>
      </c>
      <c r="C13" s="55"/>
      <c r="D13" s="57">
        <f>AVERAGE(D6:D12)</f>
        <v>12.816944384319953</v>
      </c>
      <c r="E13" s="57">
        <f t="shared" ref="E13:AC13" si="0">AVERAGE(E6:E12)</f>
        <v>14.14771193791367</v>
      </c>
      <c r="F13" s="57">
        <f t="shared" si="0"/>
        <v>16.116454579879253</v>
      </c>
      <c r="G13" s="57">
        <f t="shared" si="0"/>
        <v>17.385634357014684</v>
      </c>
      <c r="H13" s="57">
        <f t="shared" si="0"/>
        <v>18.079322005865414</v>
      </c>
      <c r="I13" s="57">
        <f t="shared" si="0"/>
        <v>19.067246242564703</v>
      </c>
      <c r="J13" s="57">
        <f t="shared" si="0"/>
        <v>19.627627799670091</v>
      </c>
      <c r="K13" s="57">
        <f t="shared" si="0"/>
        <v>20.339568091160992</v>
      </c>
      <c r="L13" s="57">
        <f t="shared" si="0"/>
        <v>20.525463374039031</v>
      </c>
      <c r="M13" s="57">
        <f t="shared" si="0"/>
        <v>20.525463374039031</v>
      </c>
      <c r="N13" s="57">
        <f t="shared" si="0"/>
        <v>20.758697222531197</v>
      </c>
      <c r="O13" s="57">
        <f t="shared" si="0"/>
        <v>20.801025264859241</v>
      </c>
      <c r="P13" s="57">
        <f t="shared" si="0"/>
        <v>20.942277690594427</v>
      </c>
      <c r="Q13" s="57">
        <f t="shared" si="0"/>
        <v>12.816944384319953</v>
      </c>
      <c r="R13" s="57">
        <f t="shared" si="0"/>
        <v>12.32077608660116</v>
      </c>
      <c r="S13" s="57">
        <f t="shared" si="0"/>
        <v>12.555042309040218</v>
      </c>
      <c r="T13" s="57">
        <f t="shared" si="0"/>
        <v>11.700629287921156</v>
      </c>
      <c r="U13" s="57">
        <f t="shared" si="0"/>
        <v>10.685120957318821</v>
      </c>
      <c r="V13" s="57">
        <f t="shared" si="0"/>
        <v>10.44704704148659</v>
      </c>
      <c r="W13" s="57">
        <f t="shared" si="0"/>
        <v>9.5176600186705702</v>
      </c>
      <c r="X13" s="57">
        <f t="shared" si="0"/>
        <v>8.0843097083216016</v>
      </c>
      <c r="Y13" s="57">
        <f t="shared" si="0"/>
        <v>5.2846875745036312</v>
      </c>
      <c r="Z13" s="57">
        <f t="shared" si="0"/>
        <v>3.8807519692935872</v>
      </c>
      <c r="AA13" s="57">
        <f t="shared" si="0"/>
        <v>2.4590318112380132</v>
      </c>
      <c r="AB13" s="57">
        <f t="shared" si="0"/>
        <v>1.5569489846901703</v>
      </c>
      <c r="AC13" s="57">
        <f t="shared" si="0"/>
        <v>1.6657338779578221</v>
      </c>
    </row>
    <row r="14" spans="1:29" x14ac:dyDescent="0.2">
      <c r="A14" s="80"/>
      <c r="B14" s="59"/>
      <c r="C14" s="59"/>
      <c r="D14" s="59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</row>
    <row r="15" spans="1:29" x14ac:dyDescent="0.2">
      <c r="B15" s="119" t="s">
        <v>60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</row>
    <row r="16" spans="1:29" x14ac:dyDescent="0.2">
      <c r="B16" s="113" t="s">
        <v>51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20" t="s">
        <v>52</v>
      </c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2"/>
    </row>
    <row r="17" spans="2:29" ht="25.5" x14ac:dyDescent="0.2">
      <c r="B17" s="49" t="s">
        <v>53</v>
      </c>
      <c r="C17" s="50" t="s">
        <v>3</v>
      </c>
      <c r="D17" s="50">
        <v>0</v>
      </c>
      <c r="E17" s="50">
        <v>1</v>
      </c>
      <c r="F17" s="50">
        <v>2</v>
      </c>
      <c r="G17" s="50">
        <v>3</v>
      </c>
      <c r="H17" s="50">
        <v>4</v>
      </c>
      <c r="I17" s="50">
        <v>5</v>
      </c>
      <c r="J17" s="50">
        <v>6</v>
      </c>
      <c r="K17" s="50">
        <v>7</v>
      </c>
      <c r="L17" s="50">
        <v>8</v>
      </c>
      <c r="M17" s="50">
        <v>9</v>
      </c>
      <c r="N17" s="50">
        <v>10</v>
      </c>
      <c r="O17" s="50">
        <v>11</v>
      </c>
      <c r="P17" s="50">
        <v>12</v>
      </c>
      <c r="Q17" s="50">
        <v>0</v>
      </c>
      <c r="R17" s="50">
        <v>1</v>
      </c>
      <c r="S17" s="50">
        <v>2</v>
      </c>
      <c r="T17" s="50">
        <v>3</v>
      </c>
      <c r="U17" s="50">
        <v>4</v>
      </c>
      <c r="V17" s="50">
        <v>5</v>
      </c>
      <c r="W17" s="50">
        <v>6</v>
      </c>
      <c r="X17" s="50">
        <v>7</v>
      </c>
      <c r="Y17" s="50">
        <v>8</v>
      </c>
      <c r="Z17" s="50">
        <v>9</v>
      </c>
      <c r="AA17" s="50">
        <v>10</v>
      </c>
      <c r="AB17" s="50">
        <v>11</v>
      </c>
      <c r="AC17" s="50">
        <v>12</v>
      </c>
    </row>
    <row r="18" spans="2:29" x14ac:dyDescent="0.2">
      <c r="B18" s="55" t="s">
        <v>8</v>
      </c>
      <c r="C18" s="55">
        <v>3780</v>
      </c>
      <c r="D18" s="48">
        <v>10.052910052910054</v>
      </c>
      <c r="E18" s="48">
        <v>11.640211640211639</v>
      </c>
      <c r="F18" s="48">
        <v>13.756613756613756</v>
      </c>
      <c r="G18" s="48">
        <v>14.285714285714285</v>
      </c>
      <c r="H18" s="48">
        <v>15.079365079365079</v>
      </c>
      <c r="I18" s="48">
        <v>16.137566137566139</v>
      </c>
      <c r="J18" s="48">
        <v>16.402116402116402</v>
      </c>
      <c r="K18" s="48">
        <v>17.724867724867725</v>
      </c>
      <c r="L18" s="48">
        <v>17.724867724867725</v>
      </c>
      <c r="M18" s="48">
        <v>17.724867724867725</v>
      </c>
      <c r="N18" s="48">
        <v>17.989417989417991</v>
      </c>
      <c r="O18" s="48">
        <v>17.989417989417991</v>
      </c>
      <c r="P18" s="54">
        <v>18.253968253968257</v>
      </c>
      <c r="Q18" s="48">
        <v>10.052910052910054</v>
      </c>
      <c r="R18" s="48">
        <v>10.582010582010582</v>
      </c>
      <c r="S18" s="48">
        <v>10.582010582010582</v>
      </c>
      <c r="T18" s="48">
        <v>10.317460317460318</v>
      </c>
      <c r="U18" s="48">
        <v>9.7883597883597897</v>
      </c>
      <c r="V18" s="48">
        <v>9.5238095238095255</v>
      </c>
      <c r="W18" s="48">
        <v>7.9365079365079358</v>
      </c>
      <c r="X18" s="48">
        <v>7.1428571428571423</v>
      </c>
      <c r="Y18" s="48">
        <v>4.4973544973544977</v>
      </c>
      <c r="Z18" s="48">
        <v>2.9100529100529098</v>
      </c>
      <c r="AA18" s="48">
        <v>1.3227513227513228</v>
      </c>
      <c r="AB18" s="48">
        <v>0.52910052910052918</v>
      </c>
      <c r="AC18" s="53">
        <v>0.52910052910052918</v>
      </c>
    </row>
    <row r="19" spans="2:29" x14ac:dyDescent="0.2">
      <c r="B19" s="55" t="s">
        <v>12</v>
      </c>
      <c r="C19" s="55">
        <v>4925</v>
      </c>
      <c r="D19" s="48">
        <v>8.9340101522842641</v>
      </c>
      <c r="E19" s="48">
        <v>9.746192893401016</v>
      </c>
      <c r="F19" s="48">
        <v>10.355329949238579</v>
      </c>
      <c r="G19" s="48">
        <v>11.370558375634518</v>
      </c>
      <c r="H19" s="48">
        <v>11.776649746192895</v>
      </c>
      <c r="I19" s="48">
        <v>12.385786802030458</v>
      </c>
      <c r="J19" s="48">
        <v>12.791878172588831</v>
      </c>
      <c r="K19" s="48">
        <v>12.99492385786802</v>
      </c>
      <c r="L19" s="48">
        <v>13.197969543147208</v>
      </c>
      <c r="M19" s="48">
        <v>13.197969543147208</v>
      </c>
      <c r="N19" s="48">
        <v>13.401015228426397</v>
      </c>
      <c r="O19" s="48">
        <v>13.401015228426397</v>
      </c>
      <c r="P19" s="54">
        <v>13.401015228426397</v>
      </c>
      <c r="Q19" s="48">
        <v>8.9340101522842641</v>
      </c>
      <c r="R19" s="48">
        <v>8.5279187817258872</v>
      </c>
      <c r="S19" s="48">
        <v>7.5126903553299496</v>
      </c>
      <c r="T19" s="48">
        <v>7.1065989847715736</v>
      </c>
      <c r="U19" s="48">
        <v>6.7005076142131985</v>
      </c>
      <c r="V19" s="48">
        <v>5.8883248730964475</v>
      </c>
      <c r="W19" s="48">
        <v>5.2791878172588831</v>
      </c>
      <c r="X19" s="48">
        <v>3.4517766497461926</v>
      </c>
      <c r="Y19" s="48">
        <v>1.4213197969543148</v>
      </c>
      <c r="Z19" s="48">
        <v>0.40609137055837563</v>
      </c>
      <c r="AA19" s="48">
        <v>0.20304568527918782</v>
      </c>
      <c r="AB19" s="48">
        <v>0.20304568527918782</v>
      </c>
      <c r="AC19" s="54">
        <v>0.20304568527918782</v>
      </c>
    </row>
    <row r="20" spans="2:29" x14ac:dyDescent="0.2">
      <c r="B20" s="55" t="s">
        <v>13</v>
      </c>
      <c r="C20" s="55">
        <v>5645</v>
      </c>
      <c r="D20" s="48">
        <v>7.6173604960141716</v>
      </c>
      <c r="E20" s="48">
        <v>7.9716563330380872</v>
      </c>
      <c r="F20" s="48">
        <v>8.6802480070859165</v>
      </c>
      <c r="G20" s="48">
        <v>9.2116917626217898</v>
      </c>
      <c r="H20" s="48">
        <v>9.9202834366696191</v>
      </c>
      <c r="I20" s="48">
        <v>10.274579273693535</v>
      </c>
      <c r="J20" s="48">
        <v>10.451727192205492</v>
      </c>
      <c r="K20" s="48">
        <v>10.983170947741364</v>
      </c>
      <c r="L20" s="48">
        <v>10.983170947741364</v>
      </c>
      <c r="M20" s="48">
        <v>10.983170947741364</v>
      </c>
      <c r="N20" s="48">
        <v>11.160318866253322</v>
      </c>
      <c r="O20" s="48">
        <v>11.160318866253322</v>
      </c>
      <c r="P20" s="54">
        <v>11.337466784765279</v>
      </c>
      <c r="Q20" s="48">
        <v>7.6173604960141716</v>
      </c>
      <c r="R20" s="48">
        <v>6.5544729849424268</v>
      </c>
      <c r="S20" s="48">
        <v>6.2001771479185122</v>
      </c>
      <c r="T20" s="48">
        <v>6.0230292294065544</v>
      </c>
      <c r="U20" s="48">
        <v>5.8458813108945975</v>
      </c>
      <c r="V20" s="48">
        <v>5.3144375553587242</v>
      </c>
      <c r="W20" s="48">
        <v>4.2515500442869794</v>
      </c>
      <c r="X20" s="48">
        <v>3.3658104517271918</v>
      </c>
      <c r="Y20" s="48">
        <v>2.1257750221434897</v>
      </c>
      <c r="Z20" s="48">
        <v>1.0628875110717448</v>
      </c>
      <c r="AA20" s="48">
        <v>0.70859167404782997</v>
      </c>
      <c r="AB20" s="48">
        <v>0.35429583702391498</v>
      </c>
      <c r="AC20" s="54">
        <v>0.35429583702391498</v>
      </c>
    </row>
    <row r="21" spans="2:29" x14ac:dyDescent="0.2">
      <c r="B21" s="55" t="s">
        <v>21</v>
      </c>
      <c r="C21" s="55">
        <v>5215</v>
      </c>
      <c r="D21" s="48">
        <v>6.9031639501438153</v>
      </c>
      <c r="E21" s="48">
        <v>7.4784276126558007</v>
      </c>
      <c r="F21" s="48">
        <v>8.2454458293384469</v>
      </c>
      <c r="G21" s="48">
        <v>9.2042186001917532</v>
      </c>
      <c r="H21" s="48">
        <v>9.3959731543624159</v>
      </c>
      <c r="I21" s="48">
        <v>10.162991371045063</v>
      </c>
      <c r="J21" s="48">
        <v>10.354745925215724</v>
      </c>
      <c r="K21" s="48">
        <v>10.738255033557046</v>
      </c>
      <c r="L21" s="48">
        <v>10.930009587727708</v>
      </c>
      <c r="M21" s="48">
        <v>10.930009587727708</v>
      </c>
      <c r="N21" s="48">
        <v>11.121764141898371</v>
      </c>
      <c r="O21" s="48">
        <v>11.121764141898371</v>
      </c>
      <c r="P21" s="54">
        <v>11.313518696069032</v>
      </c>
      <c r="Q21" s="48">
        <v>6.9031639501438153</v>
      </c>
      <c r="R21" s="48">
        <v>6.3279002876318318</v>
      </c>
      <c r="S21" s="48">
        <v>5.7526366251198464</v>
      </c>
      <c r="T21" s="48">
        <v>5.7526366251198464</v>
      </c>
      <c r="U21" s="48">
        <v>5.177372962607862</v>
      </c>
      <c r="V21" s="48">
        <v>4.7938638542665393</v>
      </c>
      <c r="W21" s="48">
        <v>4.4103547459252157</v>
      </c>
      <c r="X21" s="48">
        <v>2.8763183125599232</v>
      </c>
      <c r="Y21" s="48">
        <v>1.1505273250239691</v>
      </c>
      <c r="Z21" s="48">
        <v>0.19175455417066153</v>
      </c>
      <c r="AA21" s="48">
        <v>0</v>
      </c>
      <c r="AB21" s="48">
        <v>0</v>
      </c>
      <c r="AC21" s="54">
        <v>0</v>
      </c>
    </row>
    <row r="22" spans="2:29" x14ac:dyDescent="0.2">
      <c r="B22" s="55" t="s">
        <v>6</v>
      </c>
      <c r="C22" s="55">
        <v>3900</v>
      </c>
      <c r="D22" s="48">
        <v>7.1794871794871797</v>
      </c>
      <c r="E22" s="48">
        <v>7.6923076923076925</v>
      </c>
      <c r="F22" s="48">
        <v>8.4615384615384617</v>
      </c>
      <c r="G22" s="48">
        <v>9.4871794871794872</v>
      </c>
      <c r="H22" s="48">
        <v>10.256410256410257</v>
      </c>
      <c r="I22" s="48">
        <v>11.025641025641026</v>
      </c>
      <c r="J22" s="48">
        <v>11.538461538461538</v>
      </c>
      <c r="K22" s="48">
        <v>12.051282051282051</v>
      </c>
      <c r="L22" s="48">
        <v>12.307692307692308</v>
      </c>
      <c r="M22" s="48">
        <v>12.307692307692308</v>
      </c>
      <c r="N22" s="48">
        <v>12.564102564102564</v>
      </c>
      <c r="O22" s="48">
        <v>12.564102564102564</v>
      </c>
      <c r="P22" s="54">
        <v>12.564102564102564</v>
      </c>
      <c r="Q22" s="48">
        <v>7.1794871794871797</v>
      </c>
      <c r="R22" s="48">
        <v>5.6410256410256414</v>
      </c>
      <c r="S22" s="48">
        <v>5.3846153846153841</v>
      </c>
      <c r="T22" s="48">
        <v>5.3846153846153841</v>
      </c>
      <c r="U22" s="48">
        <v>4.8717948717948723</v>
      </c>
      <c r="V22" s="48">
        <v>4.3589743589743586</v>
      </c>
      <c r="W22" s="48">
        <v>3.0769230769230771</v>
      </c>
      <c r="X22" s="48">
        <v>1.5384615384615385</v>
      </c>
      <c r="Y22" s="48">
        <v>0.76923076923076927</v>
      </c>
      <c r="Z22" s="48">
        <v>0.51282051282051277</v>
      </c>
      <c r="AA22" s="48">
        <v>0.25641025641025639</v>
      </c>
      <c r="AB22" s="48">
        <v>0</v>
      </c>
      <c r="AC22" s="54">
        <v>0</v>
      </c>
    </row>
    <row r="23" spans="2:29" x14ac:dyDescent="0.2">
      <c r="B23" s="55" t="s">
        <v>23</v>
      </c>
      <c r="C23" s="55">
        <v>5330</v>
      </c>
      <c r="D23" s="48">
        <v>5.6285178236397746</v>
      </c>
      <c r="E23" s="48">
        <v>6.7542213883677302</v>
      </c>
      <c r="F23" s="48">
        <v>7.5046904315197001</v>
      </c>
      <c r="G23" s="48">
        <v>7.6923076923076925</v>
      </c>
      <c r="H23" s="48">
        <v>8.2551594746716699</v>
      </c>
      <c r="I23" s="48">
        <v>8.6303939962476548</v>
      </c>
      <c r="J23" s="48">
        <v>9.0056285178236397</v>
      </c>
      <c r="K23" s="48">
        <v>9.5684803001876162</v>
      </c>
      <c r="L23" s="48">
        <v>9.7560975609756095</v>
      </c>
      <c r="M23" s="48">
        <v>9.7560975609756095</v>
      </c>
      <c r="N23" s="48">
        <v>9.9437148217636029</v>
      </c>
      <c r="O23" s="48">
        <v>9.9437148217636029</v>
      </c>
      <c r="P23" s="54">
        <v>9.9437148217636029</v>
      </c>
      <c r="Q23" s="48">
        <v>5.6285178236397746</v>
      </c>
      <c r="R23" s="48">
        <v>6.0037523452157595</v>
      </c>
      <c r="S23" s="48">
        <v>5.2532833020637897</v>
      </c>
      <c r="T23" s="48">
        <v>4.3151969981238274</v>
      </c>
      <c r="U23" s="48">
        <v>3.3771106941838651</v>
      </c>
      <c r="V23" s="48">
        <v>2.8142589118198873</v>
      </c>
      <c r="W23" s="48">
        <v>1.876172607879925</v>
      </c>
      <c r="X23" s="48">
        <v>1.3133208255159474</v>
      </c>
      <c r="Y23" s="48">
        <v>0.18761726078799248</v>
      </c>
      <c r="Z23" s="48">
        <v>0</v>
      </c>
      <c r="AA23" s="48">
        <v>0.18761726078799248</v>
      </c>
      <c r="AB23" s="48">
        <v>0</v>
      </c>
      <c r="AC23" s="54">
        <v>0</v>
      </c>
    </row>
    <row r="24" spans="2:29" x14ac:dyDescent="0.2">
      <c r="B24" s="55" t="s">
        <v>26</v>
      </c>
      <c r="C24" s="55">
        <v>7100</v>
      </c>
      <c r="D24" s="48">
        <v>4.507042253521127</v>
      </c>
      <c r="E24" s="48">
        <v>4.9295774647887329</v>
      </c>
      <c r="F24" s="48">
        <v>5.492957746478873</v>
      </c>
      <c r="G24" s="48">
        <v>6.197183098591549</v>
      </c>
      <c r="H24" s="48">
        <v>6.3380281690140849</v>
      </c>
      <c r="I24" s="48">
        <v>6.901408450704225</v>
      </c>
      <c r="J24" s="48">
        <v>7.042253521126761</v>
      </c>
      <c r="K24" s="48">
        <v>7.323943661971831</v>
      </c>
      <c r="L24" s="48">
        <v>7.4647887323943669</v>
      </c>
      <c r="M24" s="48">
        <v>7.4647887323943669</v>
      </c>
      <c r="N24" s="48">
        <v>7.605633802816901</v>
      </c>
      <c r="O24" s="48">
        <v>7.605633802816901</v>
      </c>
      <c r="P24" s="54">
        <v>7.605633802816901</v>
      </c>
      <c r="Q24" s="48">
        <v>4.507042253521127</v>
      </c>
      <c r="R24" s="48">
        <v>4.084507042253521</v>
      </c>
      <c r="S24" s="48">
        <v>3.6619718309859155</v>
      </c>
      <c r="T24" s="48">
        <v>3.6619718309859155</v>
      </c>
      <c r="U24" s="48">
        <v>3.2394366197183095</v>
      </c>
      <c r="V24" s="48">
        <v>2.9577464788732395</v>
      </c>
      <c r="W24" s="48">
        <v>2.676056338028169</v>
      </c>
      <c r="X24" s="48">
        <v>1.8309859154929577</v>
      </c>
      <c r="Y24" s="48">
        <v>0.84507042253521136</v>
      </c>
      <c r="Z24" s="48">
        <v>0.14084507042253522</v>
      </c>
      <c r="AA24" s="48">
        <v>0</v>
      </c>
      <c r="AB24" s="48">
        <v>0</v>
      </c>
      <c r="AC24" s="54">
        <v>0</v>
      </c>
    </row>
    <row r="25" spans="2:29" x14ac:dyDescent="0.2">
      <c r="B25" s="56" t="s">
        <v>37</v>
      </c>
      <c r="C25" s="56">
        <v>4932</v>
      </c>
      <c r="D25" s="48">
        <v>12.773722627737227</v>
      </c>
      <c r="E25" s="48">
        <v>15.815085158150852</v>
      </c>
      <c r="F25" s="48">
        <v>18.450932684509329</v>
      </c>
      <c r="G25" s="48">
        <v>21.289537712895374</v>
      </c>
      <c r="H25" s="48">
        <v>22.911597729115979</v>
      </c>
      <c r="I25" s="48">
        <v>24.128142741281426</v>
      </c>
      <c r="J25" s="48">
        <v>24.533657745336576</v>
      </c>
      <c r="K25" s="48">
        <v>24.73641524736415</v>
      </c>
      <c r="L25" s="48">
        <v>24.939172749391727</v>
      </c>
      <c r="M25" s="48">
        <v>24.939172749391727</v>
      </c>
      <c r="N25" s="48">
        <v>25.141930251419303</v>
      </c>
      <c r="O25" s="48">
        <v>25.547445255474454</v>
      </c>
      <c r="P25" s="54">
        <v>25.547445255474454</v>
      </c>
      <c r="Q25" s="48">
        <v>12.773722627737227</v>
      </c>
      <c r="R25" s="48">
        <v>14.598540145985401</v>
      </c>
      <c r="S25" s="48">
        <v>15.612327656123275</v>
      </c>
      <c r="T25" s="48">
        <v>17.031630170316301</v>
      </c>
      <c r="U25" s="48">
        <v>17.234387672343875</v>
      </c>
      <c r="V25" s="48">
        <v>17.234387672343875</v>
      </c>
      <c r="W25" s="48">
        <v>16.626115166261151</v>
      </c>
      <c r="X25" s="48">
        <v>14.801297648012977</v>
      </c>
      <c r="Y25" s="48">
        <v>12.570965125709652</v>
      </c>
      <c r="Z25" s="48">
        <v>9.5296025952960264</v>
      </c>
      <c r="AA25" s="48">
        <v>6.488240064882401</v>
      </c>
      <c r="AB25" s="48">
        <v>5.4744525547445262</v>
      </c>
      <c r="AC25" s="54">
        <v>5.4744525547445262</v>
      </c>
    </row>
    <row r="26" spans="2:29" x14ac:dyDescent="0.2">
      <c r="B26" s="55" t="s">
        <v>48</v>
      </c>
      <c r="C26" s="55"/>
      <c r="D26" s="57">
        <f>AVERAGE(D18:D25)</f>
        <v>7.949526816967202</v>
      </c>
      <c r="E26" s="57">
        <f t="shared" ref="E26:AC26" si="1">AVERAGE(E18:E25)</f>
        <v>9.0034600228651946</v>
      </c>
      <c r="F26" s="57">
        <f t="shared" si="1"/>
        <v>10.118469608290383</v>
      </c>
      <c r="G26" s="57">
        <f t="shared" si="1"/>
        <v>11.092298876892055</v>
      </c>
      <c r="H26" s="57">
        <f t="shared" si="1"/>
        <v>11.741683380725249</v>
      </c>
      <c r="I26" s="57">
        <f t="shared" si="1"/>
        <v>12.45581372477619</v>
      </c>
      <c r="J26" s="57">
        <f t="shared" si="1"/>
        <v>12.765058626859371</v>
      </c>
      <c r="K26" s="57">
        <f t="shared" si="1"/>
        <v>13.265167353104975</v>
      </c>
      <c r="L26" s="57">
        <f t="shared" si="1"/>
        <v>13.412971144242253</v>
      </c>
      <c r="M26" s="57">
        <f t="shared" si="1"/>
        <v>13.412971144242253</v>
      </c>
      <c r="N26" s="57">
        <f t="shared" si="1"/>
        <v>13.615987208262307</v>
      </c>
      <c r="O26" s="57">
        <f t="shared" si="1"/>
        <v>13.666676583769201</v>
      </c>
      <c r="P26" s="57">
        <f t="shared" si="1"/>
        <v>13.745858175923312</v>
      </c>
      <c r="Q26" s="57">
        <f t="shared" si="1"/>
        <v>7.949526816967202</v>
      </c>
      <c r="R26" s="57">
        <f t="shared" si="1"/>
        <v>7.7900159763488812</v>
      </c>
      <c r="S26" s="57">
        <f t="shared" si="1"/>
        <v>7.4949641105209075</v>
      </c>
      <c r="T26" s="57">
        <f t="shared" si="1"/>
        <v>7.4491424425999639</v>
      </c>
      <c r="U26" s="57">
        <f t="shared" si="1"/>
        <v>7.0293564417645467</v>
      </c>
      <c r="V26" s="57">
        <f t="shared" si="1"/>
        <v>6.6107254035678249</v>
      </c>
      <c r="W26" s="57">
        <f t="shared" si="1"/>
        <v>5.766608466633917</v>
      </c>
      <c r="X26" s="57">
        <f t="shared" si="1"/>
        <v>4.5401035605467346</v>
      </c>
      <c r="Y26" s="57">
        <f t="shared" si="1"/>
        <v>2.9459825274674873</v>
      </c>
      <c r="Z26" s="57">
        <f t="shared" si="1"/>
        <v>1.8442568155490957</v>
      </c>
      <c r="AA26" s="57">
        <f t="shared" si="1"/>
        <v>1.1458320330198739</v>
      </c>
      <c r="AB26" s="57">
        <f t="shared" si="1"/>
        <v>0.82011182576851982</v>
      </c>
      <c r="AC26" s="57">
        <f t="shared" si="1"/>
        <v>0.82011182576851982</v>
      </c>
    </row>
    <row r="29" spans="2:29" x14ac:dyDescent="0.2">
      <c r="B29" s="123" t="s">
        <v>61</v>
      </c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5"/>
    </row>
    <row r="30" spans="2:29" x14ac:dyDescent="0.2">
      <c r="B30" s="113" t="s">
        <v>51</v>
      </c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20" t="s">
        <v>52</v>
      </c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2"/>
    </row>
    <row r="31" spans="2:29" ht="25.5" x14ac:dyDescent="0.2">
      <c r="B31" s="49" t="s">
        <v>53</v>
      </c>
      <c r="C31" s="50" t="s">
        <v>3</v>
      </c>
      <c r="D31" s="50">
        <v>0</v>
      </c>
      <c r="E31" s="50">
        <v>1</v>
      </c>
      <c r="F31" s="50">
        <v>2</v>
      </c>
      <c r="G31" s="50">
        <v>3</v>
      </c>
      <c r="H31" s="50">
        <v>4</v>
      </c>
      <c r="I31" s="50">
        <v>5</v>
      </c>
      <c r="J31" s="50">
        <v>6</v>
      </c>
      <c r="K31" s="50">
        <v>7</v>
      </c>
      <c r="L31" s="50">
        <v>8</v>
      </c>
      <c r="M31" s="50">
        <v>9</v>
      </c>
      <c r="N31" s="50">
        <v>10</v>
      </c>
      <c r="O31" s="50">
        <v>11</v>
      </c>
      <c r="P31" s="50">
        <v>12</v>
      </c>
      <c r="Q31" s="50">
        <v>0</v>
      </c>
      <c r="R31" s="50">
        <v>1</v>
      </c>
      <c r="S31" s="50">
        <v>2</v>
      </c>
      <c r="T31" s="50">
        <v>3</v>
      </c>
      <c r="U31" s="50">
        <v>4</v>
      </c>
      <c r="V31" s="50">
        <v>5</v>
      </c>
      <c r="W31" s="50">
        <v>6</v>
      </c>
      <c r="X31" s="50">
        <v>7</v>
      </c>
      <c r="Y31" s="50">
        <v>8</v>
      </c>
      <c r="Z31" s="50">
        <v>9</v>
      </c>
      <c r="AA31" s="50">
        <v>10</v>
      </c>
      <c r="AB31" s="50">
        <v>11</v>
      </c>
      <c r="AC31" s="50">
        <v>12</v>
      </c>
    </row>
    <row r="32" spans="2:29" x14ac:dyDescent="0.2">
      <c r="B32" s="55" t="s">
        <v>7</v>
      </c>
      <c r="C32" s="55">
        <v>4593</v>
      </c>
      <c r="D32" s="52">
        <v>8.9266274765948186</v>
      </c>
      <c r="E32" s="52">
        <v>10.015240583496626</v>
      </c>
      <c r="F32" s="52">
        <v>10.668408447637709</v>
      </c>
      <c r="G32" s="52">
        <v>11.539298933159156</v>
      </c>
      <c r="H32" s="52">
        <v>12.192466797300238</v>
      </c>
      <c r="I32" s="52">
        <v>12.627912040060963</v>
      </c>
      <c r="J32" s="52">
        <v>13.063357282821686</v>
      </c>
      <c r="K32" s="52">
        <v>13.281079904202047</v>
      </c>
      <c r="L32" s="52">
        <v>13.498802525582407</v>
      </c>
      <c r="M32" s="52">
        <v>13.498802525582407</v>
      </c>
      <c r="N32" s="52">
        <v>13.716525146962768</v>
      </c>
      <c r="O32" s="52">
        <v>13.716525146962768</v>
      </c>
      <c r="P32" s="54">
        <v>13.716525146962768</v>
      </c>
      <c r="Q32" s="52">
        <v>8.9266274765948186</v>
      </c>
      <c r="R32" s="52">
        <v>8.7089048552144561</v>
      </c>
      <c r="S32" s="52">
        <v>7.62029174831265</v>
      </c>
      <c r="T32" s="52">
        <v>6.9671238841715653</v>
      </c>
      <c r="U32" s="52">
        <v>6.7494012627912037</v>
      </c>
      <c r="V32" s="52">
        <v>6.0962333986501189</v>
      </c>
      <c r="W32" s="52">
        <v>5.8785107772697582</v>
      </c>
      <c r="X32" s="52">
        <v>3.9190071848465058</v>
      </c>
      <c r="Y32" s="52">
        <v>1.5240583496625297</v>
      </c>
      <c r="Z32" s="52">
        <v>0.43544524276072283</v>
      </c>
      <c r="AA32" s="52">
        <v>0.21772262138036141</v>
      </c>
      <c r="AB32" s="52">
        <v>0.21772262138036141</v>
      </c>
      <c r="AC32" s="54">
        <v>0.21772262138036141</v>
      </c>
    </row>
    <row r="33" spans="2:29" x14ac:dyDescent="0.2">
      <c r="B33" s="55" t="s">
        <v>20</v>
      </c>
      <c r="C33" s="55">
        <v>3800</v>
      </c>
      <c r="D33" s="52">
        <v>6.5789473684210522</v>
      </c>
      <c r="E33" s="52">
        <v>7.6315789473684204</v>
      </c>
      <c r="F33" s="52">
        <v>9.2105263157894726</v>
      </c>
      <c r="G33" s="52">
        <v>10</v>
      </c>
      <c r="H33" s="52">
        <v>10.263157894736842</v>
      </c>
      <c r="I33" s="52">
        <v>10.789473684210526</v>
      </c>
      <c r="J33" s="52">
        <v>11.315789473684211</v>
      </c>
      <c r="K33" s="52">
        <v>12.105263157894736</v>
      </c>
      <c r="L33" s="52">
        <v>12.368421052631579</v>
      </c>
      <c r="M33" s="52">
        <v>12.368421052631579</v>
      </c>
      <c r="N33" s="52">
        <v>12.631578947368421</v>
      </c>
      <c r="O33" s="52">
        <v>12.631578947368421</v>
      </c>
      <c r="P33" s="54">
        <v>12.894736842105262</v>
      </c>
      <c r="Q33" s="52">
        <v>6.5789473684210522</v>
      </c>
      <c r="R33" s="52">
        <v>6.5789473684210522</v>
      </c>
      <c r="S33" s="52">
        <v>6.0526315789473681</v>
      </c>
      <c r="T33" s="52">
        <v>6.0526315789473681</v>
      </c>
      <c r="U33" s="52">
        <v>5</v>
      </c>
      <c r="V33" s="52">
        <v>4.2105263157894735</v>
      </c>
      <c r="W33" s="52">
        <v>2.8947368421052633</v>
      </c>
      <c r="X33" s="52">
        <v>1.5789473684210527</v>
      </c>
      <c r="Y33" s="52">
        <v>0.26315789473684209</v>
      </c>
      <c r="Z33" s="52">
        <v>0</v>
      </c>
      <c r="AA33" s="52">
        <v>0.26315789473684209</v>
      </c>
      <c r="AB33" s="52">
        <v>0</v>
      </c>
      <c r="AC33" s="54">
        <v>0</v>
      </c>
    </row>
    <row r="34" spans="2:29" x14ac:dyDescent="0.2">
      <c r="B34" s="55" t="s">
        <v>22</v>
      </c>
      <c r="C34" s="55">
        <v>5100</v>
      </c>
      <c r="D34" s="52">
        <v>8.4313725490196063</v>
      </c>
      <c r="E34" s="52">
        <v>8.8235294117647065</v>
      </c>
      <c r="F34" s="52">
        <v>10</v>
      </c>
      <c r="G34" s="52">
        <v>0.58823529411764697</v>
      </c>
      <c r="H34" s="52">
        <v>10.588235294117647</v>
      </c>
      <c r="I34" s="52">
        <v>10.980392156862745</v>
      </c>
      <c r="J34" s="52">
        <v>11.568627450980392</v>
      </c>
      <c r="K34" s="52">
        <v>11.96078431372549</v>
      </c>
      <c r="L34" s="52">
        <v>12.15686274509804</v>
      </c>
      <c r="M34" s="52">
        <v>12.15686274509804</v>
      </c>
      <c r="N34" s="52">
        <v>12.352941176470587</v>
      </c>
      <c r="O34" s="52">
        <v>12.352941176470587</v>
      </c>
      <c r="P34" s="54">
        <v>12.352941176470587</v>
      </c>
      <c r="Q34" s="52">
        <v>8.4313725490196063</v>
      </c>
      <c r="R34" s="52">
        <v>7.8431372549019605</v>
      </c>
      <c r="S34" s="52">
        <v>8.2352941176470598</v>
      </c>
      <c r="T34" s="52">
        <v>7.4509803921568629</v>
      </c>
      <c r="U34" s="52">
        <v>6.2745098039215685</v>
      </c>
      <c r="V34" s="52">
        <v>6.0784313725490202</v>
      </c>
      <c r="W34" s="52">
        <v>5.6862745098039209</v>
      </c>
      <c r="X34" s="52">
        <v>4.3137254901960782</v>
      </c>
      <c r="Y34" s="52">
        <v>2.9411764705882351</v>
      </c>
      <c r="Z34" s="52">
        <v>1.9607843137254901</v>
      </c>
      <c r="AA34" s="52">
        <v>0.98039215686274506</v>
      </c>
      <c r="AB34" s="52">
        <v>0.19607843137254902</v>
      </c>
      <c r="AC34" s="54">
        <v>0.19607843137254902</v>
      </c>
    </row>
    <row r="35" spans="2:29" x14ac:dyDescent="0.2">
      <c r="B35" s="55" t="s">
        <v>29</v>
      </c>
      <c r="C35" s="55">
        <v>5020</v>
      </c>
      <c r="D35" s="52">
        <v>7.9681274900398407</v>
      </c>
      <c r="E35" s="52">
        <v>9.9601593625498008</v>
      </c>
      <c r="F35" s="52">
        <v>13.147410358565738</v>
      </c>
      <c r="G35" s="52">
        <v>14.741035856573706</v>
      </c>
      <c r="H35" s="52">
        <v>15.737051792828687</v>
      </c>
      <c r="I35" s="52">
        <v>15.936254980079681</v>
      </c>
      <c r="J35" s="52">
        <v>17.131474103585656</v>
      </c>
      <c r="K35" s="52">
        <v>17.729083665338646</v>
      </c>
      <c r="L35" s="52">
        <v>17.928286852589643</v>
      </c>
      <c r="M35" s="52">
        <v>17.928286852589643</v>
      </c>
      <c r="N35" s="52">
        <v>18.127490039840637</v>
      </c>
      <c r="O35" s="52">
        <v>18.127490039840637</v>
      </c>
      <c r="P35" s="54">
        <v>18.127490039840637</v>
      </c>
      <c r="Q35" s="52">
        <v>7.9681274900398407</v>
      </c>
      <c r="R35" s="52">
        <v>9.1633466135458157</v>
      </c>
      <c r="S35" s="52">
        <v>10.159362549800797</v>
      </c>
      <c r="T35" s="52">
        <v>10.756972111553786</v>
      </c>
      <c r="U35" s="52">
        <v>10.956175298804782</v>
      </c>
      <c r="V35" s="52">
        <v>9.9601593625498008</v>
      </c>
      <c r="W35" s="52">
        <v>10.358565737051793</v>
      </c>
      <c r="X35" s="52">
        <v>9.760956175298805</v>
      </c>
      <c r="Y35" s="52">
        <v>8.7649402390438258</v>
      </c>
      <c r="Z35" s="52">
        <v>8.1673306772908365</v>
      </c>
      <c r="AA35" s="52">
        <v>7.3705179282868531</v>
      </c>
      <c r="AB35" s="52">
        <v>5.5776892430278888</v>
      </c>
      <c r="AC35" s="54">
        <v>5.5776892430278888</v>
      </c>
    </row>
    <row r="36" spans="2:29" x14ac:dyDescent="0.2">
      <c r="B36" s="55" t="s">
        <v>31</v>
      </c>
      <c r="C36" s="55">
        <v>4500</v>
      </c>
      <c r="D36" s="52">
        <v>7.333333333333333</v>
      </c>
      <c r="E36" s="52">
        <v>8.2222222222222232</v>
      </c>
      <c r="F36" s="52">
        <v>10.888888888888889</v>
      </c>
      <c r="G36" s="52">
        <v>12.888888888888889</v>
      </c>
      <c r="H36" s="52">
        <v>13.555555555555555</v>
      </c>
      <c r="I36" s="52">
        <v>14</v>
      </c>
      <c r="J36" s="52">
        <v>14.222222222222223</v>
      </c>
      <c r="K36" s="52">
        <v>14.888888888888889</v>
      </c>
      <c r="L36" s="52">
        <v>14.888888888888889</v>
      </c>
      <c r="M36" s="52">
        <v>14.888888888888889</v>
      </c>
      <c r="N36" s="52">
        <v>15.111111111111112</v>
      </c>
      <c r="O36" s="52">
        <v>15.555555555555555</v>
      </c>
      <c r="P36" s="54">
        <v>15.777777777777779</v>
      </c>
      <c r="Q36" s="52">
        <v>7.333333333333333</v>
      </c>
      <c r="R36" s="52">
        <v>6.4444444444444446</v>
      </c>
      <c r="S36" s="52">
        <v>7.333333333333333</v>
      </c>
      <c r="T36" s="52">
        <v>8</v>
      </c>
      <c r="U36" s="52">
        <v>7.5555555555555562</v>
      </c>
      <c r="V36" s="52">
        <v>6.4444444444444446</v>
      </c>
      <c r="W36" s="52">
        <v>5.1111111111111116</v>
      </c>
      <c r="X36" s="52">
        <v>5.333333333333333</v>
      </c>
      <c r="Y36" s="52">
        <v>3.7777777777777781</v>
      </c>
      <c r="Z36" s="52">
        <v>2.4444444444444442</v>
      </c>
      <c r="AA36" s="52">
        <v>1.1111111111111112</v>
      </c>
      <c r="AB36" s="52">
        <v>1.3333333333333333</v>
      </c>
      <c r="AC36" s="54">
        <v>1.5555555555555554</v>
      </c>
    </row>
    <row r="37" spans="2:29" x14ac:dyDescent="0.2">
      <c r="B37" s="55" t="s">
        <v>32</v>
      </c>
      <c r="C37" s="55">
        <v>5600</v>
      </c>
      <c r="D37" s="52">
        <v>8.0357142857142847</v>
      </c>
      <c r="E37" s="52">
        <v>9.2857142857142865</v>
      </c>
      <c r="F37" s="52">
        <v>11.785714285714286</v>
      </c>
      <c r="G37" s="52">
        <v>13.571428571428571</v>
      </c>
      <c r="H37" s="52">
        <v>14.464285714285714</v>
      </c>
      <c r="I37" s="52">
        <v>14.821428571428573</v>
      </c>
      <c r="J37" s="52">
        <v>15</v>
      </c>
      <c r="K37" s="52">
        <v>15.357142857142858</v>
      </c>
      <c r="L37" s="52">
        <v>15.535714285714286</v>
      </c>
      <c r="M37" s="52">
        <v>15.535714285714286</v>
      </c>
      <c r="N37" s="52">
        <v>15.535714285714286</v>
      </c>
      <c r="O37" s="52">
        <v>15.535714285714286</v>
      </c>
      <c r="P37" s="54">
        <v>15.535714285714286</v>
      </c>
      <c r="Q37" s="52">
        <v>8.0357142857142847</v>
      </c>
      <c r="R37" s="52">
        <v>8.3928571428571423</v>
      </c>
      <c r="S37" s="52">
        <v>9.6428571428571423</v>
      </c>
      <c r="T37" s="52">
        <v>10.357142857142856</v>
      </c>
      <c r="U37" s="52">
        <v>10.178571428571429</v>
      </c>
      <c r="V37" s="52">
        <v>9.2857142857142865</v>
      </c>
      <c r="W37" s="52">
        <v>8.5714285714285712</v>
      </c>
      <c r="X37" s="52">
        <v>7.5</v>
      </c>
      <c r="Y37" s="52">
        <v>5.5357142857142856</v>
      </c>
      <c r="Z37" s="52">
        <v>4.6428571428571432</v>
      </c>
      <c r="AA37" s="52">
        <v>3.5714285714285712</v>
      </c>
      <c r="AB37" s="52">
        <v>2.6785714285714284</v>
      </c>
      <c r="AC37" s="54">
        <v>2.6785714285714284</v>
      </c>
    </row>
    <row r="38" spans="2:29" x14ac:dyDescent="0.2">
      <c r="B38" s="55" t="s">
        <v>33</v>
      </c>
      <c r="C38" s="55">
        <v>5600</v>
      </c>
      <c r="D38" s="52">
        <v>8.2142857142857135</v>
      </c>
      <c r="E38" s="52">
        <v>10</v>
      </c>
      <c r="F38" s="52">
        <v>12.857142857142858</v>
      </c>
      <c r="G38" s="52">
        <v>14.285714285714285</v>
      </c>
      <c r="H38" s="52">
        <v>15.178571428571429</v>
      </c>
      <c r="I38" s="52">
        <v>15.357142857142858</v>
      </c>
      <c r="J38" s="52">
        <v>16.428571428571427</v>
      </c>
      <c r="K38" s="52">
        <v>16.964285714285712</v>
      </c>
      <c r="L38" s="52">
        <v>17.142857142857142</v>
      </c>
      <c r="M38" s="52">
        <v>17.142857142857142</v>
      </c>
      <c r="N38" s="52">
        <v>17.321428571428569</v>
      </c>
      <c r="O38" s="52">
        <v>17.321428571428569</v>
      </c>
      <c r="P38" s="54">
        <v>17.321428571428569</v>
      </c>
      <c r="Q38" s="52">
        <v>8.2142857142857135</v>
      </c>
      <c r="R38" s="52">
        <v>9.2857142857142865</v>
      </c>
      <c r="S38" s="52">
        <v>10.178571428571429</v>
      </c>
      <c r="T38" s="52">
        <v>10.714285714285714</v>
      </c>
      <c r="U38" s="52">
        <v>10.178571428571429</v>
      </c>
      <c r="V38" s="52">
        <v>9.2857142857142865</v>
      </c>
      <c r="W38" s="52">
        <v>9.6428571428571423</v>
      </c>
      <c r="X38" s="52">
        <v>9.1071428571428577</v>
      </c>
      <c r="Y38" s="52">
        <v>7.8571428571428577</v>
      </c>
      <c r="Z38" s="52">
        <v>7.3214285714285712</v>
      </c>
      <c r="AA38" s="52">
        <v>6.6071428571428577</v>
      </c>
      <c r="AB38" s="52">
        <v>5</v>
      </c>
      <c r="AC38" s="54">
        <v>5</v>
      </c>
    </row>
    <row r="39" spans="2:29" x14ac:dyDescent="0.2">
      <c r="B39" s="56" t="s">
        <v>36</v>
      </c>
      <c r="C39" s="56">
        <v>7504</v>
      </c>
      <c r="D39" s="52">
        <v>6.6631130063965882</v>
      </c>
      <c r="E39" s="52">
        <v>7.9957356076759067</v>
      </c>
      <c r="F39" s="52">
        <v>10.127931769722816</v>
      </c>
      <c r="G39" s="52">
        <v>11.194029850746269</v>
      </c>
      <c r="H39" s="52">
        <v>11.860341151385928</v>
      </c>
      <c r="I39" s="52">
        <v>11.99360341151386</v>
      </c>
      <c r="J39" s="52">
        <v>12.793176972281449</v>
      </c>
      <c r="K39" s="52">
        <v>13.192963752665245</v>
      </c>
      <c r="L39" s="52">
        <v>13.326226012793176</v>
      </c>
      <c r="M39" s="52">
        <v>13.326226012793176</v>
      </c>
      <c r="N39" s="52">
        <v>13.459488272921108</v>
      </c>
      <c r="O39" s="52">
        <v>13.459488272921108</v>
      </c>
      <c r="P39" s="54">
        <v>13.459488272921108</v>
      </c>
      <c r="Q39" s="52">
        <v>6.6631130063965882</v>
      </c>
      <c r="R39" s="52">
        <v>7.4626865671641793</v>
      </c>
      <c r="S39" s="52">
        <v>8.1289978678038377</v>
      </c>
      <c r="T39" s="52">
        <v>8.5287846481876333</v>
      </c>
      <c r="U39" s="52">
        <v>8.1289978678038377</v>
      </c>
      <c r="V39" s="52">
        <v>7.4626865671641793</v>
      </c>
      <c r="W39" s="52">
        <v>7.7292110874200421</v>
      </c>
      <c r="X39" s="52">
        <v>7.3294243070362475</v>
      </c>
      <c r="Y39" s="52">
        <v>6.3965884861407245</v>
      </c>
      <c r="Z39" s="52">
        <v>5.9968017057569298</v>
      </c>
      <c r="AA39" s="52">
        <v>5.4637526652452024</v>
      </c>
      <c r="AB39" s="52">
        <v>4.2643923240938166</v>
      </c>
      <c r="AC39" s="54">
        <v>4.2643923240938166</v>
      </c>
    </row>
    <row r="40" spans="2:29" x14ac:dyDescent="0.2">
      <c r="B40" s="81" t="s">
        <v>48</v>
      </c>
      <c r="C40" s="55"/>
      <c r="D40" s="57">
        <f>AVERAGE(D32:D39)</f>
        <v>7.768940152975655</v>
      </c>
      <c r="E40" s="57">
        <f t="shared" ref="E40:AC40" si="2">AVERAGE(E32:E39)</f>
        <v>8.9917725525989951</v>
      </c>
      <c r="F40" s="57">
        <f t="shared" si="2"/>
        <v>11.085752865432722</v>
      </c>
      <c r="G40" s="57">
        <f t="shared" si="2"/>
        <v>11.101078960078564</v>
      </c>
      <c r="H40" s="57">
        <f t="shared" si="2"/>
        <v>12.979958203597755</v>
      </c>
      <c r="I40" s="57">
        <f t="shared" si="2"/>
        <v>13.3132759626624</v>
      </c>
      <c r="J40" s="57">
        <f t="shared" si="2"/>
        <v>13.940402366768382</v>
      </c>
      <c r="K40" s="57">
        <f t="shared" si="2"/>
        <v>14.434936531767953</v>
      </c>
      <c r="L40" s="57">
        <f t="shared" si="2"/>
        <v>14.605757438269395</v>
      </c>
      <c r="M40" s="57">
        <f t="shared" si="2"/>
        <v>14.605757438269395</v>
      </c>
      <c r="N40" s="57">
        <f t="shared" si="2"/>
        <v>14.782034693977186</v>
      </c>
      <c r="O40" s="57">
        <f t="shared" si="2"/>
        <v>14.837590249532742</v>
      </c>
      <c r="P40" s="57">
        <f t="shared" si="2"/>
        <v>14.898262764152626</v>
      </c>
      <c r="Q40" s="57">
        <f t="shared" si="2"/>
        <v>7.768940152975655</v>
      </c>
      <c r="R40" s="57">
        <f t="shared" si="2"/>
        <v>7.9850048165329159</v>
      </c>
      <c r="S40" s="57">
        <f t="shared" si="2"/>
        <v>8.4189174709092018</v>
      </c>
      <c r="T40" s="57">
        <f t="shared" si="2"/>
        <v>8.603490148305724</v>
      </c>
      <c r="U40" s="57">
        <f t="shared" si="2"/>
        <v>8.1277228307524751</v>
      </c>
      <c r="V40" s="57">
        <f t="shared" si="2"/>
        <v>7.3529887540719505</v>
      </c>
      <c r="W40" s="57">
        <f t="shared" si="2"/>
        <v>6.9840869723809504</v>
      </c>
      <c r="X40" s="57">
        <f t="shared" si="2"/>
        <v>6.1053170895343598</v>
      </c>
      <c r="Y40" s="57">
        <f t="shared" si="2"/>
        <v>4.6325695451008846</v>
      </c>
      <c r="Z40" s="57">
        <f t="shared" si="2"/>
        <v>3.8711365122830177</v>
      </c>
      <c r="AA40" s="57">
        <f t="shared" si="2"/>
        <v>3.1981532257743179</v>
      </c>
      <c r="AB40" s="57">
        <f t="shared" si="2"/>
        <v>2.4084734227224223</v>
      </c>
      <c r="AC40" s="57">
        <f t="shared" si="2"/>
        <v>2.4362512005001999</v>
      </c>
    </row>
    <row r="41" spans="2:29" x14ac:dyDescent="0.2">
      <c r="B41" s="79"/>
      <c r="C41" s="59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</row>
    <row r="42" spans="2:29" x14ac:dyDescent="0.2">
      <c r="B42" s="79"/>
      <c r="C42" s="59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</row>
    <row r="43" spans="2:29" x14ac:dyDescent="0.2">
      <c r="B43" s="119" t="s">
        <v>62</v>
      </c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</row>
    <row r="44" spans="2:29" x14ac:dyDescent="0.2">
      <c r="B44" s="113" t="s">
        <v>51</v>
      </c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20" t="s">
        <v>52</v>
      </c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2"/>
    </row>
    <row r="45" spans="2:29" ht="25.5" x14ac:dyDescent="0.2">
      <c r="B45" s="49" t="s">
        <v>53</v>
      </c>
      <c r="C45" s="50" t="s">
        <v>3</v>
      </c>
      <c r="D45" s="50">
        <v>0</v>
      </c>
      <c r="E45" s="50">
        <v>1</v>
      </c>
      <c r="F45" s="50">
        <v>2</v>
      </c>
      <c r="G45" s="50">
        <v>3</v>
      </c>
      <c r="H45" s="50">
        <v>4</v>
      </c>
      <c r="I45" s="50">
        <v>5</v>
      </c>
      <c r="J45" s="50">
        <v>6</v>
      </c>
      <c r="K45" s="50">
        <v>7</v>
      </c>
      <c r="L45" s="50">
        <v>8</v>
      </c>
      <c r="M45" s="50">
        <v>9</v>
      </c>
      <c r="N45" s="50">
        <v>10</v>
      </c>
      <c r="O45" s="50">
        <v>11</v>
      </c>
      <c r="P45" s="50">
        <v>12</v>
      </c>
      <c r="Q45" s="50">
        <v>0</v>
      </c>
      <c r="R45" s="50">
        <v>1</v>
      </c>
      <c r="S45" s="50">
        <v>2</v>
      </c>
      <c r="T45" s="50">
        <v>3</v>
      </c>
      <c r="U45" s="50">
        <v>4</v>
      </c>
      <c r="V45" s="50">
        <v>5</v>
      </c>
      <c r="W45" s="50">
        <v>6</v>
      </c>
      <c r="X45" s="50">
        <v>7</v>
      </c>
      <c r="Y45" s="50">
        <v>8</v>
      </c>
      <c r="Z45" s="50">
        <v>9</v>
      </c>
      <c r="AA45" s="50">
        <v>10</v>
      </c>
      <c r="AB45" s="50">
        <v>11</v>
      </c>
      <c r="AC45" s="50">
        <v>12</v>
      </c>
    </row>
    <row r="46" spans="2:29" x14ac:dyDescent="0.2">
      <c r="B46" s="55" t="s">
        <v>15</v>
      </c>
      <c r="C46" s="55">
        <v>6323</v>
      </c>
      <c r="D46" s="48">
        <v>6.0098054720860352</v>
      </c>
      <c r="E46" s="48">
        <v>6.6424165744108805</v>
      </c>
      <c r="F46" s="48">
        <v>7.1168749011545156</v>
      </c>
      <c r="G46" s="48">
        <v>7.9076387790605729</v>
      </c>
      <c r="H46" s="48">
        <v>8.2239443302229951</v>
      </c>
      <c r="I46" s="48">
        <v>8.6984026569666302</v>
      </c>
      <c r="J46" s="48">
        <v>9.0147082081290524</v>
      </c>
      <c r="K46" s="48">
        <v>9.1728609837102635</v>
      </c>
      <c r="L46" s="48">
        <v>9.3310137592914764</v>
      </c>
      <c r="M46" s="48">
        <v>9.3310137592914764</v>
      </c>
      <c r="N46" s="48">
        <v>9.4891665348726857</v>
      </c>
      <c r="O46" s="48">
        <v>9.4891665348726857</v>
      </c>
      <c r="P46" s="54">
        <v>9.4891665348726857</v>
      </c>
      <c r="Q46" s="48">
        <v>6.0098054720860352</v>
      </c>
      <c r="R46" s="48">
        <v>5.6934999209236121</v>
      </c>
      <c r="S46" s="48">
        <v>5.2190415941799779</v>
      </c>
      <c r="T46" s="48">
        <v>4.9027360430175548</v>
      </c>
      <c r="U46" s="48">
        <v>4.5864304918551317</v>
      </c>
      <c r="V46" s="48">
        <v>3.9538193895302864</v>
      </c>
      <c r="W46" s="48">
        <v>3.4793610627866518</v>
      </c>
      <c r="X46" s="48">
        <v>2.688597184880595</v>
      </c>
      <c r="Y46" s="48">
        <v>1.1070694290684802</v>
      </c>
      <c r="Z46" s="48">
        <v>0.31630555116242293</v>
      </c>
      <c r="AA46" s="48">
        <v>0.15815277558121146</v>
      </c>
      <c r="AB46" s="48">
        <v>0.15815277558121146</v>
      </c>
      <c r="AC46" s="54">
        <v>0.15815277558121146</v>
      </c>
    </row>
    <row r="47" spans="2:29" x14ac:dyDescent="0.2">
      <c r="B47" s="55" t="s">
        <v>16</v>
      </c>
      <c r="C47" s="55">
        <v>3809</v>
      </c>
      <c r="D47" s="48">
        <v>11.026516145970071</v>
      </c>
      <c r="E47" s="48">
        <v>11.551588343397217</v>
      </c>
      <c r="F47" s="48">
        <v>12.60173273825151</v>
      </c>
      <c r="G47" s="48">
        <v>13.389341034392229</v>
      </c>
      <c r="H47" s="48">
        <v>14.439485429246522</v>
      </c>
      <c r="I47" s="48">
        <v>14.964557626673667</v>
      </c>
      <c r="J47" s="48">
        <v>15.22709372538724</v>
      </c>
      <c r="K47" s="48">
        <v>16.01470202152796</v>
      </c>
      <c r="L47" s="48">
        <v>16.01470202152796</v>
      </c>
      <c r="M47" s="48">
        <v>16.01470202152796</v>
      </c>
      <c r="N47" s="48">
        <v>16.277238120241535</v>
      </c>
      <c r="O47" s="48">
        <v>16.277238120241535</v>
      </c>
      <c r="P47" s="54">
        <v>16.539774218955106</v>
      </c>
      <c r="Q47" s="48">
        <v>11.026516145970071</v>
      </c>
      <c r="R47" s="48">
        <v>9.4512995536886333</v>
      </c>
      <c r="S47" s="48">
        <v>8.9262273562614851</v>
      </c>
      <c r="T47" s="48">
        <v>8.6636912575479137</v>
      </c>
      <c r="U47" s="48">
        <v>8.4011551588343405</v>
      </c>
      <c r="V47" s="48">
        <v>7.61354686269362</v>
      </c>
      <c r="W47" s="48">
        <v>6.0383302704121817</v>
      </c>
      <c r="X47" s="48">
        <v>4.7256497768443166</v>
      </c>
      <c r="Y47" s="48">
        <v>3.1504331845628775</v>
      </c>
      <c r="Z47" s="48">
        <v>1.5752165922814387</v>
      </c>
      <c r="AA47" s="48">
        <v>1.0501443948542926</v>
      </c>
      <c r="AB47" s="48">
        <v>0.52507219742714628</v>
      </c>
      <c r="AC47" s="54">
        <v>0.52507219742714628</v>
      </c>
    </row>
    <row r="48" spans="2:29" x14ac:dyDescent="0.2">
      <c r="B48" s="55" t="s">
        <v>24</v>
      </c>
      <c r="C48" s="55">
        <v>5455</v>
      </c>
      <c r="D48" s="48">
        <v>6.5994500458295144</v>
      </c>
      <c r="E48" s="48">
        <v>7.1494042163153066</v>
      </c>
      <c r="F48" s="48">
        <v>7.8826764436296974</v>
      </c>
      <c r="G48" s="48">
        <v>8.7992667277726859</v>
      </c>
      <c r="H48" s="48">
        <v>8.9825847846012827</v>
      </c>
      <c r="I48" s="48">
        <v>9.7158570119156735</v>
      </c>
      <c r="J48" s="48">
        <v>9.8991750687442721</v>
      </c>
      <c r="K48" s="48">
        <v>10.265811182401468</v>
      </c>
      <c r="L48" s="48">
        <v>10.449129239230064</v>
      </c>
      <c r="M48" s="48">
        <v>10.449129239230064</v>
      </c>
      <c r="N48" s="48">
        <v>10.632447296058661</v>
      </c>
      <c r="O48" s="48">
        <v>10.632447296058661</v>
      </c>
      <c r="P48" s="54">
        <v>10.632447296058661</v>
      </c>
      <c r="Q48" s="48">
        <v>6.5994500458295144</v>
      </c>
      <c r="R48" s="48">
        <v>6.0494958753437214</v>
      </c>
      <c r="S48" s="48">
        <v>5.4995417048579283</v>
      </c>
      <c r="T48" s="48">
        <v>5.4995417048579283</v>
      </c>
      <c r="U48" s="48">
        <v>4.9495875343721361</v>
      </c>
      <c r="V48" s="48">
        <v>4.5829514207149407</v>
      </c>
      <c r="W48" s="48">
        <v>4.2163153070577453</v>
      </c>
      <c r="X48" s="48">
        <v>2.7497708524289641</v>
      </c>
      <c r="Y48" s="48">
        <v>1.0999083409715857</v>
      </c>
      <c r="Z48" s="48">
        <v>0.18331805682859761</v>
      </c>
      <c r="AA48" s="48">
        <v>0</v>
      </c>
      <c r="AB48" s="48">
        <v>0</v>
      </c>
      <c r="AC48" s="54">
        <v>0</v>
      </c>
    </row>
    <row r="49" spans="2:29" x14ac:dyDescent="0.2">
      <c r="B49" s="55" t="s">
        <v>25</v>
      </c>
      <c r="C49" s="55">
        <v>6200</v>
      </c>
      <c r="D49" s="48">
        <v>4.5161290322580649</v>
      </c>
      <c r="E49" s="48">
        <v>4.838709677419355</v>
      </c>
      <c r="F49" s="48">
        <v>5.32258064516129</v>
      </c>
      <c r="G49" s="48">
        <v>5.967741935483871</v>
      </c>
      <c r="H49" s="48">
        <v>6.4516129032258061</v>
      </c>
      <c r="I49" s="48">
        <v>6.935483870967742</v>
      </c>
      <c r="J49" s="48">
        <v>7.2580645161290329</v>
      </c>
      <c r="K49" s="48">
        <v>7.580645161290323</v>
      </c>
      <c r="L49" s="48">
        <v>7.741935483870968</v>
      </c>
      <c r="M49" s="48">
        <v>7.741935483870968</v>
      </c>
      <c r="N49" s="48">
        <v>7.9032258064516139</v>
      </c>
      <c r="O49" s="48">
        <v>7.9032258064516139</v>
      </c>
      <c r="P49" s="54">
        <v>7.9032258064516139</v>
      </c>
      <c r="Q49" s="48">
        <v>4.5161290322580649</v>
      </c>
      <c r="R49" s="48">
        <v>3.5483870967741939</v>
      </c>
      <c r="S49" s="48">
        <v>3.3870967741935485</v>
      </c>
      <c r="T49" s="48">
        <v>3.3870967741935485</v>
      </c>
      <c r="U49" s="48">
        <v>3.064516129032258</v>
      </c>
      <c r="V49" s="48">
        <v>2.7419354838709675</v>
      </c>
      <c r="W49" s="48">
        <v>1.935483870967742</v>
      </c>
      <c r="X49" s="48">
        <v>0.967741935483871</v>
      </c>
      <c r="Y49" s="48">
        <v>0.4838709677419355</v>
      </c>
      <c r="Z49" s="48">
        <v>0.32258064516129031</v>
      </c>
      <c r="AA49" s="48">
        <v>0.16129032258064516</v>
      </c>
      <c r="AB49" s="48">
        <v>0</v>
      </c>
      <c r="AC49" s="54">
        <v>0</v>
      </c>
    </row>
    <row r="50" spans="2:29" x14ac:dyDescent="0.2">
      <c r="B50" s="55" t="s">
        <v>27</v>
      </c>
      <c r="C50" s="55">
        <v>4204</v>
      </c>
      <c r="D50" s="48">
        <v>5.7088487155090393</v>
      </c>
      <c r="E50" s="48">
        <v>6.1845861084681255</v>
      </c>
      <c r="F50" s="48">
        <v>6.8981921979067549</v>
      </c>
      <c r="G50" s="48">
        <v>7.8496669838249291</v>
      </c>
      <c r="H50" s="48">
        <v>8.5632730732635576</v>
      </c>
      <c r="I50" s="48">
        <v>9.2768791627021887</v>
      </c>
      <c r="J50" s="48">
        <v>9.7526165556612749</v>
      </c>
      <c r="K50" s="48">
        <v>10.228353948620361</v>
      </c>
      <c r="L50" s="48">
        <v>10.466222645099904</v>
      </c>
      <c r="M50" s="48">
        <v>10.466222645099904</v>
      </c>
      <c r="N50" s="48">
        <v>10.704091341579447</v>
      </c>
      <c r="O50" s="48">
        <v>10.704091341579447</v>
      </c>
      <c r="P50" s="54">
        <v>10.704091341579447</v>
      </c>
      <c r="Q50" s="48">
        <v>5.7088487155090393</v>
      </c>
      <c r="R50" s="48">
        <v>4.2816365366317788</v>
      </c>
      <c r="S50" s="48">
        <v>4.0437678401522366</v>
      </c>
      <c r="T50" s="48">
        <v>4.0437678401522366</v>
      </c>
      <c r="U50" s="48">
        <v>3.5680304471931494</v>
      </c>
      <c r="V50" s="48">
        <v>3.0922930542340628</v>
      </c>
      <c r="W50" s="48">
        <v>1.9029495718363465</v>
      </c>
      <c r="X50" s="48">
        <v>0.95147478591817325</v>
      </c>
      <c r="Y50" s="48">
        <v>0.71360608943862991</v>
      </c>
      <c r="Z50" s="48">
        <v>0.47573739295908662</v>
      </c>
      <c r="AA50" s="48">
        <v>0.23786869647954331</v>
      </c>
      <c r="AB50" s="48">
        <v>0</v>
      </c>
      <c r="AC50" s="54">
        <v>0</v>
      </c>
    </row>
    <row r="51" spans="2:29" x14ac:dyDescent="0.2">
      <c r="B51" s="55" t="s">
        <v>30</v>
      </c>
      <c r="C51" s="55">
        <v>5500</v>
      </c>
      <c r="D51" s="48">
        <v>5.454545454545455</v>
      </c>
      <c r="E51" s="48">
        <v>6.3636363636363642</v>
      </c>
      <c r="F51" s="48">
        <v>8.7272727272727284</v>
      </c>
      <c r="G51" s="48">
        <v>11.272727272727273</v>
      </c>
      <c r="H51" s="48">
        <v>12.727272727272728</v>
      </c>
      <c r="I51" s="48">
        <v>13.818181818181818</v>
      </c>
      <c r="J51" s="48">
        <v>14.181818181818183</v>
      </c>
      <c r="K51" s="48">
        <v>14.363636363636363</v>
      </c>
      <c r="L51" s="48">
        <v>14.545454545454545</v>
      </c>
      <c r="M51" s="48">
        <v>14.545454545454545</v>
      </c>
      <c r="N51" s="48">
        <v>14.727272727272728</v>
      </c>
      <c r="O51" s="48">
        <v>14.727272727272728</v>
      </c>
      <c r="P51" s="54">
        <v>14.909090909090908</v>
      </c>
      <c r="Q51" s="48">
        <v>5.454545454545455</v>
      </c>
      <c r="R51" s="48">
        <v>5.2727272727272725</v>
      </c>
      <c r="S51" s="48">
        <v>6.1818181818181817</v>
      </c>
      <c r="T51" s="48">
        <v>7.4545454545454541</v>
      </c>
      <c r="U51" s="48">
        <v>7.6363636363636367</v>
      </c>
      <c r="V51" s="48">
        <v>7.6363636363636367</v>
      </c>
      <c r="W51" s="48">
        <v>7.4545454545454541</v>
      </c>
      <c r="X51" s="48">
        <v>5.8181818181818175</v>
      </c>
      <c r="Y51" s="48">
        <v>3.8181818181818183</v>
      </c>
      <c r="Z51" s="48">
        <v>2.9090909090909087</v>
      </c>
      <c r="AA51" s="48">
        <v>2</v>
      </c>
      <c r="AB51" s="48">
        <v>1.2727272727272727</v>
      </c>
      <c r="AC51" s="54">
        <v>1.4545454545454544</v>
      </c>
    </row>
    <row r="52" spans="2:29" x14ac:dyDescent="0.2">
      <c r="B52" s="55" t="s">
        <v>34</v>
      </c>
      <c r="C52" s="55">
        <v>6100</v>
      </c>
      <c r="D52" s="48">
        <v>9.8360655737704921</v>
      </c>
      <c r="E52" s="48">
        <v>12.295081967213115</v>
      </c>
      <c r="F52" s="48">
        <v>14.426229508196721</v>
      </c>
      <c r="G52" s="48">
        <v>16.721311475409834</v>
      </c>
      <c r="H52" s="48">
        <v>18.032786885245901</v>
      </c>
      <c r="I52" s="48">
        <v>19.016393442622952</v>
      </c>
      <c r="J52" s="48">
        <v>19.344262295081968</v>
      </c>
      <c r="K52" s="48">
        <v>19.508196721311474</v>
      </c>
      <c r="L52" s="48">
        <v>19.672131147540984</v>
      </c>
      <c r="M52" s="48">
        <v>19.672131147540984</v>
      </c>
      <c r="N52" s="48">
        <v>19.836065573770494</v>
      </c>
      <c r="O52" s="48">
        <v>20.16393442622951</v>
      </c>
      <c r="P52" s="54">
        <v>20.16393442622951</v>
      </c>
      <c r="Q52" s="48">
        <v>9.8360655737704921</v>
      </c>
      <c r="R52" s="48">
        <v>11.311475409836065</v>
      </c>
      <c r="S52" s="48">
        <v>12.131147540983607</v>
      </c>
      <c r="T52" s="48">
        <v>13.278688524590164</v>
      </c>
      <c r="U52" s="48">
        <v>13.442622950819672</v>
      </c>
      <c r="V52" s="48">
        <v>13.442622950819672</v>
      </c>
      <c r="W52" s="48">
        <v>12.950819672131148</v>
      </c>
      <c r="X52" s="48">
        <v>11.475409836065573</v>
      </c>
      <c r="Y52" s="48">
        <v>9.6721311475409841</v>
      </c>
      <c r="Z52" s="48">
        <v>7.2131147540983607</v>
      </c>
      <c r="AA52" s="48">
        <v>4.7540983606557381</v>
      </c>
      <c r="AB52" s="48">
        <v>3.9344262295081966</v>
      </c>
      <c r="AC52" s="54">
        <v>3.9344262295081966</v>
      </c>
    </row>
    <row r="53" spans="2:29" x14ac:dyDescent="0.2">
      <c r="B53" s="55" t="s">
        <v>48</v>
      </c>
      <c r="C53" s="55"/>
      <c r="D53" s="57">
        <f>AVERAGE(D46:D52)</f>
        <v>7.021622919995524</v>
      </c>
      <c r="E53" s="57">
        <f t="shared" ref="E53:AC53" si="3">AVERAGE(E46:E52)</f>
        <v>7.8607747501229097</v>
      </c>
      <c r="F53" s="57">
        <f t="shared" si="3"/>
        <v>8.996508451653316</v>
      </c>
      <c r="G53" s="57">
        <f t="shared" si="3"/>
        <v>10.272527744095912</v>
      </c>
      <c r="H53" s="57">
        <f t="shared" si="3"/>
        <v>11.060137161868399</v>
      </c>
      <c r="I53" s="57">
        <f t="shared" si="3"/>
        <v>11.775107941432953</v>
      </c>
      <c r="J53" s="57">
        <f t="shared" si="3"/>
        <v>12.096819792993005</v>
      </c>
      <c r="K53" s="57">
        <f t="shared" si="3"/>
        <v>12.447743768928317</v>
      </c>
      <c r="L53" s="57">
        <f t="shared" si="3"/>
        <v>12.602941263145128</v>
      </c>
      <c r="M53" s="57">
        <f t="shared" si="3"/>
        <v>12.602941263145128</v>
      </c>
      <c r="N53" s="57">
        <f t="shared" si="3"/>
        <v>12.795643914321024</v>
      </c>
      <c r="O53" s="57">
        <f t="shared" si="3"/>
        <v>12.842482321815169</v>
      </c>
      <c r="P53" s="57">
        <f t="shared" si="3"/>
        <v>12.905961504748278</v>
      </c>
      <c r="Q53" s="57">
        <f t="shared" si="3"/>
        <v>7.021622919995524</v>
      </c>
      <c r="R53" s="57">
        <f t="shared" si="3"/>
        <v>6.515503095132182</v>
      </c>
      <c r="S53" s="57">
        <f t="shared" si="3"/>
        <v>6.4840915703495652</v>
      </c>
      <c r="T53" s="57">
        <f t="shared" si="3"/>
        <v>6.7471525141292572</v>
      </c>
      <c r="U53" s="57">
        <f t="shared" si="3"/>
        <v>6.5212437640671892</v>
      </c>
      <c r="V53" s="57">
        <f t="shared" si="3"/>
        <v>6.1519332568895981</v>
      </c>
      <c r="W53" s="57">
        <f t="shared" si="3"/>
        <v>5.4254007442481811</v>
      </c>
      <c r="X53" s="57">
        <f t="shared" si="3"/>
        <v>4.1966894556861876</v>
      </c>
      <c r="Y53" s="57">
        <f t="shared" si="3"/>
        <v>2.8636001396437587</v>
      </c>
      <c r="Z53" s="57">
        <f t="shared" si="3"/>
        <v>1.8564805573688723</v>
      </c>
      <c r="AA53" s="57">
        <f t="shared" si="3"/>
        <v>1.194507792878776</v>
      </c>
      <c r="AB53" s="57">
        <f t="shared" si="3"/>
        <v>0.84148263932054668</v>
      </c>
      <c r="AC53" s="57">
        <f t="shared" si="3"/>
        <v>0.86745666529457266</v>
      </c>
    </row>
    <row r="55" spans="2:29" x14ac:dyDescent="0.2"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</row>
    <row r="57" spans="2:29" x14ac:dyDescent="0.2">
      <c r="B57" s="114" t="s">
        <v>44</v>
      </c>
      <c r="C57" s="115" t="s">
        <v>43</v>
      </c>
      <c r="D57" s="115"/>
      <c r="E57" s="115"/>
      <c r="F57" s="115"/>
      <c r="G57" s="115" t="s">
        <v>42</v>
      </c>
      <c r="H57" s="115"/>
      <c r="I57" s="115"/>
      <c r="J57" s="115"/>
    </row>
    <row r="58" spans="2:29" x14ac:dyDescent="0.2">
      <c r="B58" s="114"/>
      <c r="C58" s="117" t="s">
        <v>63</v>
      </c>
      <c r="D58" s="117"/>
      <c r="E58" s="117" t="s">
        <v>40</v>
      </c>
      <c r="F58" s="117"/>
      <c r="G58" s="117" t="s">
        <v>63</v>
      </c>
      <c r="H58" s="117"/>
      <c r="I58" s="117" t="s">
        <v>40</v>
      </c>
      <c r="J58" s="117"/>
    </row>
    <row r="59" spans="2:29" ht="63.75" x14ac:dyDescent="0.2">
      <c r="B59" s="114"/>
      <c r="C59" s="36" t="s">
        <v>49</v>
      </c>
      <c r="D59" s="36" t="s">
        <v>50</v>
      </c>
      <c r="E59" s="36" t="s">
        <v>49</v>
      </c>
      <c r="F59" s="36" t="s">
        <v>50</v>
      </c>
      <c r="G59" s="36" t="s">
        <v>49</v>
      </c>
      <c r="H59" s="36" t="s">
        <v>50</v>
      </c>
      <c r="I59" s="36" t="s">
        <v>49</v>
      </c>
      <c r="J59" s="36" t="s">
        <v>50</v>
      </c>
    </row>
    <row r="60" spans="2:29" x14ac:dyDescent="0.2">
      <c r="B60" s="62">
        <v>0</v>
      </c>
      <c r="C60" s="69">
        <v>12.816944384319953</v>
      </c>
      <c r="D60" s="71">
        <v>12.816944384319953</v>
      </c>
      <c r="E60" s="70">
        <v>7.949526816967202</v>
      </c>
      <c r="F60" s="71">
        <v>7.949526816967202</v>
      </c>
      <c r="G60" s="70">
        <v>7.768940152975655</v>
      </c>
      <c r="H60" s="71">
        <v>7.768940152975655</v>
      </c>
      <c r="I60" s="70">
        <v>7.021622919995524</v>
      </c>
      <c r="J60" s="71">
        <v>7.021622919995524</v>
      </c>
      <c r="K60" s="25"/>
      <c r="L60" s="25"/>
      <c r="M60" s="25"/>
      <c r="N60" s="25"/>
      <c r="O60" s="25"/>
      <c r="P60" s="25"/>
      <c r="Q60" s="25"/>
    </row>
    <row r="61" spans="2:29" x14ac:dyDescent="0.2">
      <c r="B61" s="62">
        <v>1</v>
      </c>
      <c r="C61" s="72">
        <v>14.14771193791367</v>
      </c>
      <c r="D61" s="74">
        <v>12.32077608660116</v>
      </c>
      <c r="E61" s="73">
        <v>9.0034600228651946</v>
      </c>
      <c r="F61" s="74">
        <v>7.7900159763488812</v>
      </c>
      <c r="G61" s="73">
        <v>8.9917725525989951</v>
      </c>
      <c r="H61" s="74">
        <v>7.9850048165329159</v>
      </c>
      <c r="I61" s="73">
        <v>7.8607747501229097</v>
      </c>
      <c r="J61" s="74">
        <v>6.515503095132182</v>
      </c>
      <c r="K61" s="25"/>
      <c r="L61" s="25"/>
      <c r="M61" s="25"/>
      <c r="N61" s="25"/>
      <c r="O61" s="25"/>
      <c r="P61" s="25"/>
      <c r="Q61" s="25"/>
    </row>
    <row r="62" spans="2:29" x14ac:dyDescent="0.2">
      <c r="B62" s="62">
        <v>2</v>
      </c>
      <c r="C62" s="72">
        <v>16.116454579879253</v>
      </c>
      <c r="D62" s="74">
        <v>12.555042309040218</v>
      </c>
      <c r="E62" s="73">
        <v>10.118469608290383</v>
      </c>
      <c r="F62" s="74">
        <v>7.4949641105209075</v>
      </c>
      <c r="G62" s="73">
        <v>11.085752865432722</v>
      </c>
      <c r="H62" s="74">
        <v>8.4189174709092018</v>
      </c>
      <c r="I62" s="73">
        <v>8.996508451653316</v>
      </c>
      <c r="J62" s="74">
        <v>6.4840915703495652</v>
      </c>
      <c r="K62" s="25"/>
      <c r="L62" s="25"/>
      <c r="M62" s="25"/>
      <c r="N62" s="25"/>
      <c r="O62" s="25"/>
      <c r="P62" s="25"/>
      <c r="Q62" s="25"/>
    </row>
    <row r="63" spans="2:29" x14ac:dyDescent="0.2">
      <c r="B63" s="62">
        <v>3</v>
      </c>
      <c r="C63" s="72">
        <v>17.385634357014684</v>
      </c>
      <c r="D63" s="74">
        <v>11.700629287921156</v>
      </c>
      <c r="E63" s="73">
        <v>11.092298876892055</v>
      </c>
      <c r="F63" s="74">
        <v>7.4491424425999639</v>
      </c>
      <c r="G63" s="73">
        <v>11.101078960078564</v>
      </c>
      <c r="H63" s="74">
        <v>8.603490148305724</v>
      </c>
      <c r="I63" s="73">
        <v>10.272527744095912</v>
      </c>
      <c r="J63" s="74">
        <v>6.7471525141292572</v>
      </c>
      <c r="K63" s="25"/>
      <c r="L63" s="25"/>
      <c r="M63" s="25"/>
      <c r="N63" s="25"/>
      <c r="O63" s="25"/>
      <c r="P63" s="25"/>
      <c r="Q63" s="25"/>
    </row>
    <row r="64" spans="2:29" x14ac:dyDescent="0.2">
      <c r="B64" s="62">
        <v>4</v>
      </c>
      <c r="C64" s="72">
        <v>18.079322005865414</v>
      </c>
      <c r="D64" s="74">
        <v>10.685120957318821</v>
      </c>
      <c r="E64" s="73">
        <v>11.741683380725249</v>
      </c>
      <c r="F64" s="74">
        <v>7.0293564417645467</v>
      </c>
      <c r="G64" s="73">
        <v>12.979958203597755</v>
      </c>
      <c r="H64" s="74">
        <v>8.1277228307524751</v>
      </c>
      <c r="I64" s="73">
        <v>11.060137161868399</v>
      </c>
      <c r="J64" s="74">
        <v>6.5212437640671892</v>
      </c>
      <c r="K64" s="25"/>
      <c r="L64" s="25"/>
      <c r="M64" s="25"/>
      <c r="N64" s="25"/>
      <c r="O64" s="25"/>
      <c r="P64" s="25"/>
      <c r="Q64" s="25"/>
    </row>
    <row r="65" spans="2:17" x14ac:dyDescent="0.2">
      <c r="B65" s="62">
        <v>5</v>
      </c>
      <c r="C65" s="72">
        <v>19.067246242564703</v>
      </c>
      <c r="D65" s="74">
        <v>10.44704704148659</v>
      </c>
      <c r="E65" s="73">
        <v>12.45581372477619</v>
      </c>
      <c r="F65" s="74">
        <v>6.6107254035678249</v>
      </c>
      <c r="G65" s="73">
        <v>13.3132759626624</v>
      </c>
      <c r="H65" s="74">
        <v>7.3529887540719505</v>
      </c>
      <c r="I65" s="73">
        <v>11.775107941432953</v>
      </c>
      <c r="J65" s="74">
        <v>6.1519332568895981</v>
      </c>
      <c r="K65" s="25"/>
      <c r="L65" s="25"/>
      <c r="M65" s="25"/>
      <c r="N65" s="25"/>
      <c r="O65" s="25"/>
      <c r="P65" s="25"/>
      <c r="Q65" s="25"/>
    </row>
    <row r="66" spans="2:17" x14ac:dyDescent="0.2">
      <c r="B66" s="62">
        <v>6</v>
      </c>
      <c r="C66" s="72">
        <v>19.627627799670091</v>
      </c>
      <c r="D66" s="74">
        <v>9.5176600186705702</v>
      </c>
      <c r="E66" s="73">
        <v>12.765058626859371</v>
      </c>
      <c r="F66" s="74">
        <v>5.766608466633917</v>
      </c>
      <c r="G66" s="73">
        <v>13.940402366768382</v>
      </c>
      <c r="H66" s="74">
        <v>6.9840869723809504</v>
      </c>
      <c r="I66" s="73">
        <v>12.096819792993005</v>
      </c>
      <c r="J66" s="74">
        <v>5.4254007442481811</v>
      </c>
      <c r="K66" s="25"/>
      <c r="L66" s="25"/>
      <c r="M66" s="25"/>
      <c r="N66" s="25"/>
      <c r="O66" s="25"/>
      <c r="P66" s="25"/>
      <c r="Q66" s="25"/>
    </row>
    <row r="67" spans="2:17" x14ac:dyDescent="0.2">
      <c r="B67" s="62">
        <v>7</v>
      </c>
      <c r="C67" s="72">
        <v>20.339568091160992</v>
      </c>
      <c r="D67" s="74">
        <v>8.0843097083216016</v>
      </c>
      <c r="E67" s="73">
        <v>13.265167353104975</v>
      </c>
      <c r="F67" s="74">
        <v>4.5401035605467346</v>
      </c>
      <c r="G67" s="73">
        <v>14.434936531767953</v>
      </c>
      <c r="H67" s="74">
        <v>6.1053170895343598</v>
      </c>
      <c r="I67" s="73">
        <v>12.447743768928317</v>
      </c>
      <c r="J67" s="74">
        <v>4.1966894556861876</v>
      </c>
      <c r="K67" s="25"/>
      <c r="L67" s="25"/>
      <c r="M67" s="25"/>
      <c r="N67" s="25"/>
      <c r="O67" s="25"/>
      <c r="P67" s="25"/>
      <c r="Q67" s="25"/>
    </row>
    <row r="68" spans="2:17" x14ac:dyDescent="0.2">
      <c r="B68" s="62">
        <v>8</v>
      </c>
      <c r="C68" s="72">
        <v>20.525463374039031</v>
      </c>
      <c r="D68" s="74">
        <v>5.2846875745036312</v>
      </c>
      <c r="E68" s="73">
        <v>13.412971144242253</v>
      </c>
      <c r="F68" s="74">
        <v>2.9459825274674873</v>
      </c>
      <c r="G68" s="73">
        <v>14.605757438269395</v>
      </c>
      <c r="H68" s="74">
        <v>4.6325695451008846</v>
      </c>
      <c r="I68" s="73">
        <v>12.602941263145128</v>
      </c>
      <c r="J68" s="74">
        <v>2.8636001396437587</v>
      </c>
      <c r="K68" s="25"/>
      <c r="L68" s="25"/>
      <c r="M68" s="25"/>
      <c r="N68" s="25"/>
      <c r="O68" s="25"/>
      <c r="P68" s="25"/>
      <c r="Q68" s="25"/>
    </row>
    <row r="69" spans="2:17" x14ac:dyDescent="0.2">
      <c r="B69" s="62">
        <v>9</v>
      </c>
      <c r="C69" s="72">
        <v>20.525463374039031</v>
      </c>
      <c r="D69" s="74">
        <v>3.8807519692935872</v>
      </c>
      <c r="E69" s="73">
        <v>13.412971144242253</v>
      </c>
      <c r="F69" s="74">
        <v>1.8442568155490957</v>
      </c>
      <c r="G69" s="73">
        <v>14.605757438269395</v>
      </c>
      <c r="H69" s="74">
        <v>3.8711365122830177</v>
      </c>
      <c r="I69" s="73">
        <v>12.602941263145128</v>
      </c>
      <c r="J69" s="74">
        <v>1.8564805573688723</v>
      </c>
      <c r="K69" s="25"/>
      <c r="L69" s="25"/>
      <c r="M69" s="25"/>
      <c r="N69" s="25"/>
      <c r="O69" s="25"/>
      <c r="P69" s="25"/>
      <c r="Q69" s="25"/>
    </row>
    <row r="70" spans="2:17" x14ac:dyDescent="0.2">
      <c r="B70" s="62">
        <v>10</v>
      </c>
      <c r="C70" s="72">
        <v>20.758697222531197</v>
      </c>
      <c r="D70" s="74">
        <v>2.4590318112380132</v>
      </c>
      <c r="E70" s="73">
        <v>13.615987208262307</v>
      </c>
      <c r="F70" s="74">
        <v>1.1458320330198739</v>
      </c>
      <c r="G70" s="73">
        <v>14.782034693977186</v>
      </c>
      <c r="H70" s="74">
        <v>3.1981532257743179</v>
      </c>
      <c r="I70" s="73">
        <v>12.795643914321024</v>
      </c>
      <c r="J70" s="74">
        <v>1.194507792878776</v>
      </c>
      <c r="K70" s="25"/>
      <c r="L70" s="25"/>
      <c r="M70" s="25"/>
      <c r="N70" s="25"/>
      <c r="O70" s="25"/>
      <c r="P70" s="25"/>
      <c r="Q70" s="25"/>
    </row>
    <row r="71" spans="2:17" x14ac:dyDescent="0.2">
      <c r="B71" s="62">
        <v>11</v>
      </c>
      <c r="C71" s="72">
        <v>20.801025264859241</v>
      </c>
      <c r="D71" s="74">
        <v>1.5569489846901703</v>
      </c>
      <c r="E71" s="73">
        <v>13.666676583769201</v>
      </c>
      <c r="F71" s="74">
        <v>0.82011182576851982</v>
      </c>
      <c r="G71" s="73">
        <v>14.837590249532742</v>
      </c>
      <c r="H71" s="74">
        <v>2.4084734227224223</v>
      </c>
      <c r="I71" s="73">
        <v>12.842482321815169</v>
      </c>
      <c r="J71" s="74">
        <v>0.84148263932054668</v>
      </c>
      <c r="K71" s="25"/>
      <c r="L71" s="25"/>
      <c r="M71" s="25"/>
      <c r="N71" s="25"/>
      <c r="O71" s="25"/>
      <c r="P71" s="25"/>
      <c r="Q71" s="25"/>
    </row>
    <row r="72" spans="2:17" x14ac:dyDescent="0.2">
      <c r="B72" s="62">
        <v>12</v>
      </c>
      <c r="C72" s="75">
        <v>20.942277690594427</v>
      </c>
      <c r="D72" s="77">
        <v>1.6657338779578221</v>
      </c>
      <c r="E72" s="76">
        <v>13.745858175923312</v>
      </c>
      <c r="F72" s="77">
        <v>0.82011182576851982</v>
      </c>
      <c r="G72" s="76">
        <v>14.898262764152626</v>
      </c>
      <c r="H72" s="77">
        <v>2.4362512005001999</v>
      </c>
      <c r="I72" s="76">
        <v>12.905961504748278</v>
      </c>
      <c r="J72" s="77">
        <v>0.86745666529457266</v>
      </c>
      <c r="K72" s="25"/>
      <c r="L72" s="25"/>
      <c r="M72" s="25"/>
      <c r="N72" s="25"/>
      <c r="O72" s="25"/>
      <c r="P72" s="25"/>
      <c r="Q72" s="25"/>
    </row>
  </sheetData>
  <mergeCells count="19">
    <mergeCell ref="B57:B59"/>
    <mergeCell ref="B29:AC29"/>
    <mergeCell ref="B30:P30"/>
    <mergeCell ref="Q30:AC30"/>
    <mergeCell ref="B3:AC3"/>
    <mergeCell ref="B4:P4"/>
    <mergeCell ref="Q4:AC4"/>
    <mergeCell ref="C58:D58"/>
    <mergeCell ref="E58:F58"/>
    <mergeCell ref="G58:H58"/>
    <mergeCell ref="I58:J58"/>
    <mergeCell ref="C57:F57"/>
    <mergeCell ref="G57:J57"/>
    <mergeCell ref="B15:AC15"/>
    <mergeCell ref="B16:P16"/>
    <mergeCell ref="Q16:AC16"/>
    <mergeCell ref="B43:AC43"/>
    <mergeCell ref="B44:P44"/>
    <mergeCell ref="Q44:AC4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8461-2F6D-46A2-A4BB-D694BDB92656}">
  <dimension ref="B3:R31"/>
  <sheetViews>
    <sheetView zoomScale="70" zoomScaleNormal="70" workbookViewId="0">
      <selection activeCell="T28" sqref="T28"/>
    </sheetView>
  </sheetViews>
  <sheetFormatPr defaultRowHeight="12.75" x14ac:dyDescent="0.2"/>
  <cols>
    <col min="3" max="3" width="7.7109375" customWidth="1"/>
    <col min="4" max="4" width="8" customWidth="1"/>
    <col min="5" max="5" width="7.7109375" bestFit="1" customWidth="1"/>
  </cols>
  <sheetData>
    <row r="3" spans="2:18" x14ac:dyDescent="0.2">
      <c r="B3" s="87"/>
      <c r="C3" s="87"/>
      <c r="D3" s="87"/>
      <c r="E3" s="87"/>
      <c r="F3" s="86" t="s">
        <v>48</v>
      </c>
      <c r="G3" s="87"/>
      <c r="H3" s="87"/>
      <c r="I3" s="87"/>
      <c r="J3" s="87"/>
      <c r="K3" s="87"/>
      <c r="L3" s="86" t="s">
        <v>48</v>
      </c>
      <c r="M3" s="87"/>
      <c r="N3" s="87"/>
      <c r="O3" s="87"/>
      <c r="P3" s="87"/>
      <c r="Q3" s="87"/>
      <c r="R3" s="86" t="s">
        <v>48</v>
      </c>
    </row>
    <row r="4" spans="2:18" x14ac:dyDescent="0.2">
      <c r="B4" s="127" t="s">
        <v>64</v>
      </c>
      <c r="C4" s="88" t="s">
        <v>5</v>
      </c>
      <c r="D4" s="88" t="s">
        <v>8</v>
      </c>
      <c r="E4" s="89" t="s">
        <v>7</v>
      </c>
      <c r="F4" s="90"/>
      <c r="G4" s="87"/>
      <c r="H4" s="127" t="s">
        <v>65</v>
      </c>
      <c r="I4" s="88" t="s">
        <v>19</v>
      </c>
      <c r="J4" s="88" t="s">
        <v>20</v>
      </c>
      <c r="K4" s="89" t="s">
        <v>21</v>
      </c>
      <c r="L4" s="90"/>
      <c r="M4" s="87"/>
      <c r="N4" s="127" t="s">
        <v>66</v>
      </c>
      <c r="O4" s="88" t="s">
        <v>28</v>
      </c>
      <c r="P4" s="88" t="s">
        <v>29</v>
      </c>
      <c r="Q4" s="89" t="s">
        <v>30</v>
      </c>
      <c r="R4" s="90"/>
    </row>
    <row r="5" spans="2:18" x14ac:dyDescent="0.2">
      <c r="B5" s="128"/>
      <c r="C5" s="91">
        <v>72</v>
      </c>
      <c r="D5" s="92">
        <v>69</v>
      </c>
      <c r="E5" s="93">
        <v>63</v>
      </c>
      <c r="F5" s="94">
        <f>AVERAGE(C5:E5)</f>
        <v>68</v>
      </c>
      <c r="G5" s="87"/>
      <c r="H5" s="128"/>
      <c r="I5" s="91">
        <v>61</v>
      </c>
      <c r="J5" s="95">
        <v>49</v>
      </c>
      <c r="K5" s="96">
        <v>59</v>
      </c>
      <c r="L5" s="94">
        <f>AVERAGE(I5:K5)</f>
        <v>56.333333333333336</v>
      </c>
      <c r="M5" s="87"/>
      <c r="N5" s="128"/>
      <c r="O5" s="92">
        <v>90</v>
      </c>
      <c r="P5" s="91">
        <v>91</v>
      </c>
      <c r="Q5" s="93">
        <v>82</v>
      </c>
      <c r="R5" s="94">
        <f>AVERAGE(O5:Q5)</f>
        <v>87.666666666666671</v>
      </c>
    </row>
    <row r="6" spans="2:18" x14ac:dyDescent="0.2">
      <c r="B6" s="87"/>
      <c r="C6" s="87"/>
      <c r="D6" s="87"/>
      <c r="E6" s="87"/>
      <c r="F6" s="90"/>
      <c r="G6" s="87"/>
      <c r="H6" s="87"/>
      <c r="I6" s="87"/>
      <c r="J6" s="87"/>
      <c r="K6" s="87"/>
      <c r="L6" s="90"/>
      <c r="M6" s="87"/>
      <c r="N6" s="87"/>
      <c r="O6" s="87"/>
      <c r="P6" s="87"/>
      <c r="Q6" s="87"/>
      <c r="R6" s="90"/>
    </row>
    <row r="7" spans="2:18" x14ac:dyDescent="0.2">
      <c r="B7" s="127" t="s">
        <v>67</v>
      </c>
      <c r="C7" s="88" t="s">
        <v>9</v>
      </c>
      <c r="D7" s="88" t="s">
        <v>10</v>
      </c>
      <c r="E7" s="87"/>
      <c r="F7" s="90"/>
      <c r="G7" s="87"/>
      <c r="H7" s="127" t="s">
        <v>68</v>
      </c>
      <c r="I7" s="88" t="s">
        <v>6</v>
      </c>
      <c r="J7" s="88" t="s">
        <v>22</v>
      </c>
      <c r="K7" s="87"/>
      <c r="L7" s="90"/>
      <c r="M7" s="87"/>
      <c r="N7" s="127" t="s">
        <v>69</v>
      </c>
      <c r="O7" s="88" t="s">
        <v>31</v>
      </c>
      <c r="P7" s="88" t="s">
        <v>32</v>
      </c>
      <c r="Q7" s="87"/>
      <c r="R7" s="90"/>
    </row>
    <row r="8" spans="2:18" x14ac:dyDescent="0.2">
      <c r="B8" s="128"/>
      <c r="C8" s="95">
        <v>53</v>
      </c>
      <c r="D8" s="91">
        <v>82</v>
      </c>
      <c r="E8" s="87"/>
      <c r="F8" s="94">
        <f>AVERAGE(C8:D8)</f>
        <v>67.5</v>
      </c>
      <c r="G8" s="87"/>
      <c r="H8" s="128"/>
      <c r="I8" s="95">
        <v>49</v>
      </c>
      <c r="J8" s="91">
        <v>63</v>
      </c>
      <c r="K8" s="87"/>
      <c r="L8" s="94">
        <f>AVERAGE(I8:J8)</f>
        <v>56</v>
      </c>
      <c r="M8" s="87"/>
      <c r="N8" s="128"/>
      <c r="O8" s="95">
        <v>71</v>
      </c>
      <c r="P8" s="91">
        <v>87</v>
      </c>
      <c r="Q8" s="87"/>
      <c r="R8" s="94">
        <f>AVERAGE(O8:P8)</f>
        <v>79</v>
      </c>
    </row>
    <row r="9" spans="2:18" x14ac:dyDescent="0.2">
      <c r="B9" s="87"/>
      <c r="C9" s="87"/>
      <c r="D9" s="87"/>
      <c r="E9" s="87"/>
      <c r="F9" s="90"/>
      <c r="G9" s="87"/>
      <c r="H9" s="87"/>
      <c r="I9" s="87"/>
      <c r="J9" s="87"/>
      <c r="K9" s="87"/>
      <c r="L9" s="90"/>
      <c r="M9" s="87"/>
      <c r="N9" s="87"/>
      <c r="O9" s="87"/>
      <c r="P9" s="87"/>
      <c r="Q9" s="87"/>
      <c r="R9" s="90"/>
    </row>
    <row r="10" spans="2:18" x14ac:dyDescent="0.2">
      <c r="B10" s="127" t="s">
        <v>70</v>
      </c>
      <c r="C10" s="88" t="s">
        <v>11</v>
      </c>
      <c r="D10" s="88" t="s">
        <v>12</v>
      </c>
      <c r="E10" s="87"/>
      <c r="F10" s="90"/>
      <c r="G10" s="87"/>
      <c r="H10" s="127" t="s">
        <v>71</v>
      </c>
      <c r="I10" s="88" t="s">
        <v>23</v>
      </c>
      <c r="J10" s="88" t="s">
        <v>24</v>
      </c>
      <c r="K10" s="87"/>
      <c r="L10" s="90"/>
      <c r="M10" s="87"/>
      <c r="N10" s="127" t="s">
        <v>72</v>
      </c>
      <c r="O10" s="88" t="s">
        <v>33</v>
      </c>
      <c r="P10" s="88" t="s">
        <v>34</v>
      </c>
      <c r="Q10" s="87"/>
      <c r="R10" s="90"/>
    </row>
    <row r="11" spans="2:18" x14ac:dyDescent="0.2">
      <c r="B11" s="128"/>
      <c r="C11" s="91">
        <v>86</v>
      </c>
      <c r="D11" s="95">
        <v>66</v>
      </c>
      <c r="E11" s="87"/>
      <c r="F11" s="94">
        <f>AVERAGE(C11:D11)</f>
        <v>76</v>
      </c>
      <c r="G11" s="87"/>
      <c r="H11" s="128"/>
      <c r="I11" s="95">
        <v>53</v>
      </c>
      <c r="J11" s="91">
        <v>58</v>
      </c>
      <c r="K11" s="87"/>
      <c r="L11" s="94">
        <f>AVERAGE(I11:J11)</f>
        <v>55.5</v>
      </c>
      <c r="M11" s="87"/>
      <c r="N11" s="128"/>
      <c r="O11" s="95">
        <v>97</v>
      </c>
      <c r="P11" s="91">
        <v>123</v>
      </c>
      <c r="Q11" s="87"/>
      <c r="R11" s="94">
        <f>AVERAGE(O11:P11)</f>
        <v>110</v>
      </c>
    </row>
    <row r="12" spans="2:18" x14ac:dyDescent="0.2">
      <c r="B12" s="87"/>
      <c r="C12" s="87"/>
      <c r="D12" s="87"/>
      <c r="E12" s="87"/>
      <c r="F12" s="90"/>
      <c r="G12" s="87"/>
      <c r="H12" s="87"/>
      <c r="I12" s="87"/>
      <c r="J12" s="87"/>
      <c r="K12" s="87"/>
      <c r="L12" s="90"/>
      <c r="M12" s="87"/>
      <c r="N12" s="87"/>
      <c r="O12" s="87"/>
      <c r="P12" s="87"/>
      <c r="Q12" s="87"/>
      <c r="R12" s="90"/>
    </row>
    <row r="13" spans="2:18" x14ac:dyDescent="0.2">
      <c r="B13" s="127" t="s">
        <v>73</v>
      </c>
      <c r="C13" s="88" t="s">
        <v>13</v>
      </c>
      <c r="D13" s="88" t="s">
        <v>15</v>
      </c>
      <c r="E13" s="89" t="s">
        <v>16</v>
      </c>
      <c r="F13" s="90"/>
      <c r="G13" s="87"/>
      <c r="H13" s="127" t="s">
        <v>74</v>
      </c>
      <c r="I13" s="88" t="s">
        <v>25</v>
      </c>
      <c r="J13" s="88" t="s">
        <v>26</v>
      </c>
      <c r="K13" s="89" t="s">
        <v>27</v>
      </c>
      <c r="L13" s="90"/>
      <c r="M13" s="87"/>
      <c r="N13" s="127" t="s">
        <v>75</v>
      </c>
      <c r="O13" s="88" t="s">
        <v>35</v>
      </c>
      <c r="P13" s="88" t="s">
        <v>36</v>
      </c>
      <c r="Q13" s="89" t="s">
        <v>37</v>
      </c>
      <c r="R13" s="90"/>
    </row>
    <row r="14" spans="2:18" x14ac:dyDescent="0.2">
      <c r="B14" s="128"/>
      <c r="C14" s="97">
        <v>64</v>
      </c>
      <c r="D14" s="95">
        <v>60</v>
      </c>
      <c r="E14" s="96">
        <v>63</v>
      </c>
      <c r="F14" s="94">
        <f>AVERAGE(C14:E14)</f>
        <v>62.333333333333336</v>
      </c>
      <c r="G14" s="87"/>
      <c r="H14" s="128"/>
      <c r="I14" s="92">
        <v>49</v>
      </c>
      <c r="J14" s="91">
        <v>54</v>
      </c>
      <c r="K14" s="93">
        <v>45</v>
      </c>
      <c r="L14" s="94">
        <f>AVERAGE(I14:K14)</f>
        <v>49.333333333333336</v>
      </c>
      <c r="M14" s="87"/>
      <c r="N14" s="128"/>
      <c r="O14" s="92">
        <v>102</v>
      </c>
      <c r="P14" s="95">
        <v>101</v>
      </c>
      <c r="Q14" s="98">
        <v>126</v>
      </c>
      <c r="R14" s="94">
        <f>AVERAGE(O14:Q14)</f>
        <v>109.66666666666667</v>
      </c>
    </row>
    <row r="17" spans="2:5" x14ac:dyDescent="0.2">
      <c r="B17" s="129" t="s">
        <v>76</v>
      </c>
      <c r="C17" s="131" t="s">
        <v>77</v>
      </c>
      <c r="D17" s="131" t="s">
        <v>78</v>
      </c>
      <c r="E17" s="126" t="s">
        <v>48</v>
      </c>
    </row>
    <row r="18" spans="2:5" x14ac:dyDescent="0.2">
      <c r="B18" s="130"/>
      <c r="C18" s="131"/>
      <c r="D18" s="131"/>
      <c r="E18" s="126"/>
    </row>
    <row r="19" spans="2:5" x14ac:dyDescent="0.2">
      <c r="B19" s="47" t="s">
        <v>64</v>
      </c>
      <c r="C19" s="99">
        <v>72</v>
      </c>
      <c r="D19" s="100">
        <v>63</v>
      </c>
      <c r="E19" s="101">
        <v>68</v>
      </c>
    </row>
    <row r="20" spans="2:5" x14ac:dyDescent="0.2">
      <c r="B20" s="102" t="s">
        <v>67</v>
      </c>
      <c r="C20" s="99">
        <v>82</v>
      </c>
      <c r="D20" s="103">
        <v>53</v>
      </c>
      <c r="E20" s="101">
        <v>67.5</v>
      </c>
    </row>
    <row r="21" spans="2:5" x14ac:dyDescent="0.2">
      <c r="B21" s="102" t="s">
        <v>70</v>
      </c>
      <c r="C21" s="99">
        <v>86</v>
      </c>
      <c r="D21" s="103">
        <v>66</v>
      </c>
      <c r="E21" s="101">
        <v>76</v>
      </c>
    </row>
    <row r="22" spans="2:5" x14ac:dyDescent="0.2">
      <c r="B22" s="102" t="s">
        <v>73</v>
      </c>
      <c r="C22" s="104">
        <v>64</v>
      </c>
      <c r="D22" s="103">
        <v>60</v>
      </c>
      <c r="E22" s="101">
        <v>62.333333333333336</v>
      </c>
    </row>
    <row r="23" spans="2:5" x14ac:dyDescent="0.2">
      <c r="B23" s="102" t="s">
        <v>65</v>
      </c>
      <c r="C23" s="99">
        <v>61</v>
      </c>
      <c r="D23" s="103">
        <v>49</v>
      </c>
      <c r="E23" s="101">
        <v>56.333333333333336</v>
      </c>
    </row>
    <row r="24" spans="2:5" x14ac:dyDescent="0.2">
      <c r="B24" s="102" t="s">
        <v>68</v>
      </c>
      <c r="C24" s="99">
        <v>63</v>
      </c>
      <c r="D24" s="103">
        <v>49</v>
      </c>
      <c r="E24" s="101">
        <v>56</v>
      </c>
    </row>
    <row r="25" spans="2:5" x14ac:dyDescent="0.2">
      <c r="B25" s="102" t="s">
        <v>71</v>
      </c>
      <c r="C25" s="99">
        <v>58</v>
      </c>
      <c r="D25" s="103">
        <v>53</v>
      </c>
      <c r="E25" s="101">
        <v>55.5</v>
      </c>
    </row>
    <row r="26" spans="2:5" x14ac:dyDescent="0.2">
      <c r="B26" s="102" t="s">
        <v>74</v>
      </c>
      <c r="C26" s="99">
        <v>54</v>
      </c>
      <c r="D26" s="100">
        <v>45</v>
      </c>
      <c r="E26" s="101">
        <v>49.333333333333336</v>
      </c>
    </row>
    <row r="27" spans="2:5" x14ac:dyDescent="0.2">
      <c r="B27" s="102" t="s">
        <v>66</v>
      </c>
      <c r="C27" s="99">
        <v>91</v>
      </c>
      <c r="D27" s="100">
        <v>82</v>
      </c>
      <c r="E27" s="101">
        <v>87.666666666666671</v>
      </c>
    </row>
    <row r="28" spans="2:5" x14ac:dyDescent="0.2">
      <c r="B28" s="105" t="s">
        <v>69</v>
      </c>
      <c r="C28" s="99">
        <v>87</v>
      </c>
      <c r="D28" s="103">
        <v>71</v>
      </c>
      <c r="E28" s="101">
        <v>79</v>
      </c>
    </row>
    <row r="29" spans="2:5" x14ac:dyDescent="0.2">
      <c r="B29" s="105" t="s">
        <v>72</v>
      </c>
      <c r="C29" s="99">
        <v>123</v>
      </c>
      <c r="D29" s="103">
        <v>97</v>
      </c>
      <c r="E29" s="101">
        <v>110</v>
      </c>
    </row>
    <row r="30" spans="2:5" x14ac:dyDescent="0.2">
      <c r="B30" s="105" t="s">
        <v>75</v>
      </c>
      <c r="C30" s="106">
        <v>126</v>
      </c>
      <c r="D30" s="103">
        <v>101</v>
      </c>
      <c r="E30" s="101">
        <v>109.666666666667</v>
      </c>
    </row>
    <row r="31" spans="2:5" x14ac:dyDescent="0.2">
      <c r="B31" s="107"/>
    </row>
  </sheetData>
  <mergeCells count="16">
    <mergeCell ref="B4:B5"/>
    <mergeCell ref="H4:H5"/>
    <mergeCell ref="N4:N5"/>
    <mergeCell ref="B7:B8"/>
    <mergeCell ref="H7:H8"/>
    <mergeCell ref="N7:N8"/>
    <mergeCell ref="E17:E18"/>
    <mergeCell ref="B10:B11"/>
    <mergeCell ref="H10:H11"/>
    <mergeCell ref="N10:N11"/>
    <mergeCell ref="B13:B14"/>
    <mergeCell ref="H13:H14"/>
    <mergeCell ref="N13:N14"/>
    <mergeCell ref="B17:B18"/>
    <mergeCell ref="C17:C18"/>
    <mergeCell ref="D17:D1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23FA-0A60-40B5-A0E9-69B372761083}">
  <dimension ref="B4:J17"/>
  <sheetViews>
    <sheetView tabSelected="1" workbookViewId="0">
      <selection activeCell="K6" sqref="K6"/>
    </sheetView>
  </sheetViews>
  <sheetFormatPr defaultColWidth="8.85546875" defaultRowHeight="12.75" x14ac:dyDescent="0.2"/>
  <cols>
    <col min="1" max="6" width="8.85546875" style="132"/>
    <col min="7" max="7" width="10.7109375" style="132" bestFit="1" customWidth="1"/>
    <col min="8" max="16384" width="8.85546875" style="132"/>
  </cols>
  <sheetData>
    <row r="4" spans="2:10" x14ac:dyDescent="0.2">
      <c r="C4" s="133"/>
      <c r="D4" s="133"/>
      <c r="E4" s="133"/>
    </row>
    <row r="5" spans="2:10" x14ac:dyDescent="0.2">
      <c r="B5" s="134" t="s">
        <v>79</v>
      </c>
      <c r="C5" s="135">
        <v>2015</v>
      </c>
      <c r="D5" s="135">
        <v>2016</v>
      </c>
      <c r="E5" s="135">
        <v>2017</v>
      </c>
    </row>
    <row r="6" spans="2:10" x14ac:dyDescent="0.2">
      <c r="B6" s="134" t="s">
        <v>80</v>
      </c>
      <c r="C6" s="136" t="s">
        <v>81</v>
      </c>
      <c r="D6" s="136" t="s">
        <v>82</v>
      </c>
      <c r="E6" s="136" t="s">
        <v>83</v>
      </c>
    </row>
    <row r="7" spans="2:10" x14ac:dyDescent="0.2">
      <c r="B7" s="137" t="s">
        <v>51</v>
      </c>
      <c r="C7" s="138">
        <v>72</v>
      </c>
      <c r="D7" s="138">
        <v>61</v>
      </c>
      <c r="E7" s="138">
        <v>90</v>
      </c>
      <c r="G7" s="134" t="s">
        <v>79</v>
      </c>
      <c r="H7" s="135">
        <v>2015</v>
      </c>
      <c r="I7" s="135">
        <v>2016</v>
      </c>
      <c r="J7" s="135">
        <v>2017</v>
      </c>
    </row>
    <row r="8" spans="2:10" x14ac:dyDescent="0.2">
      <c r="B8" s="137"/>
      <c r="C8" s="138">
        <v>69</v>
      </c>
      <c r="D8" s="138">
        <v>49</v>
      </c>
      <c r="E8" s="138">
        <v>91</v>
      </c>
      <c r="G8" s="134" t="s">
        <v>78</v>
      </c>
      <c r="H8" s="139">
        <v>53</v>
      </c>
      <c r="I8" s="139">
        <v>45</v>
      </c>
      <c r="J8" s="139">
        <v>71</v>
      </c>
    </row>
    <row r="9" spans="2:10" x14ac:dyDescent="0.2">
      <c r="B9" s="137"/>
      <c r="C9" s="138">
        <v>63</v>
      </c>
      <c r="D9" s="138">
        <v>59</v>
      </c>
      <c r="E9" s="138">
        <v>82</v>
      </c>
      <c r="G9" s="134" t="s">
        <v>77</v>
      </c>
      <c r="H9" s="140">
        <v>86</v>
      </c>
      <c r="I9" s="140">
        <v>63</v>
      </c>
      <c r="J9" s="140">
        <v>126</v>
      </c>
    </row>
    <row r="10" spans="2:10" x14ac:dyDescent="0.2">
      <c r="B10" s="137"/>
      <c r="C10" s="139">
        <v>53</v>
      </c>
      <c r="D10" s="138">
        <v>49</v>
      </c>
      <c r="E10" s="139">
        <v>71</v>
      </c>
      <c r="G10" s="141" t="s">
        <v>48</v>
      </c>
      <c r="H10" s="142">
        <v>67.8</v>
      </c>
      <c r="I10" s="142">
        <v>54</v>
      </c>
      <c r="J10" s="142">
        <v>97</v>
      </c>
    </row>
    <row r="11" spans="2:10" x14ac:dyDescent="0.2">
      <c r="B11" s="137"/>
      <c r="C11" s="138">
        <v>82</v>
      </c>
      <c r="D11" s="140">
        <v>63</v>
      </c>
      <c r="E11" s="138">
        <v>87</v>
      </c>
    </row>
    <row r="12" spans="2:10" x14ac:dyDescent="0.2">
      <c r="B12" s="137"/>
      <c r="C12" s="140">
        <v>86</v>
      </c>
      <c r="D12" s="138">
        <v>53</v>
      </c>
      <c r="E12" s="138">
        <v>97</v>
      </c>
    </row>
    <row r="13" spans="2:10" x14ac:dyDescent="0.2">
      <c r="B13" s="137"/>
      <c r="C13" s="138">
        <v>66</v>
      </c>
      <c r="D13" s="138">
        <v>58</v>
      </c>
      <c r="E13" s="138">
        <v>123</v>
      </c>
    </row>
    <row r="14" spans="2:10" x14ac:dyDescent="0.2">
      <c r="B14" s="137"/>
      <c r="C14" s="143">
        <v>64</v>
      </c>
      <c r="D14" s="138">
        <v>49</v>
      </c>
      <c r="E14" s="138">
        <v>102</v>
      </c>
    </row>
    <row r="15" spans="2:10" x14ac:dyDescent="0.2">
      <c r="B15" s="137"/>
      <c r="C15" s="138">
        <v>60</v>
      </c>
      <c r="D15" s="138">
        <v>54</v>
      </c>
      <c r="E15" s="138">
        <v>101</v>
      </c>
    </row>
    <row r="16" spans="2:10" x14ac:dyDescent="0.2">
      <c r="B16" s="137"/>
      <c r="C16" s="138">
        <v>63</v>
      </c>
      <c r="D16" s="139">
        <v>45</v>
      </c>
      <c r="E16" s="140">
        <v>126</v>
      </c>
    </row>
    <row r="17" spans="2:5" x14ac:dyDescent="0.2">
      <c r="B17" s="142" t="s">
        <v>48</v>
      </c>
      <c r="C17" s="142">
        <f>AVERAGE(C7:C16)</f>
        <v>67.8</v>
      </c>
      <c r="D17" s="142">
        <f>AVERAGE(D7:D16)</f>
        <v>54</v>
      </c>
      <c r="E17" s="142">
        <f>AVERAGE(E7:E16)</f>
        <v>97</v>
      </c>
    </row>
  </sheetData>
  <mergeCells count="1">
    <mergeCell ref="B7:B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a4data</vt:lpstr>
      <vt:lpstr>Post Release Quality ZD</vt:lpstr>
      <vt:lpstr>Post-release Quality Average</vt:lpstr>
      <vt:lpstr>PRQ Avg Normalised by size</vt:lpstr>
      <vt:lpstr>PRQ by Development Process</vt:lpstr>
      <vt:lpstr>PQR by Programming Language</vt:lpstr>
      <vt:lpstr>PQR by Dev process &amp; Prog Lang</vt:lpstr>
      <vt:lpstr>PRQ History by Quarter</vt:lpstr>
      <vt:lpstr>PRQ History by Year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Frailey</dc:creator>
  <cp:lastModifiedBy>Ridhs Kothari</cp:lastModifiedBy>
  <cp:lastPrinted>2001-08-17T03:08:13Z</cp:lastPrinted>
  <dcterms:created xsi:type="dcterms:W3CDTF">2015-07-04T22:57:10Z</dcterms:created>
  <dcterms:modified xsi:type="dcterms:W3CDTF">2017-10-10T04:46:58Z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9dd785b0-6856-4887-ab24-638a2da95ad8</vt:lpwstr>
  </property>
</Properties>
</file>