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rmalaysia-my.sharepoint.com/personal/jaclyn_kellytay_central-sugars_com_my/Documents/Desktop/"/>
    </mc:Choice>
  </mc:AlternateContent>
  <xr:revisionPtr revIDLastSave="0" documentId="8_{9155ABE5-8D07-47E2-9DED-87CB31A258C7}" xr6:coauthVersionLast="45" xr6:coauthVersionMax="45" xr10:uidLastSave="{00000000-0000-0000-0000-000000000000}"/>
  <bookViews>
    <workbookView xWindow="-120" yWindow="-120" windowWidth="20730" windowHeight="11160" tabRatio="900" firstSheet="1" activeTab="5" xr2:uid="{00000000-000D-0000-FFFF-FFFF00000000}"/>
  </bookViews>
  <sheets>
    <sheet name="List" sheetId="1" state="hidden" r:id="rId1"/>
    <sheet name="Summary" sheetId="2" r:id="rId2"/>
    <sheet name="Summary (2)" sheetId="3" state="hidden" r:id="rId3"/>
    <sheet name="Graph" sheetId="4" r:id="rId4"/>
    <sheet name="Graph (2)" sheetId="5" state="hidden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Sheet1" sheetId="38" r:id="rId37"/>
    <sheet name="Sheet3" sheetId="37" state="hidden" r:id="rId38"/>
  </sheets>
  <definedNames>
    <definedName name="Affination">List!$E$9:$E$25</definedName>
    <definedName name="Boiling">List!$E$53:$E$73</definedName>
    <definedName name="Clarification">List!$E$26:$E$52</definedName>
    <definedName name="CuringLine1">List!$E$74:$E$93</definedName>
    <definedName name="CuringLine2">List!$E$94:$E$111</definedName>
    <definedName name="CuringLine3">List!$E$112:$E$125</definedName>
    <definedName name="CuringLine4">List!$E$126:$E$153</definedName>
    <definedName name="LGH">List!$E$154:$E$191</definedName>
    <definedName name="LiquidSugar">List!$E$190:$E$203</definedName>
    <definedName name="_xlnm.Print_Area" localSheetId="5">'1'!$B$2:$M$137</definedName>
    <definedName name="_xlnm.Print_Area" localSheetId="14">'10'!$B$2:$M$137</definedName>
    <definedName name="_xlnm.Print_Area" localSheetId="15">'11'!$B$2:$M$137</definedName>
    <definedName name="_xlnm.Print_Area" localSheetId="16">'12'!$B$2:$M$137</definedName>
    <definedName name="_xlnm.Print_Area" localSheetId="17">'13'!$B$2:$M$137</definedName>
    <definedName name="_xlnm.Print_Area" localSheetId="18">'14'!$B$2:$M$137</definedName>
    <definedName name="_xlnm.Print_Area" localSheetId="19">'15'!$B$2:$M$137</definedName>
    <definedName name="_xlnm.Print_Area" localSheetId="20">'16'!$B$2:$M$137</definedName>
    <definedName name="_xlnm.Print_Area" localSheetId="21">'17'!$B$2:$M$137</definedName>
    <definedName name="_xlnm.Print_Area" localSheetId="22">'18'!$B$2:$M$137</definedName>
    <definedName name="_xlnm.Print_Area" localSheetId="23">'19'!$B$2:$M$137</definedName>
    <definedName name="_xlnm.Print_Area" localSheetId="6">'2'!$B$2:$M$137</definedName>
    <definedName name="_xlnm.Print_Area" localSheetId="24">'20'!$B$2:$M$137</definedName>
    <definedName name="_xlnm.Print_Area" localSheetId="25">'21'!$B$2:$M$137</definedName>
    <definedName name="_xlnm.Print_Area" localSheetId="26">'22'!$B$2:$M$137</definedName>
    <definedName name="_xlnm.Print_Area" localSheetId="27">'23'!$B$2:$M$137</definedName>
    <definedName name="_xlnm.Print_Area" localSheetId="28">'24'!$B$2:$M$137</definedName>
    <definedName name="_xlnm.Print_Area" localSheetId="29">'25'!$B$2:$M$137</definedName>
    <definedName name="_xlnm.Print_Area" localSheetId="30">'26'!$B$2:$M$137</definedName>
    <definedName name="_xlnm.Print_Area" localSheetId="31">'27'!$B$2:$M$137</definedName>
    <definedName name="_xlnm.Print_Area" localSheetId="32">'28'!$B$2:$M$137</definedName>
    <definedName name="_xlnm.Print_Area" localSheetId="33">'29'!$B$2:$M$137</definedName>
    <definedName name="_xlnm.Print_Area" localSheetId="7">'3'!$B$2:$M$137</definedName>
    <definedName name="_xlnm.Print_Area" localSheetId="34">'30'!$B$2:$M$137</definedName>
    <definedName name="_xlnm.Print_Area" localSheetId="35">'31'!$B$2:$M$137</definedName>
    <definedName name="_xlnm.Print_Area" localSheetId="8">'4'!$B$2:$M$137</definedName>
    <definedName name="_xlnm.Print_Area" localSheetId="9">'5'!$B$2:$M$137</definedName>
    <definedName name="_xlnm.Print_Area" localSheetId="10">'6'!$B$2:$M$137</definedName>
    <definedName name="_xlnm.Print_Area" localSheetId="11">'7'!$B$2:$M$137</definedName>
    <definedName name="_xlnm.Print_Area" localSheetId="12">'8'!$B$2:$M$137</definedName>
    <definedName name="_xlnm.Print_Area" localSheetId="13">'9'!$B$2:$M$137</definedName>
    <definedName name="_xlnm.Print_Area" localSheetId="2">'Summary (2)'!$B$4:$P$38</definedName>
    <definedName name="RawSugarPit">List!$E$5:$E$8</definedName>
    <definedName name="Z_180A269B_7E32_4D24_945A_4A804FC4280D_.wvu.PrintArea" localSheetId="5" hidden="1">'1'!$B$2:$M$137</definedName>
    <definedName name="Z_180A269B_7E32_4D24_945A_4A804FC4280D_.wvu.PrintArea" localSheetId="14" hidden="1">'10'!$B$2:$M$137</definedName>
    <definedName name="Z_180A269B_7E32_4D24_945A_4A804FC4280D_.wvu.PrintArea" localSheetId="15" hidden="1">'11'!$B$2:$M$137</definedName>
    <definedName name="Z_180A269B_7E32_4D24_945A_4A804FC4280D_.wvu.PrintArea" localSheetId="16" hidden="1">'12'!$B$2:$M$137</definedName>
    <definedName name="Z_180A269B_7E32_4D24_945A_4A804FC4280D_.wvu.PrintArea" localSheetId="17" hidden="1">'13'!$B$2:$M$137</definedName>
    <definedName name="Z_180A269B_7E32_4D24_945A_4A804FC4280D_.wvu.PrintArea" localSheetId="18" hidden="1">'14'!$B$2:$M$137</definedName>
    <definedName name="Z_180A269B_7E32_4D24_945A_4A804FC4280D_.wvu.PrintArea" localSheetId="19" hidden="1">'15'!$B$2:$M$137</definedName>
    <definedName name="Z_180A269B_7E32_4D24_945A_4A804FC4280D_.wvu.PrintArea" localSheetId="20" hidden="1">'16'!$B$2:$M$137</definedName>
    <definedName name="Z_180A269B_7E32_4D24_945A_4A804FC4280D_.wvu.PrintArea" localSheetId="21" hidden="1">'17'!$B$2:$M$137</definedName>
    <definedName name="Z_180A269B_7E32_4D24_945A_4A804FC4280D_.wvu.PrintArea" localSheetId="22" hidden="1">'18'!$B$2:$M$137</definedName>
    <definedName name="Z_180A269B_7E32_4D24_945A_4A804FC4280D_.wvu.PrintArea" localSheetId="23" hidden="1">'19'!$B$2:$M$137</definedName>
    <definedName name="Z_180A269B_7E32_4D24_945A_4A804FC4280D_.wvu.PrintArea" localSheetId="6" hidden="1">'2'!$B$2:$M$137</definedName>
    <definedName name="Z_180A269B_7E32_4D24_945A_4A804FC4280D_.wvu.PrintArea" localSheetId="24" hidden="1">'20'!$B$2:$M$137</definedName>
    <definedName name="Z_180A269B_7E32_4D24_945A_4A804FC4280D_.wvu.PrintArea" localSheetId="25" hidden="1">'21'!$B$2:$M$137</definedName>
    <definedName name="Z_180A269B_7E32_4D24_945A_4A804FC4280D_.wvu.PrintArea" localSheetId="26" hidden="1">'22'!$B$2:$M$137</definedName>
    <definedName name="Z_180A269B_7E32_4D24_945A_4A804FC4280D_.wvu.PrintArea" localSheetId="27" hidden="1">'23'!$B$2:$M$137</definedName>
    <definedName name="Z_180A269B_7E32_4D24_945A_4A804FC4280D_.wvu.PrintArea" localSheetId="28" hidden="1">'24'!$B$2:$M$137</definedName>
    <definedName name="Z_180A269B_7E32_4D24_945A_4A804FC4280D_.wvu.PrintArea" localSheetId="29" hidden="1">'25'!$B$2:$M$137</definedName>
    <definedName name="Z_180A269B_7E32_4D24_945A_4A804FC4280D_.wvu.PrintArea" localSheetId="30" hidden="1">'26'!$B$2:$M$137</definedName>
    <definedName name="Z_180A269B_7E32_4D24_945A_4A804FC4280D_.wvu.PrintArea" localSheetId="31" hidden="1">'27'!$B$2:$M$137</definedName>
    <definedName name="Z_180A269B_7E32_4D24_945A_4A804FC4280D_.wvu.PrintArea" localSheetId="32" hidden="1">'28'!$B$2:$M$137</definedName>
    <definedName name="Z_180A269B_7E32_4D24_945A_4A804FC4280D_.wvu.PrintArea" localSheetId="33" hidden="1">'29'!$B$2:$M$137</definedName>
    <definedName name="Z_180A269B_7E32_4D24_945A_4A804FC4280D_.wvu.PrintArea" localSheetId="7" hidden="1">'3'!$B$2:$M$137</definedName>
    <definedName name="Z_180A269B_7E32_4D24_945A_4A804FC4280D_.wvu.PrintArea" localSheetId="34" hidden="1">'30'!$B$2:$M$137</definedName>
    <definedName name="Z_180A269B_7E32_4D24_945A_4A804FC4280D_.wvu.PrintArea" localSheetId="35" hidden="1">'31'!$B$2:$M$137</definedName>
    <definedName name="Z_180A269B_7E32_4D24_945A_4A804FC4280D_.wvu.PrintArea" localSheetId="8" hidden="1">'4'!$B$2:$M$137</definedName>
    <definedName name="Z_180A269B_7E32_4D24_945A_4A804FC4280D_.wvu.PrintArea" localSheetId="9" hidden="1">'5'!$B$2:$M$137</definedName>
    <definedName name="Z_180A269B_7E32_4D24_945A_4A804FC4280D_.wvu.PrintArea" localSheetId="10" hidden="1">'6'!$B$2:$M$137</definedName>
    <definedName name="Z_180A269B_7E32_4D24_945A_4A804FC4280D_.wvu.PrintArea" localSheetId="11" hidden="1">'7'!$B$2:$M$137</definedName>
    <definedName name="Z_180A269B_7E32_4D24_945A_4A804FC4280D_.wvu.PrintArea" localSheetId="12" hidden="1">'8'!$B$2:$M$137</definedName>
    <definedName name="Z_180A269B_7E32_4D24_945A_4A804FC4280D_.wvu.PrintArea" localSheetId="13" hidden="1">'9'!$B$2:$M$137</definedName>
    <definedName name="Z_180A269B_7E32_4D24_945A_4A804FC4280D_.wvu.PrintArea" localSheetId="2" hidden="1">'Summary (2)'!$B$4:$P$38</definedName>
    <definedName name="Z_180A269B_7E32_4D24_945A_4A804FC4280D_.wvu.Rows" localSheetId="1" hidden="1">Summary!$9:$28</definedName>
    <definedName name="Z_180A269B_7E32_4D24_945A_4A804FC4280D_.wvu.Rows" localSheetId="2" hidden="1">'Summary (2)'!$8:$27</definedName>
    <definedName name="Z_1DCC370E_2FC6_43E0_BC38_BCA3EE5D5128_.wvu.PrintArea" localSheetId="5" hidden="1">'1'!$B$2:$M$137</definedName>
    <definedName name="Z_1DCC370E_2FC6_43E0_BC38_BCA3EE5D5128_.wvu.PrintArea" localSheetId="14" hidden="1">'10'!$B$2:$M$137</definedName>
    <definedName name="Z_1DCC370E_2FC6_43E0_BC38_BCA3EE5D5128_.wvu.PrintArea" localSheetId="15" hidden="1">'11'!$B$2:$M$137</definedName>
    <definedName name="Z_1DCC370E_2FC6_43E0_BC38_BCA3EE5D5128_.wvu.PrintArea" localSheetId="16" hidden="1">'12'!$B$2:$M$137</definedName>
    <definedName name="Z_1DCC370E_2FC6_43E0_BC38_BCA3EE5D5128_.wvu.PrintArea" localSheetId="17" hidden="1">'13'!$B$2:$M$137</definedName>
    <definedName name="Z_1DCC370E_2FC6_43E0_BC38_BCA3EE5D5128_.wvu.PrintArea" localSheetId="18" hidden="1">'14'!$B$2:$M$137</definedName>
    <definedName name="Z_1DCC370E_2FC6_43E0_BC38_BCA3EE5D5128_.wvu.PrintArea" localSheetId="19" hidden="1">'15'!$B$2:$M$137</definedName>
    <definedName name="Z_1DCC370E_2FC6_43E0_BC38_BCA3EE5D5128_.wvu.PrintArea" localSheetId="20" hidden="1">'16'!$B$2:$M$137</definedName>
    <definedName name="Z_1DCC370E_2FC6_43E0_BC38_BCA3EE5D5128_.wvu.PrintArea" localSheetId="21" hidden="1">'17'!$B$2:$M$137</definedName>
    <definedName name="Z_1DCC370E_2FC6_43E0_BC38_BCA3EE5D5128_.wvu.PrintArea" localSheetId="22" hidden="1">'18'!$B$2:$M$137</definedName>
    <definedName name="Z_1DCC370E_2FC6_43E0_BC38_BCA3EE5D5128_.wvu.PrintArea" localSheetId="23" hidden="1">'19'!$B$2:$M$137</definedName>
    <definedName name="Z_1DCC370E_2FC6_43E0_BC38_BCA3EE5D5128_.wvu.PrintArea" localSheetId="6" hidden="1">'2'!$B$2:$M$137</definedName>
    <definedName name="Z_1DCC370E_2FC6_43E0_BC38_BCA3EE5D5128_.wvu.PrintArea" localSheetId="24" hidden="1">'20'!$B$2:$M$137</definedName>
    <definedName name="Z_1DCC370E_2FC6_43E0_BC38_BCA3EE5D5128_.wvu.PrintArea" localSheetId="25" hidden="1">'21'!$B$2:$M$137</definedName>
    <definedName name="Z_1DCC370E_2FC6_43E0_BC38_BCA3EE5D5128_.wvu.PrintArea" localSheetId="26" hidden="1">'22'!$B$2:$M$137</definedName>
    <definedName name="Z_1DCC370E_2FC6_43E0_BC38_BCA3EE5D5128_.wvu.PrintArea" localSheetId="27" hidden="1">'23'!$B$2:$M$137</definedName>
    <definedName name="Z_1DCC370E_2FC6_43E0_BC38_BCA3EE5D5128_.wvu.PrintArea" localSheetId="28" hidden="1">'24'!$B$2:$M$137</definedName>
    <definedName name="Z_1DCC370E_2FC6_43E0_BC38_BCA3EE5D5128_.wvu.PrintArea" localSheetId="29" hidden="1">'25'!$B$2:$M$137</definedName>
    <definedName name="Z_1DCC370E_2FC6_43E0_BC38_BCA3EE5D5128_.wvu.PrintArea" localSheetId="30" hidden="1">'26'!$B$2:$M$137</definedName>
    <definedName name="Z_1DCC370E_2FC6_43E0_BC38_BCA3EE5D5128_.wvu.PrintArea" localSheetId="31" hidden="1">'27'!$B$2:$M$137</definedName>
    <definedName name="Z_1DCC370E_2FC6_43E0_BC38_BCA3EE5D5128_.wvu.PrintArea" localSheetId="32" hidden="1">'28'!$B$2:$M$137</definedName>
    <definedName name="Z_1DCC370E_2FC6_43E0_BC38_BCA3EE5D5128_.wvu.PrintArea" localSheetId="33" hidden="1">'29'!$B$2:$M$137</definedName>
    <definedName name="Z_1DCC370E_2FC6_43E0_BC38_BCA3EE5D5128_.wvu.PrintArea" localSheetId="7" hidden="1">'3'!$B$2:$M$137</definedName>
    <definedName name="Z_1DCC370E_2FC6_43E0_BC38_BCA3EE5D5128_.wvu.PrintArea" localSheetId="34" hidden="1">'30'!$B$2:$M$137</definedName>
    <definedName name="Z_1DCC370E_2FC6_43E0_BC38_BCA3EE5D5128_.wvu.PrintArea" localSheetId="35" hidden="1">'31'!$B$2:$M$137</definedName>
    <definedName name="Z_1DCC370E_2FC6_43E0_BC38_BCA3EE5D5128_.wvu.PrintArea" localSheetId="8" hidden="1">'4'!$B$2:$M$137</definedName>
    <definedName name="Z_1DCC370E_2FC6_43E0_BC38_BCA3EE5D5128_.wvu.PrintArea" localSheetId="9" hidden="1">'5'!$B$2:$M$137</definedName>
    <definedName name="Z_1DCC370E_2FC6_43E0_BC38_BCA3EE5D5128_.wvu.PrintArea" localSheetId="10" hidden="1">'6'!$B$2:$M$137</definedName>
    <definedName name="Z_1DCC370E_2FC6_43E0_BC38_BCA3EE5D5128_.wvu.PrintArea" localSheetId="11" hidden="1">'7'!$B$2:$M$137</definedName>
    <definedName name="Z_1DCC370E_2FC6_43E0_BC38_BCA3EE5D5128_.wvu.PrintArea" localSheetId="12" hidden="1">'8'!$B$2:$M$137</definedName>
    <definedName name="Z_1DCC370E_2FC6_43E0_BC38_BCA3EE5D5128_.wvu.PrintArea" localSheetId="13" hidden="1">'9'!$B$2:$M$137</definedName>
    <definedName name="Z_3DB5A1E9_5856_4EA0_B7C8_5278BCF638C4_.wvu.PrintArea" localSheetId="5" hidden="1">'1'!$B$2:$M$137</definedName>
    <definedName name="Z_3DB5A1E9_5856_4EA0_B7C8_5278BCF638C4_.wvu.PrintArea" localSheetId="14" hidden="1">'10'!$B$2:$M$137</definedName>
    <definedName name="Z_3DB5A1E9_5856_4EA0_B7C8_5278BCF638C4_.wvu.PrintArea" localSheetId="15" hidden="1">'11'!$B$2:$M$137</definedName>
    <definedName name="Z_3DB5A1E9_5856_4EA0_B7C8_5278BCF638C4_.wvu.PrintArea" localSheetId="16" hidden="1">'12'!$B$2:$M$137</definedName>
    <definedName name="Z_3DB5A1E9_5856_4EA0_B7C8_5278BCF638C4_.wvu.PrintArea" localSheetId="17" hidden="1">'13'!$B$2:$M$137</definedName>
    <definedName name="Z_3DB5A1E9_5856_4EA0_B7C8_5278BCF638C4_.wvu.PrintArea" localSheetId="18" hidden="1">'14'!$B$2:$M$137</definedName>
    <definedName name="Z_3DB5A1E9_5856_4EA0_B7C8_5278BCF638C4_.wvu.PrintArea" localSheetId="19" hidden="1">'15'!$B$2:$M$137</definedName>
    <definedName name="Z_3DB5A1E9_5856_4EA0_B7C8_5278BCF638C4_.wvu.PrintArea" localSheetId="20" hidden="1">'16'!$B$2:$M$137</definedName>
    <definedName name="Z_3DB5A1E9_5856_4EA0_B7C8_5278BCF638C4_.wvu.PrintArea" localSheetId="21" hidden="1">'17'!$B$2:$M$137</definedName>
    <definedName name="Z_3DB5A1E9_5856_4EA0_B7C8_5278BCF638C4_.wvu.PrintArea" localSheetId="22" hidden="1">'18'!$B$2:$M$137</definedName>
    <definedName name="Z_3DB5A1E9_5856_4EA0_B7C8_5278BCF638C4_.wvu.PrintArea" localSheetId="23" hidden="1">'19'!$B$2:$M$137</definedName>
    <definedName name="Z_3DB5A1E9_5856_4EA0_B7C8_5278BCF638C4_.wvu.PrintArea" localSheetId="6" hidden="1">'2'!$B$2:$M$137</definedName>
    <definedName name="Z_3DB5A1E9_5856_4EA0_B7C8_5278BCF638C4_.wvu.PrintArea" localSheetId="24" hidden="1">'20'!$B$2:$M$137</definedName>
    <definedName name="Z_3DB5A1E9_5856_4EA0_B7C8_5278BCF638C4_.wvu.PrintArea" localSheetId="25" hidden="1">'21'!$B$2:$M$137</definedName>
    <definedName name="Z_3DB5A1E9_5856_4EA0_B7C8_5278BCF638C4_.wvu.PrintArea" localSheetId="26" hidden="1">'22'!$B$2:$M$137</definedName>
    <definedName name="Z_3DB5A1E9_5856_4EA0_B7C8_5278BCF638C4_.wvu.PrintArea" localSheetId="27" hidden="1">'23'!$B$2:$M$137</definedName>
    <definedName name="Z_3DB5A1E9_5856_4EA0_B7C8_5278BCF638C4_.wvu.PrintArea" localSheetId="28" hidden="1">'24'!$B$2:$M$137</definedName>
    <definedName name="Z_3DB5A1E9_5856_4EA0_B7C8_5278BCF638C4_.wvu.PrintArea" localSheetId="29" hidden="1">'25'!$B$2:$M$137</definedName>
    <definedName name="Z_3DB5A1E9_5856_4EA0_B7C8_5278BCF638C4_.wvu.PrintArea" localSheetId="30" hidden="1">'26'!$B$2:$M$137</definedName>
    <definedName name="Z_3DB5A1E9_5856_4EA0_B7C8_5278BCF638C4_.wvu.PrintArea" localSheetId="31" hidden="1">'27'!$B$2:$M$137</definedName>
    <definedName name="Z_3DB5A1E9_5856_4EA0_B7C8_5278BCF638C4_.wvu.PrintArea" localSheetId="32" hidden="1">'28'!$B$2:$M$137</definedName>
    <definedName name="Z_3DB5A1E9_5856_4EA0_B7C8_5278BCF638C4_.wvu.PrintArea" localSheetId="33" hidden="1">'29'!$B$2:$M$137</definedName>
    <definedName name="Z_3DB5A1E9_5856_4EA0_B7C8_5278BCF638C4_.wvu.PrintArea" localSheetId="7" hidden="1">'3'!$B$2:$M$137</definedName>
    <definedName name="Z_3DB5A1E9_5856_4EA0_B7C8_5278BCF638C4_.wvu.PrintArea" localSheetId="34" hidden="1">'30'!$B$2:$M$137</definedName>
    <definedName name="Z_3DB5A1E9_5856_4EA0_B7C8_5278BCF638C4_.wvu.PrintArea" localSheetId="35" hidden="1">'31'!$B$2:$M$137</definedName>
    <definedName name="Z_3DB5A1E9_5856_4EA0_B7C8_5278BCF638C4_.wvu.PrintArea" localSheetId="8" hidden="1">'4'!$B$2:$M$137</definedName>
    <definedName name="Z_3DB5A1E9_5856_4EA0_B7C8_5278BCF638C4_.wvu.PrintArea" localSheetId="9" hidden="1">'5'!$B$2:$M$137</definedName>
    <definedName name="Z_3DB5A1E9_5856_4EA0_B7C8_5278BCF638C4_.wvu.PrintArea" localSheetId="10" hidden="1">'6'!$B$2:$M$137</definedName>
    <definedName name="Z_3DB5A1E9_5856_4EA0_B7C8_5278BCF638C4_.wvu.PrintArea" localSheetId="11" hidden="1">'7'!$B$2:$M$137</definedName>
    <definedName name="Z_3DB5A1E9_5856_4EA0_B7C8_5278BCF638C4_.wvu.PrintArea" localSheetId="12" hidden="1">'8'!$B$2:$M$137</definedName>
    <definedName name="Z_3DB5A1E9_5856_4EA0_B7C8_5278BCF638C4_.wvu.PrintArea" localSheetId="13" hidden="1">'9'!$B$2:$M$137</definedName>
    <definedName name="Z_9C22FFE9_00CF_47D0_BD99_D84A00825140_.wvu.PrintArea" localSheetId="5" hidden="1">'1'!$B$2:$M$137</definedName>
    <definedName name="Z_9C22FFE9_00CF_47D0_BD99_D84A00825140_.wvu.PrintArea" localSheetId="14" hidden="1">'10'!$B$2:$M$137</definedName>
    <definedName name="Z_9C22FFE9_00CF_47D0_BD99_D84A00825140_.wvu.PrintArea" localSheetId="15" hidden="1">'11'!$B$2:$M$137</definedName>
    <definedName name="Z_9C22FFE9_00CF_47D0_BD99_D84A00825140_.wvu.PrintArea" localSheetId="16" hidden="1">'12'!$B$2:$M$137</definedName>
    <definedName name="Z_9C22FFE9_00CF_47D0_BD99_D84A00825140_.wvu.PrintArea" localSheetId="17" hidden="1">'13'!$B$2:$M$137</definedName>
    <definedName name="Z_9C22FFE9_00CF_47D0_BD99_D84A00825140_.wvu.PrintArea" localSheetId="18" hidden="1">'14'!$B$2:$M$137</definedName>
    <definedName name="Z_9C22FFE9_00CF_47D0_BD99_D84A00825140_.wvu.PrintArea" localSheetId="19" hidden="1">'15'!$B$2:$M$137</definedName>
    <definedName name="Z_9C22FFE9_00CF_47D0_BD99_D84A00825140_.wvu.PrintArea" localSheetId="20" hidden="1">'16'!$B$2:$M$137</definedName>
    <definedName name="Z_9C22FFE9_00CF_47D0_BD99_D84A00825140_.wvu.PrintArea" localSheetId="21" hidden="1">'17'!$B$2:$M$137</definedName>
    <definedName name="Z_9C22FFE9_00CF_47D0_BD99_D84A00825140_.wvu.PrintArea" localSheetId="22" hidden="1">'18'!$B$2:$M$137</definedName>
    <definedName name="Z_9C22FFE9_00CF_47D0_BD99_D84A00825140_.wvu.PrintArea" localSheetId="23" hidden="1">'19'!$B$2:$M$137</definedName>
    <definedName name="Z_9C22FFE9_00CF_47D0_BD99_D84A00825140_.wvu.PrintArea" localSheetId="6" hidden="1">'2'!$B$2:$M$137</definedName>
    <definedName name="Z_9C22FFE9_00CF_47D0_BD99_D84A00825140_.wvu.PrintArea" localSheetId="24" hidden="1">'20'!$B$2:$M$137</definedName>
    <definedName name="Z_9C22FFE9_00CF_47D0_BD99_D84A00825140_.wvu.PrintArea" localSheetId="25" hidden="1">'21'!$B$2:$M$137</definedName>
    <definedName name="Z_9C22FFE9_00CF_47D0_BD99_D84A00825140_.wvu.PrintArea" localSheetId="26" hidden="1">'22'!$B$2:$M$137</definedName>
    <definedName name="Z_9C22FFE9_00CF_47D0_BD99_D84A00825140_.wvu.PrintArea" localSheetId="27" hidden="1">'23'!$B$2:$M$137</definedName>
    <definedName name="Z_9C22FFE9_00CF_47D0_BD99_D84A00825140_.wvu.PrintArea" localSheetId="28" hidden="1">'24'!$B$2:$M$137</definedName>
    <definedName name="Z_9C22FFE9_00CF_47D0_BD99_D84A00825140_.wvu.PrintArea" localSheetId="29" hidden="1">'25'!$B$2:$M$137</definedName>
    <definedName name="Z_9C22FFE9_00CF_47D0_BD99_D84A00825140_.wvu.PrintArea" localSheetId="30" hidden="1">'26'!$B$2:$M$137</definedName>
    <definedName name="Z_9C22FFE9_00CF_47D0_BD99_D84A00825140_.wvu.PrintArea" localSheetId="31" hidden="1">'27'!$B$2:$M$137</definedName>
    <definedName name="Z_9C22FFE9_00CF_47D0_BD99_D84A00825140_.wvu.PrintArea" localSheetId="32" hidden="1">'28'!$B$2:$M$137</definedName>
    <definedName name="Z_9C22FFE9_00CF_47D0_BD99_D84A00825140_.wvu.PrintArea" localSheetId="33" hidden="1">'29'!$B$2:$M$137</definedName>
    <definedName name="Z_9C22FFE9_00CF_47D0_BD99_D84A00825140_.wvu.PrintArea" localSheetId="7" hidden="1">'3'!$B$2:$M$137</definedName>
    <definedName name="Z_9C22FFE9_00CF_47D0_BD99_D84A00825140_.wvu.PrintArea" localSheetId="34" hidden="1">'30'!$B$2:$M$137</definedName>
    <definedName name="Z_9C22FFE9_00CF_47D0_BD99_D84A00825140_.wvu.PrintArea" localSheetId="35" hidden="1">'31'!$B$2:$M$137</definedName>
    <definedName name="Z_9C22FFE9_00CF_47D0_BD99_D84A00825140_.wvu.PrintArea" localSheetId="8" hidden="1">'4'!$B$2:$M$137</definedName>
    <definedName name="Z_9C22FFE9_00CF_47D0_BD99_D84A00825140_.wvu.PrintArea" localSheetId="9" hidden="1">'5'!$B$2:$M$137</definedName>
    <definedName name="Z_9C22FFE9_00CF_47D0_BD99_D84A00825140_.wvu.PrintArea" localSheetId="10" hidden="1">'6'!$B$2:$M$137</definedName>
    <definedName name="Z_9C22FFE9_00CF_47D0_BD99_D84A00825140_.wvu.PrintArea" localSheetId="11" hidden="1">'7'!$B$2:$M$137</definedName>
    <definedName name="Z_9C22FFE9_00CF_47D0_BD99_D84A00825140_.wvu.PrintArea" localSheetId="12" hidden="1">'8'!$B$2:$M$137</definedName>
    <definedName name="Z_9C22FFE9_00CF_47D0_BD99_D84A00825140_.wvu.PrintArea" localSheetId="13" hidden="1">'9'!$B$2:$M$137</definedName>
    <definedName name="Z_9C22FFE9_00CF_47D0_BD99_D84A00825140_.wvu.PrintArea" localSheetId="2" hidden="1">'Summary (2)'!$B$4:$P$38</definedName>
    <definedName name="Z_BDCF2A7A_E9D7_4870_941D_0022D12BB670_.wvu.PrintArea" localSheetId="5" hidden="1">'1'!$B$2:$M$137</definedName>
    <definedName name="Z_BDCF2A7A_E9D7_4870_941D_0022D12BB670_.wvu.PrintArea" localSheetId="14" hidden="1">'10'!$B$2:$M$137</definedName>
    <definedName name="Z_BDCF2A7A_E9D7_4870_941D_0022D12BB670_.wvu.PrintArea" localSheetId="15" hidden="1">'11'!$B$2:$M$137</definedName>
    <definedName name="Z_BDCF2A7A_E9D7_4870_941D_0022D12BB670_.wvu.PrintArea" localSheetId="16" hidden="1">'12'!$B$2:$M$137</definedName>
    <definedName name="Z_BDCF2A7A_E9D7_4870_941D_0022D12BB670_.wvu.PrintArea" localSheetId="17" hidden="1">'13'!$B$2:$M$137</definedName>
    <definedName name="Z_BDCF2A7A_E9D7_4870_941D_0022D12BB670_.wvu.PrintArea" localSheetId="18" hidden="1">'14'!$B$2:$M$137</definedName>
    <definedName name="Z_BDCF2A7A_E9D7_4870_941D_0022D12BB670_.wvu.PrintArea" localSheetId="19" hidden="1">'15'!$B$2:$M$137</definedName>
    <definedName name="Z_BDCF2A7A_E9D7_4870_941D_0022D12BB670_.wvu.PrintArea" localSheetId="20" hidden="1">'16'!$B$2:$M$137</definedName>
    <definedName name="Z_BDCF2A7A_E9D7_4870_941D_0022D12BB670_.wvu.PrintArea" localSheetId="21" hidden="1">'17'!$B$2:$M$137</definedName>
    <definedName name="Z_BDCF2A7A_E9D7_4870_941D_0022D12BB670_.wvu.PrintArea" localSheetId="22" hidden="1">'18'!$B$2:$M$137</definedName>
    <definedName name="Z_BDCF2A7A_E9D7_4870_941D_0022D12BB670_.wvu.PrintArea" localSheetId="23" hidden="1">'19'!$B$2:$M$137</definedName>
    <definedName name="Z_BDCF2A7A_E9D7_4870_941D_0022D12BB670_.wvu.PrintArea" localSheetId="6" hidden="1">'2'!$B$2:$M$137</definedName>
    <definedName name="Z_BDCF2A7A_E9D7_4870_941D_0022D12BB670_.wvu.PrintArea" localSheetId="24" hidden="1">'20'!$B$2:$M$137</definedName>
    <definedName name="Z_BDCF2A7A_E9D7_4870_941D_0022D12BB670_.wvu.PrintArea" localSheetId="25" hidden="1">'21'!$B$2:$M$137</definedName>
    <definedName name="Z_BDCF2A7A_E9D7_4870_941D_0022D12BB670_.wvu.PrintArea" localSheetId="26" hidden="1">'22'!$B$2:$M$137</definedName>
    <definedName name="Z_BDCF2A7A_E9D7_4870_941D_0022D12BB670_.wvu.PrintArea" localSheetId="27" hidden="1">'23'!$B$2:$M$137</definedName>
    <definedName name="Z_BDCF2A7A_E9D7_4870_941D_0022D12BB670_.wvu.PrintArea" localSheetId="28" hidden="1">'24'!$B$2:$M$137</definedName>
    <definedName name="Z_BDCF2A7A_E9D7_4870_941D_0022D12BB670_.wvu.PrintArea" localSheetId="29" hidden="1">'25'!$B$2:$M$137</definedName>
    <definedName name="Z_BDCF2A7A_E9D7_4870_941D_0022D12BB670_.wvu.PrintArea" localSheetId="30" hidden="1">'26'!$B$2:$M$137</definedName>
    <definedName name="Z_BDCF2A7A_E9D7_4870_941D_0022D12BB670_.wvu.PrintArea" localSheetId="31" hidden="1">'27'!$B$2:$M$137</definedName>
    <definedName name="Z_BDCF2A7A_E9D7_4870_941D_0022D12BB670_.wvu.PrintArea" localSheetId="32" hidden="1">'28'!$B$2:$M$137</definedName>
    <definedName name="Z_BDCF2A7A_E9D7_4870_941D_0022D12BB670_.wvu.PrintArea" localSheetId="33" hidden="1">'29'!$B$2:$M$137</definedName>
    <definedName name="Z_BDCF2A7A_E9D7_4870_941D_0022D12BB670_.wvu.PrintArea" localSheetId="7" hidden="1">'3'!$B$2:$M$137</definedName>
    <definedName name="Z_BDCF2A7A_E9D7_4870_941D_0022D12BB670_.wvu.PrintArea" localSheetId="34" hidden="1">'30'!$B$2:$M$137</definedName>
    <definedName name="Z_BDCF2A7A_E9D7_4870_941D_0022D12BB670_.wvu.PrintArea" localSheetId="35" hidden="1">'31'!$B$2:$M$137</definedName>
    <definedName name="Z_BDCF2A7A_E9D7_4870_941D_0022D12BB670_.wvu.PrintArea" localSheetId="8" hidden="1">'4'!$B$2:$M$137</definedName>
    <definedName name="Z_BDCF2A7A_E9D7_4870_941D_0022D12BB670_.wvu.PrintArea" localSheetId="9" hidden="1">'5'!$B$2:$M$137</definedName>
    <definedName name="Z_BDCF2A7A_E9D7_4870_941D_0022D12BB670_.wvu.PrintArea" localSheetId="10" hidden="1">'6'!$B$2:$M$137</definedName>
    <definedName name="Z_BDCF2A7A_E9D7_4870_941D_0022D12BB670_.wvu.PrintArea" localSheetId="11" hidden="1">'7'!$B$2:$M$137</definedName>
    <definedName name="Z_BDCF2A7A_E9D7_4870_941D_0022D12BB670_.wvu.PrintArea" localSheetId="12" hidden="1">'8'!$B$2:$M$137</definedName>
    <definedName name="Z_BDCF2A7A_E9D7_4870_941D_0022D12BB670_.wvu.PrintArea" localSheetId="13" hidden="1">'9'!$B$2:$M$137</definedName>
    <definedName name="Z_C5333697_7BE7_4020_97A4_B735E526926D_.wvu.PrintArea" localSheetId="5" hidden="1">'1'!$B$2:$M$137</definedName>
    <definedName name="Z_C5333697_7BE7_4020_97A4_B735E526926D_.wvu.PrintArea" localSheetId="14" hidden="1">'10'!$B$2:$M$137</definedName>
    <definedName name="Z_C5333697_7BE7_4020_97A4_B735E526926D_.wvu.PrintArea" localSheetId="15" hidden="1">'11'!$B$2:$M$137</definedName>
    <definedName name="Z_C5333697_7BE7_4020_97A4_B735E526926D_.wvu.PrintArea" localSheetId="16" hidden="1">'12'!$B$2:$M$137</definedName>
    <definedName name="Z_C5333697_7BE7_4020_97A4_B735E526926D_.wvu.PrintArea" localSheetId="17" hidden="1">'13'!$B$2:$M$137</definedName>
    <definedName name="Z_C5333697_7BE7_4020_97A4_B735E526926D_.wvu.PrintArea" localSheetId="18" hidden="1">'14'!$B$2:$M$137</definedName>
    <definedName name="Z_C5333697_7BE7_4020_97A4_B735E526926D_.wvu.PrintArea" localSheetId="19" hidden="1">'15'!$B$2:$M$137</definedName>
    <definedName name="Z_C5333697_7BE7_4020_97A4_B735E526926D_.wvu.PrintArea" localSheetId="20" hidden="1">'16'!$B$2:$M$137</definedName>
    <definedName name="Z_C5333697_7BE7_4020_97A4_B735E526926D_.wvu.PrintArea" localSheetId="21" hidden="1">'17'!$B$2:$M$137</definedName>
    <definedName name="Z_C5333697_7BE7_4020_97A4_B735E526926D_.wvu.PrintArea" localSheetId="22" hidden="1">'18'!$B$2:$M$137</definedName>
    <definedName name="Z_C5333697_7BE7_4020_97A4_B735E526926D_.wvu.PrintArea" localSheetId="23" hidden="1">'19'!$B$2:$M$137</definedName>
    <definedName name="Z_C5333697_7BE7_4020_97A4_B735E526926D_.wvu.PrintArea" localSheetId="6" hidden="1">'2'!$B$2:$M$137</definedName>
    <definedName name="Z_C5333697_7BE7_4020_97A4_B735E526926D_.wvu.PrintArea" localSheetId="24" hidden="1">'20'!$B$2:$M$137</definedName>
    <definedName name="Z_C5333697_7BE7_4020_97A4_B735E526926D_.wvu.PrintArea" localSheetId="25" hidden="1">'21'!$B$2:$M$137</definedName>
    <definedName name="Z_C5333697_7BE7_4020_97A4_B735E526926D_.wvu.PrintArea" localSheetId="26" hidden="1">'22'!$B$2:$M$137</definedName>
    <definedName name="Z_C5333697_7BE7_4020_97A4_B735E526926D_.wvu.PrintArea" localSheetId="27" hidden="1">'23'!$B$2:$M$137</definedName>
    <definedName name="Z_C5333697_7BE7_4020_97A4_B735E526926D_.wvu.PrintArea" localSheetId="28" hidden="1">'24'!$B$2:$M$137</definedName>
    <definedName name="Z_C5333697_7BE7_4020_97A4_B735E526926D_.wvu.PrintArea" localSheetId="29" hidden="1">'25'!$B$2:$M$137</definedName>
    <definedName name="Z_C5333697_7BE7_4020_97A4_B735E526926D_.wvu.PrintArea" localSheetId="30" hidden="1">'26'!$B$2:$M$137</definedName>
    <definedName name="Z_C5333697_7BE7_4020_97A4_B735E526926D_.wvu.PrintArea" localSheetId="31" hidden="1">'27'!$B$2:$M$137</definedName>
    <definedName name="Z_C5333697_7BE7_4020_97A4_B735E526926D_.wvu.PrintArea" localSheetId="32" hidden="1">'28'!$B$2:$M$137</definedName>
    <definedName name="Z_C5333697_7BE7_4020_97A4_B735E526926D_.wvu.PrintArea" localSheetId="33" hidden="1">'29'!$B$2:$M$137</definedName>
    <definedName name="Z_C5333697_7BE7_4020_97A4_B735E526926D_.wvu.PrintArea" localSheetId="7" hidden="1">'3'!$B$2:$M$137</definedName>
    <definedName name="Z_C5333697_7BE7_4020_97A4_B735E526926D_.wvu.PrintArea" localSheetId="34" hidden="1">'30'!$B$2:$M$137</definedName>
    <definedName name="Z_C5333697_7BE7_4020_97A4_B735E526926D_.wvu.PrintArea" localSheetId="35" hidden="1">'31'!$B$2:$M$137</definedName>
    <definedName name="Z_C5333697_7BE7_4020_97A4_B735E526926D_.wvu.PrintArea" localSheetId="8" hidden="1">'4'!$B$2:$M$137</definedName>
    <definedName name="Z_C5333697_7BE7_4020_97A4_B735E526926D_.wvu.PrintArea" localSheetId="9" hidden="1">'5'!$B$2:$M$137</definedName>
    <definedName name="Z_C5333697_7BE7_4020_97A4_B735E526926D_.wvu.PrintArea" localSheetId="10" hidden="1">'6'!$B$2:$M$137</definedName>
    <definedName name="Z_C5333697_7BE7_4020_97A4_B735E526926D_.wvu.PrintArea" localSheetId="11" hidden="1">'7'!$B$2:$M$137</definedName>
    <definedName name="Z_C5333697_7BE7_4020_97A4_B735E526926D_.wvu.PrintArea" localSheetId="12" hidden="1">'8'!$B$2:$M$137</definedName>
    <definedName name="Z_C5333697_7BE7_4020_97A4_B735E526926D_.wvu.PrintArea" localSheetId="13" hidden="1">'9'!$B$2:$M$137</definedName>
    <definedName name="Z_C5333697_7BE7_4020_97A4_B735E526926D_.wvu.PrintArea" localSheetId="2" hidden="1">'Summary (2)'!$B$4:$P$38</definedName>
    <definedName name="Z_C7D8C3A9_FB79_4D22_935E_FEFA619A3CE5_.wvu.PrintArea" localSheetId="5" hidden="1">'1'!$B$2:$M$137</definedName>
    <definedName name="Z_C7D8C3A9_FB79_4D22_935E_FEFA619A3CE5_.wvu.PrintArea" localSheetId="14" hidden="1">'10'!$B$2:$M$137</definedName>
    <definedName name="Z_C7D8C3A9_FB79_4D22_935E_FEFA619A3CE5_.wvu.PrintArea" localSheetId="15" hidden="1">'11'!$B$2:$M$137</definedName>
    <definedName name="Z_C7D8C3A9_FB79_4D22_935E_FEFA619A3CE5_.wvu.PrintArea" localSheetId="16" hidden="1">'12'!$B$2:$M$137</definedName>
    <definedName name="Z_C7D8C3A9_FB79_4D22_935E_FEFA619A3CE5_.wvu.PrintArea" localSheetId="17" hidden="1">'13'!$B$2:$M$137</definedName>
    <definedName name="Z_C7D8C3A9_FB79_4D22_935E_FEFA619A3CE5_.wvu.PrintArea" localSheetId="18" hidden="1">'14'!$B$2:$M$137</definedName>
    <definedName name="Z_C7D8C3A9_FB79_4D22_935E_FEFA619A3CE5_.wvu.PrintArea" localSheetId="19" hidden="1">'15'!$B$2:$M$137</definedName>
    <definedName name="Z_C7D8C3A9_FB79_4D22_935E_FEFA619A3CE5_.wvu.PrintArea" localSheetId="20" hidden="1">'16'!$B$2:$M$137</definedName>
    <definedName name="Z_C7D8C3A9_FB79_4D22_935E_FEFA619A3CE5_.wvu.PrintArea" localSheetId="21" hidden="1">'17'!$B$2:$M$137</definedName>
    <definedName name="Z_C7D8C3A9_FB79_4D22_935E_FEFA619A3CE5_.wvu.PrintArea" localSheetId="22" hidden="1">'18'!$B$2:$M$137</definedName>
    <definedName name="Z_C7D8C3A9_FB79_4D22_935E_FEFA619A3CE5_.wvu.PrintArea" localSheetId="23" hidden="1">'19'!$B$2:$M$137</definedName>
    <definedName name="Z_C7D8C3A9_FB79_4D22_935E_FEFA619A3CE5_.wvu.PrintArea" localSheetId="6" hidden="1">'2'!$B$2:$M$137</definedName>
    <definedName name="Z_C7D8C3A9_FB79_4D22_935E_FEFA619A3CE5_.wvu.PrintArea" localSheetId="24" hidden="1">'20'!$B$2:$M$137</definedName>
    <definedName name="Z_C7D8C3A9_FB79_4D22_935E_FEFA619A3CE5_.wvu.PrintArea" localSheetId="25" hidden="1">'21'!$B$2:$M$137</definedName>
    <definedName name="Z_C7D8C3A9_FB79_4D22_935E_FEFA619A3CE5_.wvu.PrintArea" localSheetId="26" hidden="1">'22'!$B$2:$M$137</definedName>
    <definedName name="Z_C7D8C3A9_FB79_4D22_935E_FEFA619A3CE5_.wvu.PrintArea" localSheetId="27" hidden="1">'23'!$B$2:$M$137</definedName>
    <definedName name="Z_C7D8C3A9_FB79_4D22_935E_FEFA619A3CE5_.wvu.PrintArea" localSheetId="28" hidden="1">'24'!$B$2:$M$137</definedName>
    <definedName name="Z_C7D8C3A9_FB79_4D22_935E_FEFA619A3CE5_.wvu.PrintArea" localSheetId="29" hidden="1">'25'!$B$2:$M$137</definedName>
    <definedName name="Z_C7D8C3A9_FB79_4D22_935E_FEFA619A3CE5_.wvu.PrintArea" localSheetId="30" hidden="1">'26'!$B$2:$M$137</definedName>
    <definedName name="Z_C7D8C3A9_FB79_4D22_935E_FEFA619A3CE5_.wvu.PrintArea" localSheetId="31" hidden="1">'27'!$B$2:$M$137</definedName>
    <definedName name="Z_C7D8C3A9_FB79_4D22_935E_FEFA619A3CE5_.wvu.PrintArea" localSheetId="32" hidden="1">'28'!$B$2:$M$137</definedName>
    <definedName name="Z_C7D8C3A9_FB79_4D22_935E_FEFA619A3CE5_.wvu.PrintArea" localSheetId="33" hidden="1">'29'!$B$2:$M$137</definedName>
    <definedName name="Z_C7D8C3A9_FB79_4D22_935E_FEFA619A3CE5_.wvu.PrintArea" localSheetId="7" hidden="1">'3'!$B$2:$M$137</definedName>
    <definedName name="Z_C7D8C3A9_FB79_4D22_935E_FEFA619A3CE5_.wvu.PrintArea" localSheetId="34" hidden="1">'30'!$B$2:$M$137</definedName>
    <definedName name="Z_C7D8C3A9_FB79_4D22_935E_FEFA619A3CE5_.wvu.PrintArea" localSheetId="35" hidden="1">'31'!$B$2:$M$137</definedName>
    <definedName name="Z_C7D8C3A9_FB79_4D22_935E_FEFA619A3CE5_.wvu.PrintArea" localSheetId="8" hidden="1">'4'!$B$2:$M$137</definedName>
    <definedName name="Z_C7D8C3A9_FB79_4D22_935E_FEFA619A3CE5_.wvu.PrintArea" localSheetId="9" hidden="1">'5'!$B$2:$M$137</definedName>
    <definedName name="Z_C7D8C3A9_FB79_4D22_935E_FEFA619A3CE5_.wvu.PrintArea" localSheetId="10" hidden="1">'6'!$B$2:$M$137</definedName>
    <definedName name="Z_C7D8C3A9_FB79_4D22_935E_FEFA619A3CE5_.wvu.PrintArea" localSheetId="11" hidden="1">'7'!$B$2:$M$137</definedName>
    <definedName name="Z_C7D8C3A9_FB79_4D22_935E_FEFA619A3CE5_.wvu.PrintArea" localSheetId="12" hidden="1">'8'!$B$2:$M$137</definedName>
    <definedName name="Z_C7D8C3A9_FB79_4D22_935E_FEFA619A3CE5_.wvu.PrintArea" localSheetId="13" hidden="1">'9'!$B$2:$M$137</definedName>
    <definedName name="Z_C7D8C3A9_FB79_4D22_935E_FEFA619A3CE5_.wvu.PrintArea" localSheetId="2" hidden="1">'Summary (2)'!$B$4:$P$38</definedName>
    <definedName name="Z_F0BD4916_1611_48FD_8208_19E7D9B71F1A_.wvu.PrintArea" localSheetId="5" hidden="1">'1'!$B$2:$M$137</definedName>
    <definedName name="Z_F0BD4916_1611_48FD_8208_19E7D9B71F1A_.wvu.PrintArea" localSheetId="14" hidden="1">'10'!$B$2:$M$137</definedName>
    <definedName name="Z_F0BD4916_1611_48FD_8208_19E7D9B71F1A_.wvu.PrintArea" localSheetId="15" hidden="1">'11'!$B$2:$M$137</definedName>
    <definedName name="Z_F0BD4916_1611_48FD_8208_19E7D9B71F1A_.wvu.PrintArea" localSheetId="16" hidden="1">'12'!$B$2:$M$137</definedName>
    <definedName name="Z_F0BD4916_1611_48FD_8208_19E7D9B71F1A_.wvu.PrintArea" localSheetId="17" hidden="1">'13'!$B$2:$M$137</definedName>
    <definedName name="Z_F0BD4916_1611_48FD_8208_19E7D9B71F1A_.wvu.PrintArea" localSheetId="18" hidden="1">'14'!$B$2:$M$137</definedName>
    <definedName name="Z_F0BD4916_1611_48FD_8208_19E7D9B71F1A_.wvu.PrintArea" localSheetId="19" hidden="1">'15'!$B$2:$M$137</definedName>
    <definedName name="Z_F0BD4916_1611_48FD_8208_19E7D9B71F1A_.wvu.PrintArea" localSheetId="20" hidden="1">'16'!$B$2:$M$137</definedName>
    <definedName name="Z_F0BD4916_1611_48FD_8208_19E7D9B71F1A_.wvu.PrintArea" localSheetId="21" hidden="1">'17'!$B$2:$M$137</definedName>
    <definedName name="Z_F0BD4916_1611_48FD_8208_19E7D9B71F1A_.wvu.PrintArea" localSheetId="22" hidden="1">'18'!$B$2:$M$137</definedName>
    <definedName name="Z_F0BD4916_1611_48FD_8208_19E7D9B71F1A_.wvu.PrintArea" localSheetId="23" hidden="1">'19'!$B$2:$M$137</definedName>
    <definedName name="Z_F0BD4916_1611_48FD_8208_19E7D9B71F1A_.wvu.PrintArea" localSheetId="6" hidden="1">'2'!$B$2:$M$137</definedName>
    <definedName name="Z_F0BD4916_1611_48FD_8208_19E7D9B71F1A_.wvu.PrintArea" localSheetId="24" hidden="1">'20'!$B$2:$M$137</definedName>
    <definedName name="Z_F0BD4916_1611_48FD_8208_19E7D9B71F1A_.wvu.PrintArea" localSheetId="25" hidden="1">'21'!$B$2:$M$137</definedName>
    <definedName name="Z_F0BD4916_1611_48FD_8208_19E7D9B71F1A_.wvu.PrintArea" localSheetId="26" hidden="1">'22'!$B$2:$M$137</definedName>
    <definedName name="Z_F0BD4916_1611_48FD_8208_19E7D9B71F1A_.wvu.PrintArea" localSheetId="27" hidden="1">'23'!$B$2:$M$137</definedName>
    <definedName name="Z_F0BD4916_1611_48FD_8208_19E7D9B71F1A_.wvu.PrintArea" localSheetId="28" hidden="1">'24'!$B$2:$M$137</definedName>
    <definedName name="Z_F0BD4916_1611_48FD_8208_19E7D9B71F1A_.wvu.PrintArea" localSheetId="29" hidden="1">'25'!$B$2:$M$137</definedName>
    <definedName name="Z_F0BD4916_1611_48FD_8208_19E7D9B71F1A_.wvu.PrintArea" localSheetId="30" hidden="1">'26'!$B$2:$M$137</definedName>
    <definedName name="Z_F0BD4916_1611_48FD_8208_19E7D9B71F1A_.wvu.PrintArea" localSheetId="31" hidden="1">'27'!$B$2:$M$137</definedName>
    <definedName name="Z_F0BD4916_1611_48FD_8208_19E7D9B71F1A_.wvu.PrintArea" localSheetId="32" hidden="1">'28'!$B$2:$M$137</definedName>
    <definedName name="Z_F0BD4916_1611_48FD_8208_19E7D9B71F1A_.wvu.PrintArea" localSheetId="33" hidden="1">'29'!$B$2:$M$137</definedName>
    <definedName name="Z_F0BD4916_1611_48FD_8208_19E7D9B71F1A_.wvu.PrintArea" localSheetId="7" hidden="1">'3'!$B$2:$M$137</definedName>
    <definedName name="Z_F0BD4916_1611_48FD_8208_19E7D9B71F1A_.wvu.PrintArea" localSheetId="34" hidden="1">'30'!$B$2:$M$137</definedName>
    <definedName name="Z_F0BD4916_1611_48FD_8208_19E7D9B71F1A_.wvu.PrintArea" localSheetId="35" hidden="1">'31'!$B$2:$M$137</definedName>
    <definedName name="Z_F0BD4916_1611_48FD_8208_19E7D9B71F1A_.wvu.PrintArea" localSheetId="8" hidden="1">'4'!$B$2:$M$137</definedName>
    <definedName name="Z_F0BD4916_1611_48FD_8208_19E7D9B71F1A_.wvu.PrintArea" localSheetId="9" hidden="1">'5'!$B$2:$M$137</definedName>
    <definedName name="Z_F0BD4916_1611_48FD_8208_19E7D9B71F1A_.wvu.PrintArea" localSheetId="10" hidden="1">'6'!$B$2:$M$137</definedName>
    <definedName name="Z_F0BD4916_1611_48FD_8208_19E7D9B71F1A_.wvu.PrintArea" localSheetId="11" hidden="1">'7'!$B$2:$M$137</definedName>
    <definedName name="Z_F0BD4916_1611_48FD_8208_19E7D9B71F1A_.wvu.PrintArea" localSheetId="12" hidden="1">'8'!$B$2:$M$137</definedName>
    <definedName name="Z_F0BD4916_1611_48FD_8208_19E7D9B71F1A_.wvu.PrintArea" localSheetId="13" hidden="1">'9'!$B$2:$M$137</definedName>
  </definedNames>
  <calcPr calcId="191028"/>
  <customWorkbookViews>
    <customWorkbookView name="Nur Fitriah Hani binti Zazali - Personal View" guid="{180A269B-7E32-4D24-945A-4A804FC4280D}" mergeInterval="0" personalView="1" maximized="1" xWindow="-8" yWindow="-8" windowWidth="1382" windowHeight="744" tabRatio="959" activeSheetId="7"/>
    <customWorkbookView name="Zulkifli Bin Ismail - Personal View" guid="{BDCF2A7A-E9D7-4870-941D-0022D12BB670}" mergeInterval="0" personalView="1" maximized="1" xWindow="-8" yWindow="-8" windowWidth="1616" windowHeight="876" tabRatio="959" activeSheetId="22"/>
    <customWorkbookView name="Mohamad Dzulmustaqim - Personal View" guid="{3DB5A1E9-5856-4EA0-B7C8-5278BCF638C4}" mergeInterval="0" personalView="1" maximized="1" xWindow="-9" yWindow="-9" windowWidth="1938" windowHeight="1048" tabRatio="959" activeSheetId="18"/>
    <customWorkbookView name="admin - Personal View" guid="{F0BD4916-1611-48FD-8208-19E7D9B71F1A}" mergeInterval="0" personalView="1" maximized="1" xWindow="-8" yWindow="-8" windowWidth="1382" windowHeight="744" tabRatio="959" activeSheetId="6"/>
    <customWorkbookView name="Afrizal Bin Mohd Arifin - Personal View" guid="{1DCC370E-2FC6-43E0-BC38-BCA3EE5D5128}" mergeInterval="0" personalView="1" maximized="1" xWindow="-8" yWindow="-8" windowWidth="1382" windowHeight="744" tabRatio="959" activeSheetId="9"/>
    <customWorkbookView name="promode3 - Personal View" guid="{C7D8C3A9-FB79-4D22-935E-FEFA619A3CE5}" mergeInterval="0" personalView="1" maximized="1" xWindow="1" yWindow="1" windowWidth="1263" windowHeight="831" tabRatio="959" activeSheetId="26"/>
    <customWorkbookView name="Jaclyn Kelly Tay Shin Ying - Personal View" guid="{C5333697-7BE7-4020-97A4-B735E526926D}" mergeInterval="0" personalView="1" maximized="1" xWindow="-8" yWindow="-8" windowWidth="1382" windowHeight="744" tabRatio="924" activeSheetId="8"/>
    <customWorkbookView name="Muhammad Nur Hakim Bin Jais - Personal View" guid="{9C22FFE9-00CF-47D0-BD99-D84A00825140}" mergeInterval="0" personalView="1" maximized="1" xWindow="-8" yWindow="-8" windowWidth="1382" windowHeight="744" tabRatio="959" activeSheetId="3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8" i="18" l="1"/>
  <c r="L58" i="18"/>
  <c r="M58" i="17"/>
  <c r="G82" i="2"/>
  <c r="G83" i="2"/>
  <c r="M58" i="16"/>
  <c r="M58" i="12"/>
  <c r="N59" i="12"/>
  <c r="B4" i="38"/>
  <c r="D19" i="38"/>
  <c r="B31" i="38"/>
  <c r="C21" i="38"/>
  <c r="B28" i="38"/>
  <c r="B10" i="38"/>
  <c r="E32" i="38"/>
  <c r="D33" i="38"/>
  <c r="D8" i="38"/>
  <c r="D22" i="38"/>
  <c r="F32" i="38"/>
  <c r="B6" i="38"/>
  <c r="D30" i="38"/>
  <c r="B32" i="38"/>
  <c r="F17" i="38"/>
  <c r="F22" i="38"/>
  <c r="D5" i="38"/>
  <c r="F20" i="38"/>
  <c r="D32" i="38"/>
  <c r="E27" i="38"/>
  <c r="C9" i="38"/>
  <c r="E14" i="38"/>
  <c r="C7" i="38"/>
  <c r="E11" i="38"/>
  <c r="F9" i="38"/>
  <c r="F23" i="38"/>
  <c r="C3" i="38"/>
  <c r="D20" i="38"/>
  <c r="D7" i="38"/>
  <c r="D21" i="38"/>
  <c r="F31" i="38"/>
  <c r="C25" i="38"/>
  <c r="E6" i="38"/>
  <c r="F7" i="38"/>
  <c r="F6" i="38"/>
  <c r="B22" i="38"/>
  <c r="F33" i="38"/>
  <c r="E31" i="38"/>
  <c r="E15" i="38"/>
  <c r="C24" i="38"/>
  <c r="B33" i="38"/>
  <c r="B8" i="38"/>
  <c r="D23" i="38"/>
  <c r="B24" i="38"/>
  <c r="E26" i="38"/>
  <c r="E29" i="38"/>
  <c r="C18" i="38"/>
  <c r="E13" i="38"/>
  <c r="C28" i="38"/>
  <c r="B12" i="38"/>
  <c r="B26" i="38"/>
  <c r="C16" i="38"/>
  <c r="D17" i="38"/>
  <c r="E10" i="38"/>
  <c r="E24" i="38"/>
  <c r="F10" i="38"/>
  <c r="F3" i="38"/>
  <c r="E3" i="38"/>
  <c r="F26" i="38"/>
  <c r="E23" i="38"/>
  <c r="C30" i="38"/>
  <c r="F27" i="38"/>
  <c r="E21" i="38"/>
  <c r="E20" i="38"/>
  <c r="F30" i="38"/>
  <c r="C17" i="38"/>
  <c r="D9" i="38"/>
  <c r="F25" i="38"/>
  <c r="C27" i="38"/>
  <c r="D6" i="38"/>
  <c r="C4" i="38"/>
  <c r="E19" i="38"/>
  <c r="E18" i="38"/>
  <c r="B3" i="38"/>
  <c r="B16" i="38"/>
  <c r="D27" i="38"/>
  <c r="E22" i="38"/>
  <c r="E25" i="38"/>
  <c r="B11" i="38"/>
  <c r="B25" i="38"/>
  <c r="C11" i="38"/>
  <c r="B9" i="38"/>
  <c r="C6" i="38"/>
  <c r="C5" i="38"/>
  <c r="C32" i="38"/>
  <c r="D26" i="38"/>
  <c r="E12" i="38"/>
  <c r="E7" i="38"/>
  <c r="C23" i="38"/>
  <c r="E17" i="38"/>
  <c r="F16" i="38"/>
  <c r="F5" i="38"/>
  <c r="B30" i="38"/>
  <c r="D16" i="38"/>
  <c r="B19" i="38"/>
  <c r="C10" i="38"/>
  <c r="C19" i="38"/>
  <c r="F11" i="38"/>
  <c r="B27" i="38"/>
  <c r="C31" i="38"/>
  <c r="D11" i="38"/>
  <c r="E5" i="38"/>
  <c r="C22" i="38"/>
  <c r="D24" i="38"/>
  <c r="D4" i="38"/>
  <c r="D18" i="38"/>
  <c r="F28" i="38"/>
  <c r="C26" i="38"/>
  <c r="D12" i="38"/>
  <c r="F12" i="38"/>
  <c r="D28" i="38"/>
  <c r="E4" i="38"/>
  <c r="C8" i="38"/>
  <c r="B23" i="38"/>
  <c r="F19" i="38"/>
  <c r="D3" i="38"/>
  <c r="E16" i="38"/>
  <c r="E33" i="38"/>
  <c r="E8" i="38"/>
  <c r="C29" i="38"/>
  <c r="B18" i="38"/>
  <c r="F29" i="38"/>
  <c r="C12" i="38"/>
  <c r="F21" i="38"/>
  <c r="E9" i="38"/>
  <c r="E28" i="38"/>
  <c r="D29" i="38"/>
  <c r="B7" i="38"/>
  <c r="B21" i="38"/>
  <c r="D31" i="38"/>
  <c r="E30" i="38"/>
  <c r="F4" i="38"/>
  <c r="F18" i="38"/>
  <c r="B29" i="38"/>
  <c r="B17" i="38"/>
  <c r="D25" i="38"/>
  <c r="F24" i="38"/>
  <c r="B5" i="38"/>
  <c r="B20" i="38"/>
  <c r="C20" i="38"/>
  <c r="C33" i="38"/>
  <c r="D10" i="38"/>
  <c r="F8" i="38"/>
  <c r="I23" i="38" l="1"/>
  <c r="I24" i="38" s="1"/>
  <c r="L33" i="38"/>
  <c r="L34" i="38" s="1"/>
  <c r="K9" i="38"/>
  <c r="K10" i="38" s="1"/>
  <c r="G32" i="38"/>
  <c r="G19" i="38"/>
  <c r="G9" i="38"/>
  <c r="L9" i="38"/>
  <c r="L10" i="38" s="1"/>
  <c r="L11" i="38" s="1"/>
  <c r="G17" i="38"/>
  <c r="H23" i="38"/>
  <c r="H24" i="38" s="1"/>
  <c r="G33" i="38"/>
  <c r="G29" i="38"/>
  <c r="G25" i="38"/>
  <c r="K33" i="38"/>
  <c r="K34" i="38" s="1"/>
  <c r="G20" i="38"/>
  <c r="G11" i="38"/>
  <c r="K16" i="38"/>
  <c r="K17" i="38" s="1"/>
  <c r="G6" i="38"/>
  <c r="J9" i="38"/>
  <c r="J10" i="38" s="1"/>
  <c r="J11" i="38" s="1"/>
  <c r="J23" i="38"/>
  <c r="J24" i="38" s="1"/>
  <c r="G5" i="38"/>
  <c r="I9" i="38"/>
  <c r="I10" i="38" s="1"/>
  <c r="G30" i="38"/>
  <c r="G26" i="38"/>
  <c r="I33" i="38"/>
  <c r="I34" i="38" s="1"/>
  <c r="G21" i="38"/>
  <c r="G16" i="38"/>
  <c r="G12" i="38"/>
  <c r="G7" i="38"/>
  <c r="G3" i="38"/>
  <c r="H9" i="38"/>
  <c r="H10" i="38" s="1"/>
  <c r="G23" i="38"/>
  <c r="J33" i="38"/>
  <c r="J34" i="38" s="1"/>
  <c r="L23" i="38"/>
  <c r="L24" i="38" s="1"/>
  <c r="G10" i="38"/>
  <c r="G28" i="38"/>
  <c r="H33" i="38"/>
  <c r="H34" i="38" s="1"/>
  <c r="G24" i="38"/>
  <c r="G31" i="38"/>
  <c r="G27" i="38"/>
  <c r="G22" i="38"/>
  <c r="G18" i="38"/>
  <c r="K23" i="38"/>
  <c r="K24" i="38" s="1"/>
  <c r="G8" i="38"/>
  <c r="G4" i="38"/>
  <c r="M58" i="11"/>
  <c r="N59" i="11"/>
  <c r="G78" i="2"/>
  <c r="H78" i="2" s="1"/>
  <c r="I78" i="2" s="1"/>
  <c r="I85" i="2"/>
  <c r="I93" i="2"/>
  <c r="I101" i="2"/>
  <c r="D27" i="11"/>
  <c r="H82" i="2"/>
  <c r="I82" i="2" s="1"/>
  <c r="H83" i="2"/>
  <c r="I83" i="2" s="1"/>
  <c r="H85" i="2"/>
  <c r="H86" i="2"/>
  <c r="I86" i="2" s="1"/>
  <c r="H87" i="2"/>
  <c r="I87" i="2" s="1"/>
  <c r="H90" i="2"/>
  <c r="I90" i="2" s="1"/>
  <c r="H91" i="2"/>
  <c r="I91" i="2" s="1"/>
  <c r="H93" i="2"/>
  <c r="H94" i="2"/>
  <c r="I94" i="2" s="1"/>
  <c r="H95" i="2"/>
  <c r="I95" i="2" s="1"/>
  <c r="H98" i="2"/>
  <c r="I98" i="2" s="1"/>
  <c r="H99" i="2"/>
  <c r="I99" i="2" s="1"/>
  <c r="H101" i="2"/>
  <c r="H102" i="2"/>
  <c r="I102" i="2" s="1"/>
  <c r="G73" i="2"/>
  <c r="H73" i="2" s="1"/>
  <c r="I73" i="2" s="1"/>
  <c r="G74" i="2"/>
  <c r="H74" i="2" s="1"/>
  <c r="I74" i="2" s="1"/>
  <c r="G75" i="2"/>
  <c r="H75" i="2" s="1"/>
  <c r="I75" i="2" s="1"/>
  <c r="G76" i="2"/>
  <c r="H76" i="2" s="1"/>
  <c r="I76" i="2" s="1"/>
  <c r="G77" i="2"/>
  <c r="H77" i="2" s="1"/>
  <c r="I77" i="2" s="1"/>
  <c r="G79" i="2"/>
  <c r="H79" i="2" s="1"/>
  <c r="I79" i="2" s="1"/>
  <c r="G80" i="2"/>
  <c r="H80" i="2" s="1"/>
  <c r="I80" i="2" s="1"/>
  <c r="G81" i="2"/>
  <c r="H81" i="2" s="1"/>
  <c r="I81" i="2" s="1"/>
  <c r="G84" i="2"/>
  <c r="H84" i="2" s="1"/>
  <c r="I84" i="2" s="1"/>
  <c r="G85" i="2"/>
  <c r="G86" i="2"/>
  <c r="G87" i="2"/>
  <c r="G88" i="2"/>
  <c r="H88" i="2" s="1"/>
  <c r="I88" i="2" s="1"/>
  <c r="G89" i="2"/>
  <c r="H89" i="2" s="1"/>
  <c r="I89" i="2" s="1"/>
  <c r="G90" i="2"/>
  <c r="G91" i="2"/>
  <c r="G92" i="2"/>
  <c r="H92" i="2" s="1"/>
  <c r="I92" i="2" s="1"/>
  <c r="G93" i="2"/>
  <c r="G94" i="2"/>
  <c r="G95" i="2"/>
  <c r="G96" i="2"/>
  <c r="H96" i="2" s="1"/>
  <c r="I96" i="2" s="1"/>
  <c r="G97" i="2"/>
  <c r="H97" i="2" s="1"/>
  <c r="I97" i="2" s="1"/>
  <c r="G98" i="2"/>
  <c r="G99" i="2"/>
  <c r="G100" i="2"/>
  <c r="H100" i="2" s="1"/>
  <c r="I100" i="2" s="1"/>
  <c r="G101" i="2"/>
  <c r="G102" i="2"/>
  <c r="G72" i="2"/>
  <c r="H72" i="2" s="1"/>
  <c r="I72" i="2" s="1"/>
  <c r="M58" i="10"/>
  <c r="N59" i="10"/>
  <c r="M58" i="9"/>
  <c r="D30" i="8"/>
  <c r="L2" i="36"/>
  <c r="L2" i="35"/>
  <c r="L2" i="34"/>
  <c r="L2" i="33"/>
  <c r="L2" i="32"/>
  <c r="L2" i="31"/>
  <c r="L2" i="30"/>
  <c r="L2" i="29"/>
  <c r="L2" i="28"/>
  <c r="L2" i="27"/>
  <c r="L2" i="26"/>
  <c r="L2" i="25"/>
  <c r="L2" i="24"/>
  <c r="L2" i="23"/>
  <c r="L2" i="22"/>
  <c r="L2" i="21"/>
  <c r="L2" i="20"/>
  <c r="L2" i="19"/>
  <c r="L2" i="18"/>
  <c r="L2" i="17"/>
  <c r="L2" i="16"/>
  <c r="L2" i="15"/>
  <c r="L2" i="14"/>
  <c r="L2" i="13"/>
  <c r="L2" i="12"/>
  <c r="L2" i="11"/>
  <c r="L2" i="10"/>
  <c r="L2" i="9"/>
  <c r="L2" i="8"/>
  <c r="L2" i="7"/>
  <c r="AG66" i="2"/>
  <c r="AG65" i="2"/>
  <c r="AG64" i="2"/>
  <c r="AG63" i="2"/>
  <c r="AG62" i="2"/>
  <c r="AG61" i="2"/>
  <c r="AG60" i="2"/>
  <c r="N131" i="36"/>
  <c r="N130" i="36"/>
  <c r="N129" i="36"/>
  <c r="N128" i="36"/>
  <c r="N127" i="36"/>
  <c r="N126" i="36"/>
  <c r="N125" i="36"/>
  <c r="N124" i="36"/>
  <c r="N123" i="36"/>
  <c r="N122" i="36"/>
  <c r="N121" i="36"/>
  <c r="N120" i="36"/>
  <c r="N119" i="36"/>
  <c r="N118" i="36"/>
  <c r="N117" i="36"/>
  <c r="N116" i="36"/>
  <c r="N115" i="36"/>
  <c r="N114" i="36"/>
  <c r="N113" i="36"/>
  <c r="N112" i="36"/>
  <c r="N111" i="36"/>
  <c r="N110" i="36"/>
  <c r="N109" i="36"/>
  <c r="N108" i="36"/>
  <c r="N107" i="36"/>
  <c r="N106" i="36"/>
  <c r="N105" i="36"/>
  <c r="N104" i="36"/>
  <c r="N103" i="36"/>
  <c r="N102" i="36"/>
  <c r="N101" i="36"/>
  <c r="N100" i="36"/>
  <c r="N99" i="36"/>
  <c r="N98" i="36"/>
  <c r="N97" i="36"/>
  <c r="N96" i="36"/>
  <c r="N95" i="36"/>
  <c r="N94" i="36"/>
  <c r="N93" i="36"/>
  <c r="N92" i="36"/>
  <c r="N91" i="36"/>
  <c r="N90" i="36"/>
  <c r="N89" i="36"/>
  <c r="N88" i="36"/>
  <c r="N87" i="36"/>
  <c r="N86" i="36"/>
  <c r="N85" i="36"/>
  <c r="N84" i="36"/>
  <c r="N83" i="36"/>
  <c r="N82" i="36"/>
  <c r="N81" i="36"/>
  <c r="N80" i="36"/>
  <c r="N79" i="36"/>
  <c r="N78" i="36"/>
  <c r="N77" i="36"/>
  <c r="N76" i="36"/>
  <c r="N75" i="36"/>
  <c r="N74" i="36"/>
  <c r="N73" i="36"/>
  <c r="N72" i="36"/>
  <c r="N71" i="36"/>
  <c r="N70" i="36"/>
  <c r="N69" i="36"/>
  <c r="N68" i="36"/>
  <c r="N67" i="36"/>
  <c r="N66" i="36"/>
  <c r="N65" i="36"/>
  <c r="N64" i="36"/>
  <c r="N63" i="36"/>
  <c r="E58" i="36"/>
  <c r="L52" i="36"/>
  <c r="K52" i="36"/>
  <c r="J52" i="36"/>
  <c r="I52" i="36"/>
  <c r="G52" i="36"/>
  <c r="F52" i="36"/>
  <c r="E52" i="36"/>
  <c r="D52" i="36"/>
  <c r="C52" i="36"/>
  <c r="M49" i="36"/>
  <c r="L49" i="36"/>
  <c r="K49" i="36"/>
  <c r="J49" i="36"/>
  <c r="I49" i="36"/>
  <c r="G49" i="36"/>
  <c r="F49" i="36"/>
  <c r="E49" i="36"/>
  <c r="C49" i="36"/>
  <c r="M46" i="36"/>
  <c r="L46" i="36"/>
  <c r="K46" i="36"/>
  <c r="J46" i="36"/>
  <c r="I46" i="36"/>
  <c r="G46" i="36"/>
  <c r="F46" i="36"/>
  <c r="E46" i="36"/>
  <c r="D46" i="36"/>
  <c r="D54" i="36"/>
  <c r="C46" i="36"/>
  <c r="I41" i="36"/>
  <c r="G41" i="36"/>
  <c r="F41" i="36"/>
  <c r="E41" i="36"/>
  <c r="D41" i="36"/>
  <c r="C41" i="36"/>
  <c r="K40" i="36"/>
  <c r="J40" i="36"/>
  <c r="K39" i="36"/>
  <c r="J39" i="36"/>
  <c r="K38" i="36"/>
  <c r="J38" i="36"/>
  <c r="K37" i="36"/>
  <c r="J37" i="36"/>
  <c r="K36" i="36"/>
  <c r="J36" i="36"/>
  <c r="K35" i="36"/>
  <c r="J35" i="36"/>
  <c r="K34" i="36"/>
  <c r="J34" i="36"/>
  <c r="K33" i="36"/>
  <c r="J33" i="36"/>
  <c r="K32" i="36"/>
  <c r="J32" i="36"/>
  <c r="K31" i="36"/>
  <c r="J31" i="36"/>
  <c r="K30" i="36"/>
  <c r="J30" i="36"/>
  <c r="K29" i="36"/>
  <c r="J29" i="36"/>
  <c r="K28" i="36"/>
  <c r="J28" i="36"/>
  <c r="J41" i="36"/>
  <c r="K27" i="36"/>
  <c r="J27" i="36"/>
  <c r="K26" i="36"/>
  <c r="J26" i="36"/>
  <c r="K25" i="36"/>
  <c r="J25" i="36"/>
  <c r="H15" i="36"/>
  <c r="H19" i="36"/>
  <c r="H11" i="36"/>
  <c r="H7" i="36"/>
  <c r="K2" i="36"/>
  <c r="N131" i="35"/>
  <c r="N130" i="35"/>
  <c r="N129" i="35"/>
  <c r="N128" i="35"/>
  <c r="N127" i="35"/>
  <c r="N126" i="35"/>
  <c r="N125" i="35"/>
  <c r="N124" i="35"/>
  <c r="N123" i="35"/>
  <c r="N122" i="35"/>
  <c r="N121" i="35"/>
  <c r="N120" i="35"/>
  <c r="N119" i="35"/>
  <c r="N118" i="35"/>
  <c r="N117" i="35"/>
  <c r="N116" i="35"/>
  <c r="N115" i="35"/>
  <c r="N114" i="35"/>
  <c r="N113" i="35"/>
  <c r="N112" i="35"/>
  <c r="N111" i="35"/>
  <c r="N110" i="35"/>
  <c r="N109" i="35"/>
  <c r="N108" i="35"/>
  <c r="N107" i="35"/>
  <c r="N106" i="35"/>
  <c r="N105" i="35"/>
  <c r="N104" i="35"/>
  <c r="N103" i="35"/>
  <c r="N102" i="35"/>
  <c r="N101" i="35"/>
  <c r="N100" i="35"/>
  <c r="N99" i="35"/>
  <c r="N98" i="35"/>
  <c r="N97" i="35"/>
  <c r="N96" i="35"/>
  <c r="N95" i="35"/>
  <c r="N94" i="35"/>
  <c r="N93" i="35"/>
  <c r="N92" i="35"/>
  <c r="N91" i="35"/>
  <c r="N90" i="35"/>
  <c r="N89" i="35"/>
  <c r="N88" i="35"/>
  <c r="N87" i="35"/>
  <c r="N86" i="35"/>
  <c r="N85" i="35"/>
  <c r="N84" i="35"/>
  <c r="N83" i="35"/>
  <c r="N82" i="35"/>
  <c r="N81" i="35"/>
  <c r="N80" i="35"/>
  <c r="N79" i="35"/>
  <c r="N78" i="35"/>
  <c r="N77" i="35"/>
  <c r="N76" i="35"/>
  <c r="N75" i="35"/>
  <c r="N74" i="35"/>
  <c r="N73" i="35"/>
  <c r="N72" i="35"/>
  <c r="N71" i="35"/>
  <c r="N70" i="35"/>
  <c r="N69" i="35"/>
  <c r="N68" i="35"/>
  <c r="N67" i="35"/>
  <c r="N66" i="35"/>
  <c r="N65" i="35"/>
  <c r="N64" i="35"/>
  <c r="N63" i="35"/>
  <c r="E58" i="35"/>
  <c r="L52" i="35"/>
  <c r="K52" i="35"/>
  <c r="J52" i="35"/>
  <c r="I52" i="35"/>
  <c r="G52" i="35"/>
  <c r="F52" i="35"/>
  <c r="E52" i="35"/>
  <c r="D52" i="35"/>
  <c r="C52" i="35"/>
  <c r="M49" i="35"/>
  <c r="L49" i="35"/>
  <c r="K49" i="35"/>
  <c r="J49" i="35"/>
  <c r="I49" i="35"/>
  <c r="G49" i="35"/>
  <c r="F49" i="35"/>
  <c r="E49" i="35"/>
  <c r="C49" i="35"/>
  <c r="M46" i="35"/>
  <c r="L46" i="35"/>
  <c r="K46" i="35"/>
  <c r="J46" i="35"/>
  <c r="I46" i="35"/>
  <c r="G46" i="35"/>
  <c r="F46" i="35"/>
  <c r="E46" i="35"/>
  <c r="D46" i="35"/>
  <c r="C46" i="35"/>
  <c r="I41" i="35"/>
  <c r="G41" i="35"/>
  <c r="F41" i="35"/>
  <c r="E41" i="35"/>
  <c r="D41" i="35"/>
  <c r="C41" i="35"/>
  <c r="K40" i="35"/>
  <c r="J40" i="35"/>
  <c r="K39" i="35"/>
  <c r="J39" i="35"/>
  <c r="K38" i="35"/>
  <c r="J38" i="35"/>
  <c r="K37" i="35"/>
  <c r="J37" i="35"/>
  <c r="K36" i="35"/>
  <c r="J36" i="35"/>
  <c r="K35" i="35"/>
  <c r="J35" i="35"/>
  <c r="K34" i="35"/>
  <c r="J34" i="35"/>
  <c r="K33" i="35"/>
  <c r="J33" i="35"/>
  <c r="K32" i="35"/>
  <c r="J32" i="35"/>
  <c r="K31" i="35"/>
  <c r="J31" i="35"/>
  <c r="K30" i="35"/>
  <c r="J30" i="35"/>
  <c r="K29" i="35"/>
  <c r="J29" i="35"/>
  <c r="K28" i="35"/>
  <c r="J28" i="35"/>
  <c r="K27" i="35"/>
  <c r="J27" i="35"/>
  <c r="K26" i="35"/>
  <c r="J26" i="35"/>
  <c r="K25" i="35"/>
  <c r="K41" i="35"/>
  <c r="J25" i="35"/>
  <c r="H15" i="35"/>
  <c r="H11" i="35"/>
  <c r="H7" i="35"/>
  <c r="K2" i="35"/>
  <c r="N131" i="34"/>
  <c r="N130" i="34"/>
  <c r="N129" i="34"/>
  <c r="N128" i="34"/>
  <c r="N127" i="34"/>
  <c r="N126" i="34"/>
  <c r="N125" i="34"/>
  <c r="N124" i="34"/>
  <c r="N123" i="34"/>
  <c r="N122" i="34"/>
  <c r="N121" i="34"/>
  <c r="N120" i="34"/>
  <c r="N119" i="34"/>
  <c r="N118" i="34"/>
  <c r="N117" i="34"/>
  <c r="N116" i="34"/>
  <c r="N115" i="34"/>
  <c r="N114" i="34"/>
  <c r="N113" i="34"/>
  <c r="N112" i="34"/>
  <c r="N111" i="34"/>
  <c r="N110" i="34"/>
  <c r="N109" i="34"/>
  <c r="N108" i="34"/>
  <c r="N107" i="34"/>
  <c r="N106" i="34"/>
  <c r="N105" i="34"/>
  <c r="N104" i="34"/>
  <c r="N103" i="34"/>
  <c r="N102" i="34"/>
  <c r="N101" i="34"/>
  <c r="N100" i="34"/>
  <c r="N99" i="34"/>
  <c r="N98" i="34"/>
  <c r="N97" i="34"/>
  <c r="N96" i="34"/>
  <c r="N95" i="34"/>
  <c r="N94" i="34"/>
  <c r="N93" i="34"/>
  <c r="N92" i="34"/>
  <c r="N91" i="34"/>
  <c r="N90" i="34"/>
  <c r="N89" i="34"/>
  <c r="N88" i="34"/>
  <c r="N87" i="34"/>
  <c r="N86" i="34"/>
  <c r="N85" i="34"/>
  <c r="N84" i="34"/>
  <c r="N83" i="34"/>
  <c r="N82" i="34"/>
  <c r="N81" i="34"/>
  <c r="N80" i="34"/>
  <c r="N79" i="34"/>
  <c r="N78" i="34"/>
  <c r="N77" i="34"/>
  <c r="N76" i="34"/>
  <c r="N75" i="34"/>
  <c r="N74" i="34"/>
  <c r="N73" i="34"/>
  <c r="N72" i="34"/>
  <c r="N71" i="34"/>
  <c r="N70" i="34"/>
  <c r="N69" i="34"/>
  <c r="N68" i="34"/>
  <c r="N67" i="34"/>
  <c r="N66" i="34"/>
  <c r="N65" i="34"/>
  <c r="N64" i="34"/>
  <c r="N63" i="34"/>
  <c r="E58" i="34"/>
  <c r="L52" i="34"/>
  <c r="K52" i="34"/>
  <c r="J52" i="34"/>
  <c r="I52" i="34"/>
  <c r="G52" i="34"/>
  <c r="F52" i="34"/>
  <c r="E52" i="34"/>
  <c r="D52" i="34"/>
  <c r="C52" i="34"/>
  <c r="M49" i="34"/>
  <c r="L49" i="34"/>
  <c r="K49" i="34"/>
  <c r="J49" i="34"/>
  <c r="I49" i="34"/>
  <c r="G49" i="34"/>
  <c r="F49" i="34"/>
  <c r="E49" i="34"/>
  <c r="C49" i="34"/>
  <c r="M46" i="34"/>
  <c r="L46" i="34"/>
  <c r="K46" i="34"/>
  <c r="J46" i="34"/>
  <c r="I46" i="34"/>
  <c r="G46" i="34"/>
  <c r="F46" i="34"/>
  <c r="E46" i="34"/>
  <c r="D46" i="34"/>
  <c r="C46" i="34"/>
  <c r="I41" i="34"/>
  <c r="G41" i="34"/>
  <c r="F41" i="34"/>
  <c r="E41" i="34"/>
  <c r="D41" i="34"/>
  <c r="C41" i="34"/>
  <c r="K40" i="34"/>
  <c r="J40" i="34"/>
  <c r="K39" i="34"/>
  <c r="J39" i="34"/>
  <c r="K38" i="34"/>
  <c r="J38" i="34"/>
  <c r="K37" i="34"/>
  <c r="J37" i="34"/>
  <c r="K36" i="34"/>
  <c r="J36" i="34"/>
  <c r="K35" i="34"/>
  <c r="J35" i="34"/>
  <c r="K34" i="34"/>
  <c r="J34" i="34"/>
  <c r="K33" i="34"/>
  <c r="J33" i="34"/>
  <c r="K32" i="34"/>
  <c r="J32" i="34"/>
  <c r="K31" i="34"/>
  <c r="J31" i="34"/>
  <c r="K30" i="34"/>
  <c r="J30" i="34"/>
  <c r="K29" i="34"/>
  <c r="J29" i="34"/>
  <c r="K28" i="34"/>
  <c r="J28" i="34"/>
  <c r="J41" i="34"/>
  <c r="K27" i="34"/>
  <c r="J27" i="34"/>
  <c r="K26" i="34"/>
  <c r="J26" i="34"/>
  <c r="K25" i="34"/>
  <c r="K41" i="34"/>
  <c r="J25" i="34"/>
  <c r="H15" i="34"/>
  <c r="H11" i="34"/>
  <c r="H7" i="34"/>
  <c r="K2" i="34"/>
  <c r="N131" i="33"/>
  <c r="N130" i="33"/>
  <c r="N129" i="33"/>
  <c r="N128" i="33"/>
  <c r="N127" i="33"/>
  <c r="N126" i="33"/>
  <c r="N125" i="33"/>
  <c r="N124" i="33"/>
  <c r="N123" i="33"/>
  <c r="N122" i="33"/>
  <c r="N121" i="33"/>
  <c r="N120" i="33"/>
  <c r="N119" i="33"/>
  <c r="N118" i="33"/>
  <c r="N117" i="33"/>
  <c r="N116" i="33"/>
  <c r="N115" i="33"/>
  <c r="N114" i="33"/>
  <c r="N113" i="33"/>
  <c r="N112" i="33"/>
  <c r="N111" i="33"/>
  <c r="N110" i="33"/>
  <c r="N109" i="33"/>
  <c r="N108" i="33"/>
  <c r="N107" i="33"/>
  <c r="N106" i="33"/>
  <c r="N105" i="33"/>
  <c r="N104" i="33"/>
  <c r="N103" i="33"/>
  <c r="N102" i="33"/>
  <c r="N101" i="33"/>
  <c r="N100" i="33"/>
  <c r="N99" i="33"/>
  <c r="N98" i="33"/>
  <c r="N97" i="33"/>
  <c r="N96" i="33"/>
  <c r="N95" i="33"/>
  <c r="N94" i="33"/>
  <c r="N93" i="33"/>
  <c r="N92" i="33"/>
  <c r="N91" i="33"/>
  <c r="N90" i="33"/>
  <c r="N89" i="33"/>
  <c r="N88" i="33"/>
  <c r="N87" i="33"/>
  <c r="N86" i="33"/>
  <c r="N85" i="33"/>
  <c r="N84" i="33"/>
  <c r="N83" i="33"/>
  <c r="N82" i="33"/>
  <c r="N81" i="33"/>
  <c r="N80" i="33"/>
  <c r="N79" i="33"/>
  <c r="N78" i="33"/>
  <c r="N77" i="33"/>
  <c r="N76" i="33"/>
  <c r="N75" i="33"/>
  <c r="N74" i="33"/>
  <c r="N73" i="33"/>
  <c r="N72" i="33"/>
  <c r="N71" i="33"/>
  <c r="N70" i="33"/>
  <c r="N69" i="33"/>
  <c r="N68" i="33"/>
  <c r="N67" i="33"/>
  <c r="N66" i="33"/>
  <c r="N65" i="33"/>
  <c r="N64" i="33"/>
  <c r="N63" i="33"/>
  <c r="E58" i="33"/>
  <c r="L52" i="33"/>
  <c r="K52" i="33"/>
  <c r="J52" i="33"/>
  <c r="I52" i="33"/>
  <c r="G52" i="33"/>
  <c r="F52" i="33"/>
  <c r="E52" i="33"/>
  <c r="D52" i="33"/>
  <c r="C52" i="33"/>
  <c r="M49" i="33"/>
  <c r="L49" i="33"/>
  <c r="K49" i="33"/>
  <c r="J49" i="33"/>
  <c r="I49" i="33"/>
  <c r="G49" i="33"/>
  <c r="F49" i="33"/>
  <c r="E49" i="33"/>
  <c r="C49" i="33"/>
  <c r="M46" i="33"/>
  <c r="L46" i="33"/>
  <c r="K46" i="33"/>
  <c r="J46" i="33"/>
  <c r="I46" i="33"/>
  <c r="G46" i="33"/>
  <c r="F46" i="33"/>
  <c r="E46" i="33"/>
  <c r="D46" i="33"/>
  <c r="C46" i="33"/>
  <c r="I41" i="33"/>
  <c r="G41" i="33"/>
  <c r="F41" i="33"/>
  <c r="E41" i="33"/>
  <c r="D41" i="33"/>
  <c r="C41" i="33"/>
  <c r="K40" i="33"/>
  <c r="J40" i="33"/>
  <c r="K39" i="33"/>
  <c r="J39" i="33"/>
  <c r="K38" i="33"/>
  <c r="J38" i="33"/>
  <c r="K37" i="33"/>
  <c r="J37" i="33"/>
  <c r="K36" i="33"/>
  <c r="J36" i="33"/>
  <c r="K35" i="33"/>
  <c r="J35" i="33"/>
  <c r="K34" i="33"/>
  <c r="J34" i="33"/>
  <c r="K33" i="33"/>
  <c r="J33" i="33"/>
  <c r="K32" i="33"/>
  <c r="J32" i="33"/>
  <c r="K31" i="33"/>
  <c r="J31" i="33"/>
  <c r="K30" i="33"/>
  <c r="J30" i="33"/>
  <c r="K29" i="33"/>
  <c r="J29" i="33"/>
  <c r="K28" i="33"/>
  <c r="J28" i="33"/>
  <c r="K27" i="33"/>
  <c r="J27" i="33"/>
  <c r="K26" i="33"/>
  <c r="J26" i="33"/>
  <c r="K25" i="33"/>
  <c r="J25" i="33"/>
  <c r="H15" i="33"/>
  <c r="H11" i="33"/>
  <c r="H7" i="33"/>
  <c r="K2" i="33"/>
  <c r="N131" i="32"/>
  <c r="N130" i="32"/>
  <c r="N129" i="32"/>
  <c r="N128" i="32"/>
  <c r="N127" i="32"/>
  <c r="N126" i="32"/>
  <c r="N125" i="32"/>
  <c r="N124" i="32"/>
  <c r="N123" i="32"/>
  <c r="N122" i="32"/>
  <c r="N121" i="32"/>
  <c r="N120" i="32"/>
  <c r="N119" i="32"/>
  <c r="N118" i="32"/>
  <c r="N117" i="32"/>
  <c r="N116" i="32"/>
  <c r="N115" i="32"/>
  <c r="N114" i="32"/>
  <c r="N113" i="32"/>
  <c r="N112" i="32"/>
  <c r="N111" i="32"/>
  <c r="N110" i="32"/>
  <c r="N109" i="32"/>
  <c r="N108" i="32"/>
  <c r="N107" i="32"/>
  <c r="N106" i="32"/>
  <c r="N105" i="32"/>
  <c r="N104" i="32"/>
  <c r="N103" i="32"/>
  <c r="N102" i="32"/>
  <c r="N101" i="32"/>
  <c r="N100" i="32"/>
  <c r="N99" i="32"/>
  <c r="N98" i="32"/>
  <c r="N97" i="32"/>
  <c r="N96" i="32"/>
  <c r="N95" i="32"/>
  <c r="N94" i="32"/>
  <c r="N93" i="32"/>
  <c r="N92" i="32"/>
  <c r="N91" i="32"/>
  <c r="N90" i="32"/>
  <c r="N89" i="32"/>
  <c r="N88" i="32"/>
  <c r="N87" i="32"/>
  <c r="N86" i="32"/>
  <c r="N85" i="32"/>
  <c r="N84" i="32"/>
  <c r="N83" i="32"/>
  <c r="N82" i="32"/>
  <c r="N81" i="32"/>
  <c r="N80" i="32"/>
  <c r="N79" i="32"/>
  <c r="N78" i="32"/>
  <c r="N77" i="32"/>
  <c r="N76" i="32"/>
  <c r="N75" i="32"/>
  <c r="N74" i="32"/>
  <c r="N73" i="32"/>
  <c r="N72" i="32"/>
  <c r="N71" i="32"/>
  <c r="N70" i="32"/>
  <c r="N69" i="32"/>
  <c r="N68" i="32"/>
  <c r="N67" i="32"/>
  <c r="N66" i="32"/>
  <c r="N65" i="32"/>
  <c r="N64" i="32"/>
  <c r="N63" i="32"/>
  <c r="E58" i="32"/>
  <c r="L52" i="32"/>
  <c r="K52" i="32"/>
  <c r="J52" i="32"/>
  <c r="I52" i="32"/>
  <c r="G52" i="32"/>
  <c r="F52" i="32"/>
  <c r="E52" i="32"/>
  <c r="D52" i="32"/>
  <c r="C52" i="32"/>
  <c r="M49" i="32"/>
  <c r="L49" i="32"/>
  <c r="K49" i="32"/>
  <c r="J49" i="32"/>
  <c r="I49" i="32"/>
  <c r="G49" i="32"/>
  <c r="F49" i="32"/>
  <c r="E49" i="32"/>
  <c r="C49" i="32"/>
  <c r="M46" i="32"/>
  <c r="L46" i="32"/>
  <c r="K46" i="32"/>
  <c r="J46" i="32"/>
  <c r="I46" i="32"/>
  <c r="G46" i="32"/>
  <c r="F46" i="32"/>
  <c r="E46" i="32"/>
  <c r="D46" i="32"/>
  <c r="C46" i="32"/>
  <c r="I41" i="32"/>
  <c r="G41" i="32"/>
  <c r="F41" i="32"/>
  <c r="E41" i="32"/>
  <c r="D41" i="32"/>
  <c r="C41" i="32"/>
  <c r="K40" i="32"/>
  <c r="J40" i="32"/>
  <c r="K39" i="32"/>
  <c r="J39" i="32"/>
  <c r="K38" i="32"/>
  <c r="J38" i="32"/>
  <c r="K37" i="32"/>
  <c r="J37" i="32"/>
  <c r="K36" i="32"/>
  <c r="J36" i="32"/>
  <c r="K35" i="32"/>
  <c r="J35" i="32"/>
  <c r="K34" i="32"/>
  <c r="J34" i="32"/>
  <c r="K33" i="32"/>
  <c r="J33" i="32"/>
  <c r="K32" i="32"/>
  <c r="J32" i="32"/>
  <c r="K31" i="32"/>
  <c r="J31" i="32"/>
  <c r="K30" i="32"/>
  <c r="J30" i="32"/>
  <c r="K29" i="32"/>
  <c r="J29" i="32"/>
  <c r="K28" i="32"/>
  <c r="J28" i="32"/>
  <c r="K27" i="32"/>
  <c r="J27" i="32"/>
  <c r="K26" i="32"/>
  <c r="J26" i="32"/>
  <c r="K25" i="32"/>
  <c r="J25" i="32"/>
  <c r="H15" i="32"/>
  <c r="H11" i="32"/>
  <c r="H7" i="32"/>
  <c r="K2" i="32"/>
  <c r="N131" i="31"/>
  <c r="N130" i="31"/>
  <c r="N129" i="31"/>
  <c r="N128" i="31"/>
  <c r="N127" i="31"/>
  <c r="N126" i="31"/>
  <c r="N125" i="31"/>
  <c r="N124" i="31"/>
  <c r="N123" i="31"/>
  <c r="N122" i="31"/>
  <c r="N121" i="31"/>
  <c r="N120" i="31"/>
  <c r="N119" i="31"/>
  <c r="N118" i="31"/>
  <c r="N117" i="31"/>
  <c r="N116" i="31"/>
  <c r="N115" i="31"/>
  <c r="N114" i="31"/>
  <c r="N113" i="31"/>
  <c r="N112" i="31"/>
  <c r="N111" i="31"/>
  <c r="N110" i="31"/>
  <c r="N109" i="31"/>
  <c r="N108" i="31"/>
  <c r="N107" i="31"/>
  <c r="N106" i="31"/>
  <c r="N105" i="31"/>
  <c r="N104" i="31"/>
  <c r="N103" i="31"/>
  <c r="N102" i="31"/>
  <c r="N101" i="31"/>
  <c r="N100" i="31"/>
  <c r="N99" i="31"/>
  <c r="N98" i="31"/>
  <c r="N97" i="31"/>
  <c r="N96" i="31"/>
  <c r="N95" i="31"/>
  <c r="N94" i="31"/>
  <c r="N93" i="31"/>
  <c r="N92" i="31"/>
  <c r="N91" i="31"/>
  <c r="N90" i="31"/>
  <c r="N89" i="31"/>
  <c r="N88" i="31"/>
  <c r="N87" i="31"/>
  <c r="N86" i="31"/>
  <c r="N85" i="31"/>
  <c r="N84" i="31"/>
  <c r="N83" i="31"/>
  <c r="N82" i="31"/>
  <c r="N81" i="31"/>
  <c r="N80" i="31"/>
  <c r="N79" i="31"/>
  <c r="N78" i="31"/>
  <c r="N77" i="31"/>
  <c r="N76" i="31"/>
  <c r="N75" i="31"/>
  <c r="N74" i="31"/>
  <c r="N73" i="31"/>
  <c r="N72" i="31"/>
  <c r="N71" i="31"/>
  <c r="N70" i="31"/>
  <c r="N69" i="31"/>
  <c r="N68" i="31"/>
  <c r="N67" i="31"/>
  <c r="N66" i="31"/>
  <c r="N65" i="31"/>
  <c r="N64" i="31"/>
  <c r="N63" i="31"/>
  <c r="E58" i="31"/>
  <c r="L52" i="31"/>
  <c r="K52" i="31"/>
  <c r="J52" i="31"/>
  <c r="I52" i="31"/>
  <c r="G52" i="31"/>
  <c r="F52" i="31"/>
  <c r="E52" i="31"/>
  <c r="D52" i="31"/>
  <c r="C52" i="31"/>
  <c r="M49" i="31"/>
  <c r="L49" i="31"/>
  <c r="K49" i="31"/>
  <c r="J49" i="31"/>
  <c r="I49" i="31"/>
  <c r="G49" i="31"/>
  <c r="F49" i="31"/>
  <c r="E49" i="31"/>
  <c r="C49" i="31"/>
  <c r="M46" i="31"/>
  <c r="L46" i="31"/>
  <c r="K46" i="31"/>
  <c r="J46" i="31"/>
  <c r="I46" i="31"/>
  <c r="G46" i="31"/>
  <c r="F46" i="31"/>
  <c r="E46" i="31"/>
  <c r="D46" i="31"/>
  <c r="C46" i="31"/>
  <c r="I41" i="31"/>
  <c r="G41" i="31"/>
  <c r="F41" i="31"/>
  <c r="E41" i="31"/>
  <c r="D41" i="31"/>
  <c r="C41" i="31"/>
  <c r="K40" i="31"/>
  <c r="J40" i="31"/>
  <c r="K39" i="31"/>
  <c r="J39" i="31"/>
  <c r="K38" i="31"/>
  <c r="J38" i="31"/>
  <c r="K37" i="31"/>
  <c r="J37" i="31"/>
  <c r="K36" i="31"/>
  <c r="J36" i="31"/>
  <c r="K35" i="31"/>
  <c r="J35" i="31"/>
  <c r="K34" i="31"/>
  <c r="J34" i="31"/>
  <c r="K33" i="31"/>
  <c r="J33" i="31"/>
  <c r="K32" i="31"/>
  <c r="J32" i="31"/>
  <c r="K31" i="31"/>
  <c r="J31" i="31"/>
  <c r="K30" i="31"/>
  <c r="J30" i="31"/>
  <c r="K29" i="31"/>
  <c r="J29" i="31"/>
  <c r="K28" i="31"/>
  <c r="J28" i="31"/>
  <c r="K27" i="31"/>
  <c r="J27" i="31"/>
  <c r="K26" i="31"/>
  <c r="J26" i="31"/>
  <c r="K25" i="31"/>
  <c r="J25" i="31"/>
  <c r="J41" i="31"/>
  <c r="H15" i="31"/>
  <c r="H11" i="31"/>
  <c r="H7" i="31"/>
  <c r="H19" i="31"/>
  <c r="K2" i="31"/>
  <c r="N131" i="30"/>
  <c r="N130" i="30"/>
  <c r="N129" i="30"/>
  <c r="N128" i="30"/>
  <c r="N127" i="30"/>
  <c r="N126" i="30"/>
  <c r="N125" i="30"/>
  <c r="N124" i="30"/>
  <c r="N123" i="30"/>
  <c r="N122" i="30"/>
  <c r="N121" i="30"/>
  <c r="N120" i="30"/>
  <c r="N119" i="30"/>
  <c r="N118" i="30"/>
  <c r="N117" i="30"/>
  <c r="N116" i="30"/>
  <c r="N115" i="30"/>
  <c r="N114" i="30"/>
  <c r="N113" i="30"/>
  <c r="N112" i="30"/>
  <c r="N111" i="30"/>
  <c r="N110" i="30"/>
  <c r="N109" i="30"/>
  <c r="N108" i="30"/>
  <c r="N107" i="30"/>
  <c r="N106" i="30"/>
  <c r="N105" i="30"/>
  <c r="N104" i="30"/>
  <c r="N103" i="30"/>
  <c r="N102" i="30"/>
  <c r="N101" i="30"/>
  <c r="N100" i="30"/>
  <c r="N99" i="30"/>
  <c r="N98" i="30"/>
  <c r="N97" i="30"/>
  <c r="N96" i="30"/>
  <c r="N95" i="30"/>
  <c r="N94" i="30"/>
  <c r="N93" i="30"/>
  <c r="N92" i="30"/>
  <c r="N91" i="30"/>
  <c r="N90" i="30"/>
  <c r="N89" i="30"/>
  <c r="N88" i="30"/>
  <c r="N87" i="30"/>
  <c r="N86" i="30"/>
  <c r="N85" i="30"/>
  <c r="N84" i="30"/>
  <c r="N83" i="30"/>
  <c r="N82" i="30"/>
  <c r="N81" i="30"/>
  <c r="N80" i="30"/>
  <c r="N79" i="30"/>
  <c r="N78" i="30"/>
  <c r="N77" i="30"/>
  <c r="N76" i="30"/>
  <c r="N75" i="30"/>
  <c r="N74" i="30"/>
  <c r="N73" i="30"/>
  <c r="N72" i="30"/>
  <c r="N71" i="30"/>
  <c r="N70" i="30"/>
  <c r="N69" i="30"/>
  <c r="N68" i="30"/>
  <c r="N67" i="30"/>
  <c r="N66" i="30"/>
  <c r="N65" i="30"/>
  <c r="N64" i="30"/>
  <c r="N63" i="30"/>
  <c r="E58" i="30"/>
  <c r="L52" i="30"/>
  <c r="K52" i="30"/>
  <c r="J52" i="30"/>
  <c r="I52" i="30"/>
  <c r="G52" i="30"/>
  <c r="F52" i="30"/>
  <c r="E52" i="30"/>
  <c r="D52" i="30"/>
  <c r="C52" i="30"/>
  <c r="M49" i="30"/>
  <c r="L49" i="30"/>
  <c r="K49" i="30"/>
  <c r="J49" i="30"/>
  <c r="I49" i="30"/>
  <c r="G49" i="30"/>
  <c r="F49" i="30"/>
  <c r="E49" i="30"/>
  <c r="C49" i="30"/>
  <c r="M46" i="30"/>
  <c r="L46" i="30"/>
  <c r="K46" i="30"/>
  <c r="J46" i="30"/>
  <c r="I46" i="30"/>
  <c r="G46" i="30"/>
  <c r="F46" i="30"/>
  <c r="E46" i="30"/>
  <c r="D46" i="30"/>
  <c r="C46" i="30"/>
  <c r="I41" i="30"/>
  <c r="G41" i="30"/>
  <c r="F41" i="30"/>
  <c r="E41" i="30"/>
  <c r="D41" i="30"/>
  <c r="C41" i="30"/>
  <c r="K40" i="30"/>
  <c r="J40" i="30"/>
  <c r="K39" i="30"/>
  <c r="J39" i="30"/>
  <c r="K38" i="30"/>
  <c r="J38" i="30"/>
  <c r="K37" i="30"/>
  <c r="J37" i="30"/>
  <c r="K36" i="30"/>
  <c r="J36" i="30"/>
  <c r="K35" i="30"/>
  <c r="J35" i="30"/>
  <c r="K34" i="30"/>
  <c r="J34" i="30"/>
  <c r="K33" i="30"/>
  <c r="J33" i="30"/>
  <c r="K32" i="30"/>
  <c r="J32" i="30"/>
  <c r="K31" i="30"/>
  <c r="J31" i="30"/>
  <c r="K30" i="30"/>
  <c r="J30" i="30"/>
  <c r="K29" i="30"/>
  <c r="J29" i="30"/>
  <c r="K28" i="30"/>
  <c r="J28" i="30"/>
  <c r="J41" i="30"/>
  <c r="K27" i="30"/>
  <c r="J27" i="30"/>
  <c r="K26" i="30"/>
  <c r="J26" i="30"/>
  <c r="K25" i="30"/>
  <c r="J25" i="30"/>
  <c r="H15" i="30"/>
  <c r="H11" i="30"/>
  <c r="H7" i="30"/>
  <c r="H19" i="30"/>
  <c r="K2" i="30"/>
  <c r="N131" i="29"/>
  <c r="N130" i="29"/>
  <c r="N129" i="29"/>
  <c r="N128" i="29"/>
  <c r="N127" i="29"/>
  <c r="N126" i="29"/>
  <c r="N125" i="29"/>
  <c r="N124" i="29"/>
  <c r="N123" i="29"/>
  <c r="N122" i="29"/>
  <c r="N121" i="29"/>
  <c r="N120" i="29"/>
  <c r="N119" i="29"/>
  <c r="N118" i="29"/>
  <c r="N117" i="29"/>
  <c r="N116" i="29"/>
  <c r="N115" i="29"/>
  <c r="N114" i="29"/>
  <c r="N113" i="29"/>
  <c r="N112" i="29"/>
  <c r="N111" i="29"/>
  <c r="N110" i="29"/>
  <c r="N109" i="29"/>
  <c r="N108" i="29"/>
  <c r="N107" i="29"/>
  <c r="N106" i="29"/>
  <c r="N105" i="29"/>
  <c r="N104" i="29"/>
  <c r="N103" i="29"/>
  <c r="N102" i="29"/>
  <c r="N101" i="29"/>
  <c r="N100" i="29"/>
  <c r="N99" i="29"/>
  <c r="N98" i="29"/>
  <c r="N97" i="29"/>
  <c r="N96" i="29"/>
  <c r="N95" i="29"/>
  <c r="N94" i="29"/>
  <c r="N93" i="29"/>
  <c r="N92" i="29"/>
  <c r="N91" i="29"/>
  <c r="N90" i="29"/>
  <c r="N89" i="29"/>
  <c r="N88" i="29"/>
  <c r="N87" i="29"/>
  <c r="N86" i="29"/>
  <c r="N85" i="29"/>
  <c r="N84" i="29"/>
  <c r="N83" i="29"/>
  <c r="N82" i="29"/>
  <c r="N81" i="29"/>
  <c r="N80" i="29"/>
  <c r="N79" i="29"/>
  <c r="N78" i="29"/>
  <c r="N77" i="29"/>
  <c r="N76" i="29"/>
  <c r="N75" i="29"/>
  <c r="N74" i="29"/>
  <c r="N73" i="29"/>
  <c r="N72" i="29"/>
  <c r="N71" i="29"/>
  <c r="N70" i="29"/>
  <c r="N69" i="29"/>
  <c r="N68" i="29"/>
  <c r="N67" i="29"/>
  <c r="N66" i="29"/>
  <c r="N65" i="29"/>
  <c r="N64" i="29"/>
  <c r="N63" i="29"/>
  <c r="E58" i="29"/>
  <c r="L52" i="29"/>
  <c r="K52" i="29"/>
  <c r="J52" i="29"/>
  <c r="I52" i="29"/>
  <c r="G52" i="29"/>
  <c r="F52" i="29"/>
  <c r="E52" i="29"/>
  <c r="D52" i="29"/>
  <c r="C52" i="29"/>
  <c r="M49" i="29"/>
  <c r="L49" i="29"/>
  <c r="K49" i="29"/>
  <c r="J49" i="29"/>
  <c r="I49" i="29"/>
  <c r="G49" i="29"/>
  <c r="F49" i="29"/>
  <c r="E49" i="29"/>
  <c r="C49" i="29"/>
  <c r="M46" i="29"/>
  <c r="L46" i="29"/>
  <c r="K46" i="29"/>
  <c r="J46" i="29"/>
  <c r="I46" i="29"/>
  <c r="G46" i="29"/>
  <c r="F46" i="29"/>
  <c r="E46" i="29"/>
  <c r="D46" i="29"/>
  <c r="C46" i="29"/>
  <c r="I41" i="29"/>
  <c r="G41" i="29"/>
  <c r="F41" i="29"/>
  <c r="E41" i="29"/>
  <c r="D41" i="29"/>
  <c r="C41" i="29"/>
  <c r="K40" i="29"/>
  <c r="J40" i="29"/>
  <c r="K39" i="29"/>
  <c r="J39" i="29"/>
  <c r="K38" i="29"/>
  <c r="J38" i="29"/>
  <c r="K37" i="29"/>
  <c r="J37" i="29"/>
  <c r="K36" i="29"/>
  <c r="J36" i="29"/>
  <c r="K35" i="29"/>
  <c r="J35" i="29"/>
  <c r="K34" i="29"/>
  <c r="J34" i="29"/>
  <c r="K33" i="29"/>
  <c r="J33" i="29"/>
  <c r="K32" i="29"/>
  <c r="J32" i="29"/>
  <c r="K31" i="29"/>
  <c r="J31" i="29"/>
  <c r="K30" i="29"/>
  <c r="J30" i="29"/>
  <c r="K29" i="29"/>
  <c r="J29" i="29"/>
  <c r="K28" i="29"/>
  <c r="J28" i="29"/>
  <c r="K27" i="29"/>
  <c r="J27" i="29"/>
  <c r="K26" i="29"/>
  <c r="J26" i="29"/>
  <c r="K25" i="29"/>
  <c r="K41" i="29"/>
  <c r="J25" i="29"/>
  <c r="H15" i="29"/>
  <c r="H11" i="29"/>
  <c r="H7" i="29"/>
  <c r="K2" i="29"/>
  <c r="N131" i="28"/>
  <c r="N130" i="28"/>
  <c r="N129" i="28"/>
  <c r="N128" i="28"/>
  <c r="N127" i="28"/>
  <c r="N126" i="28"/>
  <c r="N125" i="28"/>
  <c r="N124" i="28"/>
  <c r="N123" i="28"/>
  <c r="N122" i="28"/>
  <c r="N121" i="28"/>
  <c r="N120" i="28"/>
  <c r="N119" i="28"/>
  <c r="N118" i="28"/>
  <c r="N117" i="28"/>
  <c r="N116" i="28"/>
  <c r="N115" i="28"/>
  <c r="N114" i="28"/>
  <c r="N113" i="28"/>
  <c r="N112" i="28"/>
  <c r="N111" i="28"/>
  <c r="N110" i="28"/>
  <c r="N109" i="28"/>
  <c r="N108" i="28"/>
  <c r="N107" i="28"/>
  <c r="N106" i="28"/>
  <c r="N105" i="28"/>
  <c r="N104" i="28"/>
  <c r="N103" i="28"/>
  <c r="N102" i="28"/>
  <c r="N101" i="28"/>
  <c r="N100" i="28"/>
  <c r="N99" i="28"/>
  <c r="N98" i="28"/>
  <c r="N97" i="28"/>
  <c r="N96" i="28"/>
  <c r="N95" i="28"/>
  <c r="N94" i="28"/>
  <c r="N93" i="28"/>
  <c r="N92" i="28"/>
  <c r="N91" i="28"/>
  <c r="N90" i="28"/>
  <c r="N89" i="28"/>
  <c r="N88" i="28"/>
  <c r="N87" i="28"/>
  <c r="N86" i="28"/>
  <c r="N85" i="28"/>
  <c r="N84" i="28"/>
  <c r="N83" i="28"/>
  <c r="N82" i="28"/>
  <c r="N81" i="28"/>
  <c r="N80" i="28"/>
  <c r="N79" i="28"/>
  <c r="N78" i="28"/>
  <c r="N77" i="28"/>
  <c r="N76" i="28"/>
  <c r="N75" i="28"/>
  <c r="N74" i="28"/>
  <c r="N73" i="28"/>
  <c r="N72" i="28"/>
  <c r="N71" i="28"/>
  <c r="N70" i="28"/>
  <c r="N69" i="28"/>
  <c r="N68" i="28"/>
  <c r="N67" i="28"/>
  <c r="N66" i="28"/>
  <c r="N65" i="28"/>
  <c r="N64" i="28"/>
  <c r="N63" i="28"/>
  <c r="E58" i="28"/>
  <c r="L52" i="28"/>
  <c r="K52" i="28"/>
  <c r="J52" i="28"/>
  <c r="I52" i="28"/>
  <c r="G52" i="28"/>
  <c r="F52" i="28"/>
  <c r="E52" i="28"/>
  <c r="D52" i="28"/>
  <c r="C52" i="28"/>
  <c r="M49" i="28"/>
  <c r="L49" i="28"/>
  <c r="K49" i="28"/>
  <c r="J49" i="28"/>
  <c r="I49" i="28"/>
  <c r="G49" i="28"/>
  <c r="F49" i="28"/>
  <c r="E49" i="28"/>
  <c r="C49" i="28"/>
  <c r="M46" i="28"/>
  <c r="L46" i="28"/>
  <c r="K46" i="28"/>
  <c r="J46" i="28"/>
  <c r="I46" i="28"/>
  <c r="G46" i="28"/>
  <c r="F46" i="28"/>
  <c r="E46" i="28"/>
  <c r="D46" i="28"/>
  <c r="C46" i="28"/>
  <c r="D54" i="28"/>
  <c r="I54" i="29"/>
  <c r="I41" i="28"/>
  <c r="G41" i="28"/>
  <c r="F41" i="28"/>
  <c r="E41" i="28"/>
  <c r="D41" i="28"/>
  <c r="C41" i="28"/>
  <c r="K40" i="28"/>
  <c r="J40" i="28"/>
  <c r="K39" i="28"/>
  <c r="J39" i="28"/>
  <c r="K38" i="28"/>
  <c r="J38" i="28"/>
  <c r="K37" i="28"/>
  <c r="J37" i="28"/>
  <c r="K36" i="28"/>
  <c r="J36" i="28"/>
  <c r="K35" i="28"/>
  <c r="J35" i="28"/>
  <c r="K34" i="28"/>
  <c r="J34" i="28"/>
  <c r="K33" i="28"/>
  <c r="J33" i="28"/>
  <c r="K32" i="28"/>
  <c r="J32" i="28"/>
  <c r="K31" i="28"/>
  <c r="J31" i="28"/>
  <c r="K30" i="28"/>
  <c r="J30" i="28"/>
  <c r="K29" i="28"/>
  <c r="J29" i="28"/>
  <c r="K28" i="28"/>
  <c r="J28" i="28"/>
  <c r="K27" i="28"/>
  <c r="J27" i="28"/>
  <c r="K26" i="28"/>
  <c r="J26" i="28"/>
  <c r="K25" i="28"/>
  <c r="J25" i="28"/>
  <c r="H15" i="28"/>
  <c r="H11" i="28"/>
  <c r="H7" i="28"/>
  <c r="H19" i="28"/>
  <c r="H59" i="28"/>
  <c r="K2" i="28"/>
  <c r="N131" i="27"/>
  <c r="N130" i="27"/>
  <c r="N129" i="27"/>
  <c r="N128" i="27"/>
  <c r="N127" i="27"/>
  <c r="N126" i="27"/>
  <c r="N125" i="27"/>
  <c r="N124" i="27"/>
  <c r="N123" i="27"/>
  <c r="N122" i="27"/>
  <c r="N121" i="27"/>
  <c r="N120" i="27"/>
  <c r="N119" i="27"/>
  <c r="N118" i="27"/>
  <c r="N117" i="27"/>
  <c r="N116" i="27"/>
  <c r="N115" i="27"/>
  <c r="N114" i="27"/>
  <c r="N113" i="27"/>
  <c r="N112" i="27"/>
  <c r="N111" i="27"/>
  <c r="N110" i="27"/>
  <c r="N109" i="27"/>
  <c r="N108" i="27"/>
  <c r="N107" i="27"/>
  <c r="N106" i="27"/>
  <c r="N105" i="27"/>
  <c r="N104" i="27"/>
  <c r="N103" i="27"/>
  <c r="N102" i="27"/>
  <c r="N101" i="27"/>
  <c r="N100" i="27"/>
  <c r="N99" i="27"/>
  <c r="N98" i="27"/>
  <c r="N97" i="27"/>
  <c r="N96" i="27"/>
  <c r="N95" i="27"/>
  <c r="N94" i="27"/>
  <c r="N93" i="27"/>
  <c r="N92" i="27"/>
  <c r="N91" i="27"/>
  <c r="N90" i="27"/>
  <c r="N89" i="27"/>
  <c r="N88" i="27"/>
  <c r="N87" i="27"/>
  <c r="N86" i="27"/>
  <c r="N85" i="27"/>
  <c r="N84" i="27"/>
  <c r="N83" i="27"/>
  <c r="N82" i="27"/>
  <c r="N81" i="27"/>
  <c r="N80" i="27"/>
  <c r="N79" i="27"/>
  <c r="N78" i="27"/>
  <c r="N77" i="27"/>
  <c r="N76" i="27"/>
  <c r="N75" i="27"/>
  <c r="N74" i="27"/>
  <c r="N73" i="27"/>
  <c r="N72" i="27"/>
  <c r="N71" i="27"/>
  <c r="N70" i="27"/>
  <c r="N69" i="27"/>
  <c r="N68" i="27"/>
  <c r="N67" i="27"/>
  <c r="N66" i="27"/>
  <c r="N65" i="27"/>
  <c r="N64" i="27"/>
  <c r="N63" i="27"/>
  <c r="E58" i="27"/>
  <c r="L52" i="27"/>
  <c r="K52" i="27"/>
  <c r="J52" i="27"/>
  <c r="I52" i="27"/>
  <c r="G52" i="27"/>
  <c r="F52" i="27"/>
  <c r="E52" i="27"/>
  <c r="D52" i="27"/>
  <c r="C52" i="27"/>
  <c r="M49" i="27"/>
  <c r="L49" i="27"/>
  <c r="K49" i="27"/>
  <c r="J49" i="27"/>
  <c r="I49" i="27"/>
  <c r="G49" i="27"/>
  <c r="F49" i="27"/>
  <c r="E49" i="27"/>
  <c r="C49" i="27"/>
  <c r="M46" i="27"/>
  <c r="L46" i="27"/>
  <c r="K46" i="27"/>
  <c r="J46" i="27"/>
  <c r="I46" i="27"/>
  <c r="G46" i="27"/>
  <c r="F46" i="27"/>
  <c r="E46" i="27"/>
  <c r="D46" i="27"/>
  <c r="C46" i="27"/>
  <c r="I41" i="27"/>
  <c r="G41" i="27"/>
  <c r="F41" i="27"/>
  <c r="E41" i="27"/>
  <c r="D41" i="27"/>
  <c r="C41" i="27"/>
  <c r="K40" i="27"/>
  <c r="J40" i="27"/>
  <c r="K39" i="27"/>
  <c r="J39" i="27"/>
  <c r="K38" i="27"/>
  <c r="J38" i="27"/>
  <c r="K37" i="27"/>
  <c r="J37" i="27"/>
  <c r="K36" i="27"/>
  <c r="J36" i="27"/>
  <c r="K35" i="27"/>
  <c r="J35" i="27"/>
  <c r="K34" i="27"/>
  <c r="J34" i="27"/>
  <c r="K33" i="27"/>
  <c r="J33" i="27"/>
  <c r="K32" i="27"/>
  <c r="J32" i="27"/>
  <c r="K31" i="27"/>
  <c r="J31" i="27"/>
  <c r="K30" i="27"/>
  <c r="J30" i="27"/>
  <c r="K29" i="27"/>
  <c r="J29" i="27"/>
  <c r="K28" i="27"/>
  <c r="J28" i="27"/>
  <c r="K27" i="27"/>
  <c r="J27" i="27"/>
  <c r="K26" i="27"/>
  <c r="J26" i="27"/>
  <c r="K25" i="27"/>
  <c r="J25" i="27"/>
  <c r="H15" i="27"/>
  <c r="H11" i="27"/>
  <c r="H7" i="27"/>
  <c r="H19" i="27"/>
  <c r="H59" i="27"/>
  <c r="K2" i="27"/>
  <c r="N131" i="26"/>
  <c r="N130" i="26"/>
  <c r="N129" i="26"/>
  <c r="N128" i="26"/>
  <c r="N127" i="26"/>
  <c r="N126" i="26"/>
  <c r="N125" i="26"/>
  <c r="N124" i="26"/>
  <c r="N123" i="26"/>
  <c r="N122" i="26"/>
  <c r="N121" i="26"/>
  <c r="N120" i="26"/>
  <c r="N119" i="26"/>
  <c r="N118" i="26"/>
  <c r="N117" i="26"/>
  <c r="N116" i="26"/>
  <c r="N115" i="26"/>
  <c r="N114" i="26"/>
  <c r="N113" i="26"/>
  <c r="N112" i="26"/>
  <c r="N111" i="26"/>
  <c r="N110" i="26"/>
  <c r="N109" i="26"/>
  <c r="N108" i="26"/>
  <c r="N107" i="26"/>
  <c r="N106" i="26"/>
  <c r="N105" i="26"/>
  <c r="N104" i="26"/>
  <c r="N103" i="26"/>
  <c r="N102" i="26"/>
  <c r="N101" i="26"/>
  <c r="N100" i="26"/>
  <c r="N99" i="26"/>
  <c r="N98" i="26"/>
  <c r="N97" i="26"/>
  <c r="N96" i="26"/>
  <c r="N95" i="26"/>
  <c r="N94" i="26"/>
  <c r="N93" i="26"/>
  <c r="N92" i="26"/>
  <c r="N91" i="26"/>
  <c r="N90" i="26"/>
  <c r="N89" i="26"/>
  <c r="N88" i="26"/>
  <c r="N87" i="26"/>
  <c r="N86" i="26"/>
  <c r="N85" i="26"/>
  <c r="N84" i="26"/>
  <c r="N83" i="26"/>
  <c r="N82" i="26"/>
  <c r="N81" i="26"/>
  <c r="N80" i="26"/>
  <c r="N79" i="26"/>
  <c r="N78" i="26"/>
  <c r="N77" i="26"/>
  <c r="N76" i="26"/>
  <c r="N75" i="26"/>
  <c r="N74" i="26"/>
  <c r="N73" i="26"/>
  <c r="N72" i="26"/>
  <c r="N71" i="26"/>
  <c r="N70" i="26"/>
  <c r="N69" i="26"/>
  <c r="N68" i="26"/>
  <c r="N67" i="26"/>
  <c r="N66" i="26"/>
  <c r="N65" i="26"/>
  <c r="N64" i="26"/>
  <c r="N63" i="26"/>
  <c r="E58" i="26"/>
  <c r="L52" i="26"/>
  <c r="K52" i="26"/>
  <c r="J52" i="26"/>
  <c r="I52" i="26"/>
  <c r="G52" i="26"/>
  <c r="F52" i="26"/>
  <c r="E52" i="26"/>
  <c r="D52" i="26"/>
  <c r="C52" i="26"/>
  <c r="M49" i="26"/>
  <c r="L49" i="26"/>
  <c r="K49" i="26"/>
  <c r="J49" i="26"/>
  <c r="I49" i="26"/>
  <c r="G49" i="26"/>
  <c r="F49" i="26"/>
  <c r="E49" i="26"/>
  <c r="C49" i="26"/>
  <c r="M46" i="26"/>
  <c r="L46" i="26"/>
  <c r="K46" i="26"/>
  <c r="J46" i="26"/>
  <c r="I46" i="26"/>
  <c r="G46" i="26"/>
  <c r="F46" i="26"/>
  <c r="E46" i="26"/>
  <c r="D46" i="26"/>
  <c r="C46" i="26"/>
  <c r="I41" i="26"/>
  <c r="G41" i="26"/>
  <c r="F41" i="26"/>
  <c r="E41" i="26"/>
  <c r="D41" i="26"/>
  <c r="C41" i="26"/>
  <c r="K40" i="26"/>
  <c r="J40" i="26"/>
  <c r="K39" i="26"/>
  <c r="J39" i="26"/>
  <c r="K38" i="26"/>
  <c r="J38" i="26"/>
  <c r="K37" i="26"/>
  <c r="J37" i="26"/>
  <c r="K36" i="26"/>
  <c r="J36" i="26"/>
  <c r="K35" i="26"/>
  <c r="J35" i="26"/>
  <c r="K34" i="26"/>
  <c r="J34" i="26"/>
  <c r="K33" i="26"/>
  <c r="J33" i="26"/>
  <c r="K32" i="26"/>
  <c r="J32" i="26"/>
  <c r="K31" i="26"/>
  <c r="J31" i="26"/>
  <c r="K30" i="26"/>
  <c r="J30" i="26"/>
  <c r="K29" i="26"/>
  <c r="J29" i="26"/>
  <c r="K28" i="26"/>
  <c r="J28" i="26"/>
  <c r="K27" i="26"/>
  <c r="J27" i="26"/>
  <c r="K26" i="26"/>
  <c r="J26" i="26"/>
  <c r="K25" i="26"/>
  <c r="J25" i="26"/>
  <c r="H15" i="26"/>
  <c r="H11" i="26"/>
  <c r="H7" i="26"/>
  <c r="K2" i="26"/>
  <c r="N131" i="25"/>
  <c r="N130" i="25"/>
  <c r="N129" i="25"/>
  <c r="N128" i="25"/>
  <c r="N127" i="25"/>
  <c r="N126" i="25"/>
  <c r="N125" i="25"/>
  <c r="N124" i="25"/>
  <c r="N123" i="25"/>
  <c r="N122" i="25"/>
  <c r="N121" i="25"/>
  <c r="N120" i="25"/>
  <c r="N119" i="25"/>
  <c r="N118" i="25"/>
  <c r="N117" i="25"/>
  <c r="N116" i="25"/>
  <c r="N115" i="25"/>
  <c r="N114" i="25"/>
  <c r="N113" i="25"/>
  <c r="N112" i="25"/>
  <c r="N111" i="25"/>
  <c r="N110" i="25"/>
  <c r="N109" i="25"/>
  <c r="N108" i="25"/>
  <c r="N107" i="25"/>
  <c r="N106" i="25"/>
  <c r="N105" i="25"/>
  <c r="N104" i="25"/>
  <c r="N103" i="25"/>
  <c r="N102" i="25"/>
  <c r="N101" i="25"/>
  <c r="N100" i="25"/>
  <c r="N99" i="25"/>
  <c r="N98" i="25"/>
  <c r="N97" i="25"/>
  <c r="N96" i="25"/>
  <c r="N95" i="25"/>
  <c r="N94" i="25"/>
  <c r="N93" i="25"/>
  <c r="N92" i="25"/>
  <c r="N91" i="25"/>
  <c r="N90" i="25"/>
  <c r="N89" i="25"/>
  <c r="N88" i="25"/>
  <c r="N87" i="25"/>
  <c r="N86" i="25"/>
  <c r="N85" i="25"/>
  <c r="N84" i="25"/>
  <c r="N83" i="25"/>
  <c r="N82" i="25"/>
  <c r="N81" i="25"/>
  <c r="N80" i="25"/>
  <c r="N79" i="25"/>
  <c r="N78" i="25"/>
  <c r="N77" i="25"/>
  <c r="N76" i="25"/>
  <c r="N75" i="25"/>
  <c r="N74" i="25"/>
  <c r="N73" i="25"/>
  <c r="N72" i="25"/>
  <c r="N71" i="25"/>
  <c r="N70" i="25"/>
  <c r="N69" i="25"/>
  <c r="N68" i="25"/>
  <c r="N67" i="25"/>
  <c r="N66" i="25"/>
  <c r="N65" i="25"/>
  <c r="N64" i="25"/>
  <c r="N63" i="25"/>
  <c r="E58" i="25"/>
  <c r="L52" i="25"/>
  <c r="K52" i="25"/>
  <c r="J52" i="25"/>
  <c r="I52" i="25"/>
  <c r="G52" i="25"/>
  <c r="F52" i="25"/>
  <c r="E52" i="25"/>
  <c r="D52" i="25"/>
  <c r="C52" i="25"/>
  <c r="M49" i="25"/>
  <c r="L49" i="25"/>
  <c r="K49" i="25"/>
  <c r="J49" i="25"/>
  <c r="I49" i="25"/>
  <c r="G49" i="25"/>
  <c r="F49" i="25"/>
  <c r="E49" i="25"/>
  <c r="C49" i="25"/>
  <c r="M46" i="25"/>
  <c r="L46" i="25"/>
  <c r="K46" i="25"/>
  <c r="J46" i="25"/>
  <c r="I46" i="25"/>
  <c r="G46" i="25"/>
  <c r="F46" i="25"/>
  <c r="E46" i="25"/>
  <c r="D46" i="25"/>
  <c r="C46" i="25"/>
  <c r="I41" i="25"/>
  <c r="G41" i="25"/>
  <c r="F41" i="25"/>
  <c r="E41" i="25"/>
  <c r="D41" i="25"/>
  <c r="C41" i="25"/>
  <c r="K40" i="25"/>
  <c r="J40" i="25"/>
  <c r="K39" i="25"/>
  <c r="J39" i="25"/>
  <c r="K38" i="25"/>
  <c r="J38" i="25"/>
  <c r="K37" i="25"/>
  <c r="J37" i="25"/>
  <c r="K36" i="25"/>
  <c r="J36" i="25"/>
  <c r="K35" i="25"/>
  <c r="J35" i="25"/>
  <c r="K34" i="25"/>
  <c r="J34" i="25"/>
  <c r="K33" i="25"/>
  <c r="J33" i="25"/>
  <c r="K32" i="25"/>
  <c r="J32" i="25"/>
  <c r="K31" i="25"/>
  <c r="J31" i="25"/>
  <c r="K30" i="25"/>
  <c r="J30" i="25"/>
  <c r="K29" i="25"/>
  <c r="J29" i="25"/>
  <c r="K28" i="25"/>
  <c r="J28" i="25"/>
  <c r="K27" i="25"/>
  <c r="J27" i="25"/>
  <c r="K26" i="25"/>
  <c r="J26" i="25"/>
  <c r="K25" i="25"/>
  <c r="J25" i="25"/>
  <c r="H15" i="25"/>
  <c r="H19" i="25"/>
  <c r="H11" i="25"/>
  <c r="H7" i="25"/>
  <c r="K2" i="25"/>
  <c r="N131" i="24"/>
  <c r="N130" i="24"/>
  <c r="N129" i="24"/>
  <c r="N128" i="24"/>
  <c r="N127" i="24"/>
  <c r="N126" i="24"/>
  <c r="N125" i="24"/>
  <c r="N124" i="24"/>
  <c r="N123" i="24"/>
  <c r="N122" i="24"/>
  <c r="N121" i="24"/>
  <c r="N120" i="24"/>
  <c r="N119" i="24"/>
  <c r="N118" i="24"/>
  <c r="N117" i="24"/>
  <c r="N116" i="24"/>
  <c r="N115" i="24"/>
  <c r="N114" i="24"/>
  <c r="N113" i="24"/>
  <c r="N112" i="24"/>
  <c r="N111" i="24"/>
  <c r="N110" i="24"/>
  <c r="N109" i="24"/>
  <c r="N108" i="24"/>
  <c r="N107" i="24"/>
  <c r="N106" i="24"/>
  <c r="N105" i="24"/>
  <c r="N104" i="24"/>
  <c r="N103" i="24"/>
  <c r="N102" i="24"/>
  <c r="N101" i="24"/>
  <c r="N100" i="24"/>
  <c r="N99" i="24"/>
  <c r="N98" i="24"/>
  <c r="N97" i="24"/>
  <c r="N96" i="24"/>
  <c r="N95" i="24"/>
  <c r="N94" i="24"/>
  <c r="N93" i="24"/>
  <c r="N92" i="24"/>
  <c r="N91" i="24"/>
  <c r="N90" i="24"/>
  <c r="N89" i="24"/>
  <c r="N88" i="24"/>
  <c r="N87" i="24"/>
  <c r="N86" i="24"/>
  <c r="N85" i="24"/>
  <c r="N84" i="24"/>
  <c r="N83" i="24"/>
  <c r="N82" i="24"/>
  <c r="N81" i="24"/>
  <c r="N80" i="24"/>
  <c r="N79" i="24"/>
  <c r="N78" i="24"/>
  <c r="N77" i="24"/>
  <c r="N76" i="24"/>
  <c r="N75" i="24"/>
  <c r="N74" i="24"/>
  <c r="N73" i="24"/>
  <c r="N72" i="24"/>
  <c r="N71" i="24"/>
  <c r="N70" i="24"/>
  <c r="N69" i="24"/>
  <c r="N68" i="24"/>
  <c r="N67" i="24"/>
  <c r="N66" i="24"/>
  <c r="N65" i="24"/>
  <c r="N64" i="24"/>
  <c r="N63" i="24"/>
  <c r="E58" i="24"/>
  <c r="L52" i="24"/>
  <c r="K52" i="24"/>
  <c r="J52" i="24"/>
  <c r="I52" i="24"/>
  <c r="G52" i="24"/>
  <c r="F52" i="24"/>
  <c r="E52" i="24"/>
  <c r="D52" i="24"/>
  <c r="C52" i="24"/>
  <c r="M49" i="24"/>
  <c r="L49" i="24"/>
  <c r="K49" i="24"/>
  <c r="J49" i="24"/>
  <c r="I49" i="24"/>
  <c r="G49" i="24"/>
  <c r="F49" i="24"/>
  <c r="E49" i="24"/>
  <c r="C49" i="24"/>
  <c r="M46" i="24"/>
  <c r="L46" i="24"/>
  <c r="K46" i="24"/>
  <c r="J46" i="24"/>
  <c r="I46" i="24"/>
  <c r="G46" i="24"/>
  <c r="F46" i="24"/>
  <c r="E46" i="24"/>
  <c r="D46" i="24"/>
  <c r="C46" i="24"/>
  <c r="I41" i="24"/>
  <c r="G41" i="24"/>
  <c r="F41" i="24"/>
  <c r="E41" i="24"/>
  <c r="D41" i="24"/>
  <c r="C41" i="24"/>
  <c r="K40" i="24"/>
  <c r="J40" i="24"/>
  <c r="K39" i="24"/>
  <c r="J39" i="24"/>
  <c r="K38" i="24"/>
  <c r="J38" i="24"/>
  <c r="K37" i="24"/>
  <c r="J37" i="24"/>
  <c r="K36" i="24"/>
  <c r="J36" i="24"/>
  <c r="K35" i="24"/>
  <c r="J35" i="24"/>
  <c r="K34" i="24"/>
  <c r="J34" i="24"/>
  <c r="K33" i="24"/>
  <c r="J33" i="24"/>
  <c r="K32" i="24"/>
  <c r="J32" i="24"/>
  <c r="K31" i="24"/>
  <c r="J31" i="24"/>
  <c r="K30" i="24"/>
  <c r="J30" i="24"/>
  <c r="K29" i="24"/>
  <c r="J29" i="24"/>
  <c r="K28" i="24"/>
  <c r="J28" i="24"/>
  <c r="K27" i="24"/>
  <c r="J27" i="24"/>
  <c r="K26" i="24"/>
  <c r="J26" i="24"/>
  <c r="K25" i="24"/>
  <c r="J25" i="24"/>
  <c r="H15" i="24"/>
  <c r="H11" i="24"/>
  <c r="H7" i="24"/>
  <c r="H19" i="24"/>
  <c r="K2" i="24"/>
  <c r="N131" i="23"/>
  <c r="N130" i="23"/>
  <c r="N129" i="23"/>
  <c r="N128" i="23"/>
  <c r="N127" i="23"/>
  <c r="N126" i="23"/>
  <c r="N125" i="23"/>
  <c r="N124" i="23"/>
  <c r="N123" i="23"/>
  <c r="N122" i="23"/>
  <c r="N121" i="23"/>
  <c r="N120" i="23"/>
  <c r="N119" i="23"/>
  <c r="N118" i="23"/>
  <c r="N117" i="23"/>
  <c r="N116" i="23"/>
  <c r="N115" i="23"/>
  <c r="N114" i="23"/>
  <c r="N113" i="23"/>
  <c r="N112" i="23"/>
  <c r="N111" i="23"/>
  <c r="N110" i="23"/>
  <c r="N109" i="23"/>
  <c r="N108" i="23"/>
  <c r="N107" i="23"/>
  <c r="N106" i="23"/>
  <c r="N105" i="23"/>
  <c r="N104" i="23"/>
  <c r="N103" i="23"/>
  <c r="N102" i="23"/>
  <c r="N101" i="23"/>
  <c r="N100" i="23"/>
  <c r="N99" i="23"/>
  <c r="N98" i="23"/>
  <c r="N97" i="23"/>
  <c r="N96" i="23"/>
  <c r="N95" i="23"/>
  <c r="N94" i="23"/>
  <c r="N93" i="23"/>
  <c r="N92" i="23"/>
  <c r="N91" i="23"/>
  <c r="N90" i="23"/>
  <c r="N89" i="23"/>
  <c r="N88" i="23"/>
  <c r="N87" i="23"/>
  <c r="N86" i="23"/>
  <c r="N85" i="23"/>
  <c r="N84" i="23"/>
  <c r="N83" i="23"/>
  <c r="N82" i="23"/>
  <c r="N81" i="23"/>
  <c r="N80" i="23"/>
  <c r="N79" i="23"/>
  <c r="N78" i="23"/>
  <c r="N77" i="23"/>
  <c r="N76" i="23"/>
  <c r="N75" i="23"/>
  <c r="N74" i="23"/>
  <c r="N73" i="23"/>
  <c r="N72" i="23"/>
  <c r="N71" i="23"/>
  <c r="N70" i="23"/>
  <c r="N69" i="23"/>
  <c r="N68" i="23"/>
  <c r="N67" i="23"/>
  <c r="N66" i="23"/>
  <c r="N65" i="23"/>
  <c r="N64" i="23"/>
  <c r="N63" i="23"/>
  <c r="E58" i="23"/>
  <c r="L52" i="23"/>
  <c r="K52" i="23"/>
  <c r="J52" i="23"/>
  <c r="I52" i="23"/>
  <c r="G52" i="23"/>
  <c r="F52" i="23"/>
  <c r="E52" i="23"/>
  <c r="D52" i="23"/>
  <c r="C52" i="23"/>
  <c r="M49" i="23"/>
  <c r="L49" i="23"/>
  <c r="K49" i="23"/>
  <c r="J49" i="23"/>
  <c r="I49" i="23"/>
  <c r="G49" i="23"/>
  <c r="F49" i="23"/>
  <c r="E49" i="23"/>
  <c r="C49" i="23"/>
  <c r="M46" i="23"/>
  <c r="L46" i="23"/>
  <c r="K46" i="23"/>
  <c r="J46" i="23"/>
  <c r="I46" i="23"/>
  <c r="G46" i="23"/>
  <c r="F46" i="23"/>
  <c r="E46" i="23"/>
  <c r="D46" i="23"/>
  <c r="C46" i="23"/>
  <c r="I41" i="23"/>
  <c r="G41" i="23"/>
  <c r="F41" i="23"/>
  <c r="E41" i="23"/>
  <c r="D41" i="23"/>
  <c r="C41" i="23"/>
  <c r="K40" i="23"/>
  <c r="J40" i="23"/>
  <c r="K39" i="23"/>
  <c r="J39" i="23"/>
  <c r="K38" i="23"/>
  <c r="J38" i="23"/>
  <c r="K37" i="23"/>
  <c r="J37" i="23"/>
  <c r="K36" i="23"/>
  <c r="J36" i="23"/>
  <c r="K35" i="23"/>
  <c r="J35" i="23"/>
  <c r="K34" i="23"/>
  <c r="J34" i="23"/>
  <c r="K33" i="23"/>
  <c r="J33" i="23"/>
  <c r="K32" i="23"/>
  <c r="J32" i="23"/>
  <c r="K31" i="23"/>
  <c r="J31" i="23"/>
  <c r="K30" i="23"/>
  <c r="J30" i="23"/>
  <c r="K29" i="23"/>
  <c r="J29" i="23"/>
  <c r="K28" i="23"/>
  <c r="J28" i="23"/>
  <c r="K27" i="23"/>
  <c r="J27" i="23"/>
  <c r="K26" i="23"/>
  <c r="J26" i="23"/>
  <c r="K25" i="23"/>
  <c r="J25" i="23"/>
  <c r="H15" i="23"/>
  <c r="H11" i="23"/>
  <c r="H7" i="23"/>
  <c r="K2" i="23"/>
  <c r="N131" i="22"/>
  <c r="N130" i="22"/>
  <c r="N129" i="22"/>
  <c r="N128" i="22"/>
  <c r="N127" i="22"/>
  <c r="N126" i="22"/>
  <c r="N125" i="22"/>
  <c r="N124" i="22"/>
  <c r="N123" i="22"/>
  <c r="N122" i="22"/>
  <c r="N121" i="22"/>
  <c r="N120" i="22"/>
  <c r="N119" i="22"/>
  <c r="N118" i="22"/>
  <c r="N117" i="22"/>
  <c r="N116" i="22"/>
  <c r="N115" i="22"/>
  <c r="N114" i="22"/>
  <c r="N113" i="22"/>
  <c r="N112" i="22"/>
  <c r="N111" i="22"/>
  <c r="N110" i="22"/>
  <c r="N109" i="22"/>
  <c r="N108" i="22"/>
  <c r="N107" i="22"/>
  <c r="N106" i="22"/>
  <c r="N105" i="22"/>
  <c r="N104" i="22"/>
  <c r="N103" i="22"/>
  <c r="N102" i="22"/>
  <c r="N101" i="22"/>
  <c r="N100" i="22"/>
  <c r="N99" i="22"/>
  <c r="N98" i="22"/>
  <c r="N97" i="22"/>
  <c r="N96" i="22"/>
  <c r="N95" i="22"/>
  <c r="N94" i="22"/>
  <c r="N93" i="22"/>
  <c r="N92" i="22"/>
  <c r="N91" i="22"/>
  <c r="N90" i="22"/>
  <c r="N89" i="22"/>
  <c r="N88" i="22"/>
  <c r="N87" i="22"/>
  <c r="N86" i="22"/>
  <c r="N85" i="22"/>
  <c r="N84" i="22"/>
  <c r="N83" i="22"/>
  <c r="N82" i="22"/>
  <c r="N81" i="22"/>
  <c r="N80" i="22"/>
  <c r="N79" i="22"/>
  <c r="N78" i="22"/>
  <c r="N77" i="22"/>
  <c r="N76" i="22"/>
  <c r="N75" i="22"/>
  <c r="N74" i="22"/>
  <c r="N73" i="22"/>
  <c r="N72" i="22"/>
  <c r="N71" i="22"/>
  <c r="N70" i="22"/>
  <c r="N69" i="22"/>
  <c r="N68" i="22"/>
  <c r="N67" i="22"/>
  <c r="N66" i="22"/>
  <c r="N65" i="22"/>
  <c r="N64" i="22"/>
  <c r="N63" i="22"/>
  <c r="E58" i="22"/>
  <c r="L52" i="22"/>
  <c r="K52" i="22"/>
  <c r="J52" i="22"/>
  <c r="I52" i="22"/>
  <c r="G52" i="22"/>
  <c r="F52" i="22"/>
  <c r="E52" i="22"/>
  <c r="D52" i="22"/>
  <c r="C52" i="22"/>
  <c r="M49" i="22"/>
  <c r="L49" i="22"/>
  <c r="K49" i="22"/>
  <c r="J49" i="22"/>
  <c r="I49" i="22"/>
  <c r="G49" i="22"/>
  <c r="F49" i="22"/>
  <c r="E49" i="22"/>
  <c r="C49" i="22"/>
  <c r="M46" i="22"/>
  <c r="L46" i="22"/>
  <c r="K46" i="22"/>
  <c r="J46" i="22"/>
  <c r="I46" i="22"/>
  <c r="G46" i="22"/>
  <c r="F46" i="22"/>
  <c r="E46" i="22"/>
  <c r="D46" i="22"/>
  <c r="C46" i="22"/>
  <c r="I41" i="22"/>
  <c r="G41" i="22"/>
  <c r="F41" i="22"/>
  <c r="E41" i="22"/>
  <c r="D41" i="22"/>
  <c r="C41" i="22"/>
  <c r="K40" i="22"/>
  <c r="J40" i="22"/>
  <c r="K39" i="22"/>
  <c r="J39" i="22"/>
  <c r="K38" i="22"/>
  <c r="J38" i="22"/>
  <c r="K37" i="22"/>
  <c r="J37" i="22"/>
  <c r="K36" i="22"/>
  <c r="J36" i="22"/>
  <c r="K35" i="22"/>
  <c r="J35" i="22"/>
  <c r="K34" i="22"/>
  <c r="J34" i="22"/>
  <c r="K33" i="22"/>
  <c r="J33" i="22"/>
  <c r="K32" i="22"/>
  <c r="J32" i="22"/>
  <c r="K31" i="22"/>
  <c r="J31" i="22"/>
  <c r="K30" i="22"/>
  <c r="J30" i="22"/>
  <c r="K29" i="22"/>
  <c r="J29" i="22"/>
  <c r="K28" i="22"/>
  <c r="J28" i="22"/>
  <c r="K27" i="22"/>
  <c r="J27" i="22"/>
  <c r="K26" i="22"/>
  <c r="J26" i="22"/>
  <c r="K25" i="22"/>
  <c r="J25" i="22"/>
  <c r="J41" i="22"/>
  <c r="H15" i="22"/>
  <c r="H11" i="22"/>
  <c r="H7" i="22"/>
  <c r="K2" i="22"/>
  <c r="N131" i="21"/>
  <c r="N130" i="21"/>
  <c r="N129" i="21"/>
  <c r="N128" i="21"/>
  <c r="N127" i="21"/>
  <c r="N126" i="21"/>
  <c r="N125" i="21"/>
  <c r="N124" i="21"/>
  <c r="N123" i="21"/>
  <c r="N122" i="21"/>
  <c r="N121" i="21"/>
  <c r="N120" i="21"/>
  <c r="N119" i="21"/>
  <c r="N118" i="21"/>
  <c r="N117" i="21"/>
  <c r="N116" i="21"/>
  <c r="N115" i="21"/>
  <c r="N114" i="21"/>
  <c r="N113" i="21"/>
  <c r="N112" i="21"/>
  <c r="N111" i="21"/>
  <c r="N110" i="21"/>
  <c r="N109" i="21"/>
  <c r="N108" i="21"/>
  <c r="N107" i="21"/>
  <c r="N106" i="21"/>
  <c r="N105" i="21"/>
  <c r="N104" i="21"/>
  <c r="N103" i="21"/>
  <c r="N102" i="21"/>
  <c r="N101" i="21"/>
  <c r="N100" i="21"/>
  <c r="N99" i="21"/>
  <c r="N98" i="21"/>
  <c r="N97" i="21"/>
  <c r="N96" i="21"/>
  <c r="N95" i="21"/>
  <c r="N94" i="21"/>
  <c r="N93" i="21"/>
  <c r="N92" i="21"/>
  <c r="N91" i="21"/>
  <c r="N90" i="21"/>
  <c r="N89" i="21"/>
  <c r="N88" i="21"/>
  <c r="N87" i="21"/>
  <c r="N86" i="21"/>
  <c r="N85" i="21"/>
  <c r="N84" i="21"/>
  <c r="N83" i="21"/>
  <c r="N82" i="21"/>
  <c r="N81" i="21"/>
  <c r="N80" i="21"/>
  <c r="N79" i="21"/>
  <c r="N78" i="21"/>
  <c r="N77" i="21"/>
  <c r="N76" i="21"/>
  <c r="N75" i="21"/>
  <c r="N74" i="21"/>
  <c r="N73" i="21"/>
  <c r="N72" i="21"/>
  <c r="N71" i="21"/>
  <c r="N70" i="21"/>
  <c r="N69" i="21"/>
  <c r="N68" i="21"/>
  <c r="N67" i="21"/>
  <c r="N66" i="21"/>
  <c r="N65" i="21"/>
  <c r="N64" i="21"/>
  <c r="N63" i="21"/>
  <c r="E58" i="21"/>
  <c r="L52" i="21"/>
  <c r="K52" i="21"/>
  <c r="J52" i="21"/>
  <c r="I52" i="21"/>
  <c r="G52" i="21"/>
  <c r="F52" i="21"/>
  <c r="E52" i="21"/>
  <c r="D52" i="21"/>
  <c r="C52" i="21"/>
  <c r="M49" i="21"/>
  <c r="L49" i="21"/>
  <c r="K49" i="21"/>
  <c r="J49" i="21"/>
  <c r="I49" i="21"/>
  <c r="G49" i="21"/>
  <c r="F49" i="21"/>
  <c r="E49" i="21"/>
  <c r="C49" i="21"/>
  <c r="M46" i="21"/>
  <c r="L46" i="21"/>
  <c r="K46" i="21"/>
  <c r="J46" i="21"/>
  <c r="I46" i="21"/>
  <c r="G46" i="21"/>
  <c r="F46" i="21"/>
  <c r="E46" i="21"/>
  <c r="D46" i="21"/>
  <c r="C46" i="21"/>
  <c r="I41" i="21"/>
  <c r="G41" i="21"/>
  <c r="F41" i="21"/>
  <c r="E41" i="21"/>
  <c r="D41" i="21"/>
  <c r="C41" i="21"/>
  <c r="K40" i="21"/>
  <c r="J40" i="21"/>
  <c r="K39" i="21"/>
  <c r="J39" i="21"/>
  <c r="K38" i="21"/>
  <c r="J38" i="21"/>
  <c r="K37" i="21"/>
  <c r="J37" i="21"/>
  <c r="K36" i="21"/>
  <c r="J36" i="21"/>
  <c r="K35" i="21"/>
  <c r="J35" i="21"/>
  <c r="K34" i="21"/>
  <c r="J34" i="21"/>
  <c r="K33" i="21"/>
  <c r="J33" i="21"/>
  <c r="K32" i="21"/>
  <c r="J32" i="21"/>
  <c r="K31" i="21"/>
  <c r="J31" i="21"/>
  <c r="K30" i="21"/>
  <c r="J30" i="21"/>
  <c r="K29" i="21"/>
  <c r="J29" i="21"/>
  <c r="K28" i="21"/>
  <c r="J28" i="21"/>
  <c r="K27" i="21"/>
  <c r="J27" i="21"/>
  <c r="K26" i="21"/>
  <c r="J26" i="21"/>
  <c r="K25" i="21"/>
  <c r="J25" i="21"/>
  <c r="J41" i="21"/>
  <c r="H15" i="21"/>
  <c r="H11" i="21"/>
  <c r="H7" i="21"/>
  <c r="H19" i="21"/>
  <c r="K2" i="21"/>
  <c r="N131" i="20"/>
  <c r="N130" i="20"/>
  <c r="N129" i="20"/>
  <c r="N128" i="20"/>
  <c r="N127" i="20"/>
  <c r="N126" i="20"/>
  <c r="N125" i="20"/>
  <c r="N124" i="20"/>
  <c r="N123" i="20"/>
  <c r="N122" i="20"/>
  <c r="N121" i="20"/>
  <c r="N120" i="20"/>
  <c r="N119" i="20"/>
  <c r="N118" i="20"/>
  <c r="N117" i="20"/>
  <c r="N116" i="20"/>
  <c r="N115" i="20"/>
  <c r="N114" i="20"/>
  <c r="N113" i="20"/>
  <c r="N112" i="20"/>
  <c r="N111" i="20"/>
  <c r="N110" i="20"/>
  <c r="N109" i="20"/>
  <c r="N108" i="20"/>
  <c r="N107" i="20"/>
  <c r="N106" i="20"/>
  <c r="N105" i="20"/>
  <c r="N104" i="20"/>
  <c r="N103" i="20"/>
  <c r="N102" i="20"/>
  <c r="N101" i="20"/>
  <c r="N100" i="20"/>
  <c r="N99" i="20"/>
  <c r="N98" i="20"/>
  <c r="N97" i="20"/>
  <c r="N96" i="20"/>
  <c r="N95" i="20"/>
  <c r="N94" i="20"/>
  <c r="N93" i="20"/>
  <c r="N92" i="20"/>
  <c r="N91" i="20"/>
  <c r="N90" i="20"/>
  <c r="N89" i="20"/>
  <c r="N8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5" i="20"/>
  <c r="N64" i="20"/>
  <c r="N63" i="20"/>
  <c r="E58" i="20"/>
  <c r="L52" i="20"/>
  <c r="K52" i="20"/>
  <c r="J52" i="20"/>
  <c r="I52" i="20"/>
  <c r="G52" i="20"/>
  <c r="F52" i="20"/>
  <c r="E52" i="20"/>
  <c r="D52" i="20"/>
  <c r="C52" i="20"/>
  <c r="M49" i="20"/>
  <c r="L49" i="20"/>
  <c r="K49" i="20"/>
  <c r="J49" i="20"/>
  <c r="I49" i="20"/>
  <c r="G49" i="20"/>
  <c r="F49" i="20"/>
  <c r="E49" i="20"/>
  <c r="C49" i="20"/>
  <c r="M46" i="20"/>
  <c r="L46" i="20"/>
  <c r="K46" i="20"/>
  <c r="J46" i="20"/>
  <c r="I46" i="20"/>
  <c r="G46" i="20"/>
  <c r="F46" i="20"/>
  <c r="E46" i="20"/>
  <c r="D46" i="20"/>
  <c r="C46" i="20"/>
  <c r="I41" i="20"/>
  <c r="G41" i="20"/>
  <c r="F41" i="20"/>
  <c r="E41" i="20"/>
  <c r="D41" i="20"/>
  <c r="C41" i="20"/>
  <c r="K40" i="20"/>
  <c r="J40" i="20"/>
  <c r="K39" i="20"/>
  <c r="J39" i="20"/>
  <c r="K38" i="20"/>
  <c r="J38" i="20"/>
  <c r="K37" i="20"/>
  <c r="J37" i="20"/>
  <c r="K36" i="20"/>
  <c r="J36" i="20"/>
  <c r="K35" i="20"/>
  <c r="J35" i="20"/>
  <c r="K34" i="20"/>
  <c r="J34" i="20"/>
  <c r="K33" i="20"/>
  <c r="J33" i="20"/>
  <c r="K32" i="20"/>
  <c r="J32" i="20"/>
  <c r="K31" i="20"/>
  <c r="J31" i="20"/>
  <c r="K30" i="20"/>
  <c r="J30" i="20"/>
  <c r="K29" i="20"/>
  <c r="J29" i="20"/>
  <c r="K28" i="20"/>
  <c r="J28" i="20"/>
  <c r="K27" i="20"/>
  <c r="J27" i="20"/>
  <c r="K26" i="20"/>
  <c r="J26" i="20"/>
  <c r="K25" i="20"/>
  <c r="J25" i="20"/>
  <c r="H15" i="20"/>
  <c r="H11" i="20"/>
  <c r="H7" i="20"/>
  <c r="K2" i="20"/>
  <c r="N131" i="19"/>
  <c r="N130" i="19"/>
  <c r="N129" i="19"/>
  <c r="N128" i="19"/>
  <c r="N127" i="19"/>
  <c r="N126" i="19"/>
  <c r="N125" i="19"/>
  <c r="N124" i="19"/>
  <c r="N12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N92" i="19"/>
  <c r="N91" i="19"/>
  <c r="N90" i="19"/>
  <c r="N89" i="19"/>
  <c r="N88" i="19"/>
  <c r="N87" i="19"/>
  <c r="N86" i="19"/>
  <c r="N85" i="19"/>
  <c r="N84" i="19"/>
  <c r="N83" i="19"/>
  <c r="N82" i="19"/>
  <c r="N81" i="19"/>
  <c r="N80" i="19"/>
  <c r="N79" i="19"/>
  <c r="N78" i="19"/>
  <c r="N77" i="19"/>
  <c r="N76" i="19"/>
  <c r="N75" i="19"/>
  <c r="N74" i="19"/>
  <c r="N73" i="19"/>
  <c r="N72" i="19"/>
  <c r="N71" i="19"/>
  <c r="N70" i="19"/>
  <c r="N69" i="19"/>
  <c r="N68" i="19"/>
  <c r="N67" i="19"/>
  <c r="N66" i="19"/>
  <c r="N65" i="19"/>
  <c r="N64" i="19"/>
  <c r="N63" i="19"/>
  <c r="E58" i="19"/>
  <c r="L52" i="19"/>
  <c r="K52" i="19"/>
  <c r="J52" i="19"/>
  <c r="I52" i="19"/>
  <c r="G52" i="19"/>
  <c r="F52" i="19"/>
  <c r="E52" i="19"/>
  <c r="D52" i="19"/>
  <c r="C52" i="19"/>
  <c r="M49" i="19"/>
  <c r="L49" i="19"/>
  <c r="K49" i="19"/>
  <c r="J49" i="19"/>
  <c r="I49" i="19"/>
  <c r="G49" i="19"/>
  <c r="F49" i="19"/>
  <c r="E49" i="19"/>
  <c r="C49" i="19"/>
  <c r="M46" i="19"/>
  <c r="L46" i="19"/>
  <c r="K46" i="19"/>
  <c r="J46" i="19"/>
  <c r="I46" i="19"/>
  <c r="G46" i="19"/>
  <c r="F46" i="19"/>
  <c r="E46" i="19"/>
  <c r="D46" i="19"/>
  <c r="C46" i="19"/>
  <c r="I41" i="19"/>
  <c r="G41" i="19"/>
  <c r="F41" i="19"/>
  <c r="E41" i="19"/>
  <c r="D41" i="19"/>
  <c r="C41" i="19"/>
  <c r="K40" i="19"/>
  <c r="J40" i="19"/>
  <c r="K39" i="19"/>
  <c r="J39" i="19"/>
  <c r="K38" i="19"/>
  <c r="J38" i="19"/>
  <c r="K37" i="19"/>
  <c r="J37" i="19"/>
  <c r="K36" i="19"/>
  <c r="J36" i="19"/>
  <c r="K35" i="19"/>
  <c r="J35" i="19"/>
  <c r="K34" i="19"/>
  <c r="J34" i="19"/>
  <c r="K33" i="19"/>
  <c r="J33" i="19"/>
  <c r="K32" i="19"/>
  <c r="J32" i="19"/>
  <c r="K31" i="19"/>
  <c r="J31" i="19"/>
  <c r="K30" i="19"/>
  <c r="J30" i="19"/>
  <c r="K29" i="19"/>
  <c r="J29" i="19"/>
  <c r="K28" i="19"/>
  <c r="J28" i="19"/>
  <c r="K27" i="19"/>
  <c r="J27" i="19"/>
  <c r="K26" i="19"/>
  <c r="J26" i="19"/>
  <c r="K25" i="19"/>
  <c r="J25" i="19"/>
  <c r="H15" i="19"/>
  <c r="H11" i="19"/>
  <c r="H7" i="19"/>
  <c r="H19" i="19" s="1"/>
  <c r="H59" i="19" s="1"/>
  <c r="K2" i="19"/>
  <c r="N131" i="18"/>
  <c r="N130" i="18"/>
  <c r="N129" i="18"/>
  <c r="N128" i="18"/>
  <c r="N127" i="18"/>
  <c r="N126" i="18"/>
  <c r="N125" i="18"/>
  <c r="N124" i="18"/>
  <c r="N123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N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87" i="18"/>
  <c r="N86" i="18"/>
  <c r="N85" i="18"/>
  <c r="N84" i="18"/>
  <c r="N83" i="18"/>
  <c r="N82" i="18"/>
  <c r="N81" i="18"/>
  <c r="N80" i="18"/>
  <c r="N79" i="18"/>
  <c r="N78" i="18"/>
  <c r="N77" i="18"/>
  <c r="N76" i="18"/>
  <c r="N75" i="18"/>
  <c r="N74" i="18"/>
  <c r="N73" i="18"/>
  <c r="N72" i="18"/>
  <c r="N71" i="18"/>
  <c r="N70" i="18"/>
  <c r="N69" i="18"/>
  <c r="N68" i="18"/>
  <c r="N67" i="18"/>
  <c r="N66" i="18"/>
  <c r="N65" i="18"/>
  <c r="N64" i="18"/>
  <c r="N62" i="18" s="1"/>
  <c r="N63" i="18"/>
  <c r="E58" i="18"/>
  <c r="L52" i="18"/>
  <c r="K52" i="18"/>
  <c r="J52" i="18"/>
  <c r="I52" i="18"/>
  <c r="G52" i="18"/>
  <c r="F52" i="18"/>
  <c r="E52" i="18"/>
  <c r="D52" i="18"/>
  <c r="C52" i="18"/>
  <c r="M49" i="18"/>
  <c r="L49" i="18"/>
  <c r="K49" i="18"/>
  <c r="J49" i="18"/>
  <c r="I49" i="18"/>
  <c r="G49" i="18"/>
  <c r="F49" i="18"/>
  <c r="E49" i="18"/>
  <c r="C49" i="18"/>
  <c r="M46" i="18"/>
  <c r="L46" i="18"/>
  <c r="K46" i="18"/>
  <c r="J46" i="18"/>
  <c r="D54" i="18" s="1"/>
  <c r="I54" i="19" s="1"/>
  <c r="I46" i="18"/>
  <c r="G46" i="18"/>
  <c r="F46" i="18"/>
  <c r="E46" i="18"/>
  <c r="D46" i="18"/>
  <c r="C46" i="18"/>
  <c r="I41" i="18"/>
  <c r="G41" i="18"/>
  <c r="F41" i="18"/>
  <c r="E41" i="18"/>
  <c r="D41" i="18"/>
  <c r="C41" i="18"/>
  <c r="K40" i="18"/>
  <c r="J40" i="18"/>
  <c r="K39" i="18"/>
  <c r="J39" i="18"/>
  <c r="K38" i="18"/>
  <c r="J38" i="18"/>
  <c r="K37" i="18"/>
  <c r="J37" i="18"/>
  <c r="K36" i="18"/>
  <c r="J36" i="18"/>
  <c r="K35" i="18"/>
  <c r="J35" i="18"/>
  <c r="K34" i="18"/>
  <c r="J34" i="18"/>
  <c r="K33" i="18"/>
  <c r="J33" i="18"/>
  <c r="K32" i="18"/>
  <c r="J32" i="18"/>
  <c r="K31" i="18"/>
  <c r="J31" i="18"/>
  <c r="K30" i="18"/>
  <c r="J30" i="18"/>
  <c r="K29" i="18"/>
  <c r="J29" i="18"/>
  <c r="K28" i="18"/>
  <c r="J28" i="18"/>
  <c r="K27" i="18"/>
  <c r="K41" i="18" s="1"/>
  <c r="J27" i="18"/>
  <c r="K26" i="18"/>
  <c r="J26" i="18"/>
  <c r="K25" i="18"/>
  <c r="J25" i="18"/>
  <c r="J41" i="18" s="1"/>
  <c r="H15" i="18"/>
  <c r="H11" i="18"/>
  <c r="H7" i="18"/>
  <c r="H19" i="18" s="1"/>
  <c r="K2" i="18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 s="1"/>
  <c r="E58" i="17"/>
  <c r="L52" i="17"/>
  <c r="K52" i="17"/>
  <c r="J52" i="17"/>
  <c r="I52" i="17"/>
  <c r="G52" i="17"/>
  <c r="F52" i="17"/>
  <c r="E52" i="17"/>
  <c r="D52" i="17"/>
  <c r="C52" i="17"/>
  <c r="M49" i="17"/>
  <c r="L49" i="17"/>
  <c r="K49" i="17"/>
  <c r="J49" i="17"/>
  <c r="I49" i="17"/>
  <c r="G49" i="17"/>
  <c r="F49" i="17"/>
  <c r="E49" i="17"/>
  <c r="C49" i="17"/>
  <c r="M46" i="17"/>
  <c r="L46" i="17"/>
  <c r="K46" i="17"/>
  <c r="J46" i="17"/>
  <c r="I46" i="17"/>
  <c r="D54" i="17" s="1"/>
  <c r="I54" i="18" s="1"/>
  <c r="G46" i="17"/>
  <c r="F46" i="17"/>
  <c r="E46" i="17"/>
  <c r="D46" i="17"/>
  <c r="C46" i="17"/>
  <c r="I41" i="17"/>
  <c r="G41" i="17"/>
  <c r="F41" i="17"/>
  <c r="E41" i="17"/>
  <c r="D41" i="17"/>
  <c r="C41" i="17"/>
  <c r="K40" i="17"/>
  <c r="J40" i="17"/>
  <c r="K39" i="17"/>
  <c r="J39" i="17"/>
  <c r="K38" i="17"/>
  <c r="J38" i="17"/>
  <c r="K37" i="17"/>
  <c r="J37" i="17"/>
  <c r="K36" i="17"/>
  <c r="J36" i="17"/>
  <c r="K35" i="17"/>
  <c r="J35" i="17"/>
  <c r="K34" i="17"/>
  <c r="J34" i="17"/>
  <c r="K33" i="17"/>
  <c r="J33" i="17"/>
  <c r="K32" i="17"/>
  <c r="J32" i="17"/>
  <c r="K31" i="17"/>
  <c r="J31" i="17"/>
  <c r="J41" i="17" s="1"/>
  <c r="K30" i="17"/>
  <c r="J30" i="17"/>
  <c r="K29" i="17"/>
  <c r="J29" i="17"/>
  <c r="K28" i="17"/>
  <c r="J28" i="17"/>
  <c r="K27" i="17"/>
  <c r="J27" i="17"/>
  <c r="K26" i="17"/>
  <c r="K41" i="17" s="1"/>
  <c r="J26" i="17"/>
  <c r="K25" i="17"/>
  <c r="J25" i="17"/>
  <c r="H15" i="17"/>
  <c r="H19" i="17" s="1"/>
  <c r="H11" i="17"/>
  <c r="H7" i="17"/>
  <c r="K2" i="17"/>
  <c r="N131" i="16"/>
  <c r="N130" i="16"/>
  <c r="N129" i="16"/>
  <c r="N128" i="16"/>
  <c r="N127" i="16"/>
  <c r="N126" i="16"/>
  <c r="N125" i="16"/>
  <c r="N124" i="16"/>
  <c r="N123" i="16"/>
  <c r="N122" i="16"/>
  <c r="N121" i="16"/>
  <c r="N120" i="16"/>
  <c r="N119" i="16"/>
  <c r="N118" i="16"/>
  <c r="N117" i="16"/>
  <c r="N116" i="16"/>
  <c r="N115" i="16"/>
  <c r="N114" i="16"/>
  <c r="N113" i="16"/>
  <c r="N112" i="16"/>
  <c r="N111" i="16"/>
  <c r="N110" i="16"/>
  <c r="N109" i="16"/>
  <c r="N108" i="16"/>
  <c r="N107" i="16"/>
  <c r="N106" i="16"/>
  <c r="N105" i="16"/>
  <c r="N104" i="16"/>
  <c r="N103" i="16"/>
  <c r="N102" i="16"/>
  <c r="N101" i="16"/>
  <c r="N100" i="16"/>
  <c r="N99" i="16"/>
  <c r="N98" i="16"/>
  <c r="N97" i="16"/>
  <c r="N96" i="16"/>
  <c r="N95" i="16"/>
  <c r="N94" i="16"/>
  <c r="N93" i="16"/>
  <c r="N92" i="16"/>
  <c r="N91" i="16"/>
  <c r="N90" i="16"/>
  <c r="N89" i="16"/>
  <c r="N88" i="16"/>
  <c r="N87" i="16"/>
  <c r="N86" i="16"/>
  <c r="N85" i="16"/>
  <c r="N84" i="16"/>
  <c r="N83" i="16"/>
  <c r="N82" i="16"/>
  <c r="N81" i="16"/>
  <c r="N80" i="16"/>
  <c r="N79" i="16"/>
  <c r="N78" i="16"/>
  <c r="N77" i="16"/>
  <c r="N76" i="16"/>
  <c r="N75" i="16"/>
  <c r="N74" i="16"/>
  <c r="N73" i="16"/>
  <c r="N72" i="16"/>
  <c r="N71" i="16"/>
  <c r="N70" i="16"/>
  <c r="N69" i="16"/>
  <c r="N68" i="16"/>
  <c r="N67" i="16"/>
  <c r="N65" i="16"/>
  <c r="N64" i="16"/>
  <c r="N63" i="16"/>
  <c r="N62" i="16" s="1"/>
  <c r="E58" i="16"/>
  <c r="L52" i="16"/>
  <c r="K52" i="16"/>
  <c r="J52" i="16"/>
  <c r="I52" i="16"/>
  <c r="G52" i="16"/>
  <c r="F52" i="16"/>
  <c r="E52" i="16"/>
  <c r="D52" i="16"/>
  <c r="C52" i="16"/>
  <c r="M49" i="16"/>
  <c r="L49" i="16"/>
  <c r="K49" i="16"/>
  <c r="J49" i="16"/>
  <c r="I49" i="16"/>
  <c r="G49" i="16"/>
  <c r="F49" i="16"/>
  <c r="E49" i="16"/>
  <c r="C49" i="16"/>
  <c r="M46" i="16"/>
  <c r="L46" i="16"/>
  <c r="K46" i="16"/>
  <c r="J46" i="16"/>
  <c r="I46" i="16"/>
  <c r="G46" i="16"/>
  <c r="F46" i="16"/>
  <c r="E46" i="16"/>
  <c r="D46" i="16"/>
  <c r="D54" i="16" s="1"/>
  <c r="I54" i="17" s="1"/>
  <c r="C46" i="16"/>
  <c r="I41" i="16"/>
  <c r="G41" i="16"/>
  <c r="F41" i="16"/>
  <c r="E41" i="16"/>
  <c r="D41" i="16"/>
  <c r="C41" i="16"/>
  <c r="K40" i="16"/>
  <c r="J40" i="16"/>
  <c r="K39" i="16"/>
  <c r="J39" i="16"/>
  <c r="K38" i="16"/>
  <c r="J38" i="16"/>
  <c r="K37" i="16"/>
  <c r="J37" i="16"/>
  <c r="K36" i="16"/>
  <c r="J36" i="16"/>
  <c r="K35" i="16"/>
  <c r="J35" i="16"/>
  <c r="K34" i="16"/>
  <c r="J34" i="16"/>
  <c r="K33" i="16"/>
  <c r="J33" i="16"/>
  <c r="K32" i="16"/>
  <c r="J32" i="16"/>
  <c r="K31" i="16"/>
  <c r="J31" i="16"/>
  <c r="K30" i="16"/>
  <c r="J30" i="16"/>
  <c r="K29" i="16"/>
  <c r="J29" i="16"/>
  <c r="K28" i="16"/>
  <c r="J28" i="16"/>
  <c r="K27" i="16"/>
  <c r="J27" i="16"/>
  <c r="K26" i="16"/>
  <c r="K41" i="16" s="1"/>
  <c r="J26" i="16"/>
  <c r="K25" i="16"/>
  <c r="J25" i="16"/>
  <c r="H15" i="16"/>
  <c r="H11" i="16"/>
  <c r="H7" i="16"/>
  <c r="K2" i="16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E58" i="15"/>
  <c r="L52" i="15"/>
  <c r="K52" i="15"/>
  <c r="J52" i="15"/>
  <c r="I52" i="15"/>
  <c r="G52" i="15"/>
  <c r="F52" i="15"/>
  <c r="E52" i="15"/>
  <c r="D52" i="15"/>
  <c r="C52" i="15"/>
  <c r="M49" i="15"/>
  <c r="L49" i="15"/>
  <c r="K49" i="15"/>
  <c r="J49" i="15"/>
  <c r="I49" i="15"/>
  <c r="G49" i="15"/>
  <c r="F49" i="15"/>
  <c r="E49" i="15"/>
  <c r="C49" i="15"/>
  <c r="M46" i="15"/>
  <c r="L46" i="15"/>
  <c r="K46" i="15"/>
  <c r="J46" i="15"/>
  <c r="I46" i="15"/>
  <c r="G46" i="15"/>
  <c r="F46" i="15"/>
  <c r="E46" i="15"/>
  <c r="D46" i="15"/>
  <c r="C46" i="15"/>
  <c r="D54" i="15"/>
  <c r="I54" i="16"/>
  <c r="I41" i="15"/>
  <c r="G41" i="15"/>
  <c r="F41" i="15"/>
  <c r="E41" i="15"/>
  <c r="D41" i="15"/>
  <c r="C41" i="15"/>
  <c r="K40" i="15"/>
  <c r="J40" i="15"/>
  <c r="K39" i="15"/>
  <c r="J39" i="15"/>
  <c r="K38" i="15"/>
  <c r="J38" i="15"/>
  <c r="K37" i="15"/>
  <c r="J37" i="15"/>
  <c r="K36" i="15"/>
  <c r="J36" i="15"/>
  <c r="K35" i="15"/>
  <c r="J35" i="15"/>
  <c r="K34" i="15"/>
  <c r="J34" i="15"/>
  <c r="K33" i="15"/>
  <c r="J33" i="15"/>
  <c r="K32" i="15"/>
  <c r="J32" i="15"/>
  <c r="K31" i="15"/>
  <c r="J31" i="15"/>
  <c r="K30" i="15"/>
  <c r="J30" i="15"/>
  <c r="K29" i="15"/>
  <c r="J29" i="15"/>
  <c r="K28" i="15"/>
  <c r="J28" i="15"/>
  <c r="K27" i="15"/>
  <c r="J27" i="15"/>
  <c r="K26" i="15"/>
  <c r="J26" i="15"/>
  <c r="K25" i="15"/>
  <c r="J25" i="15"/>
  <c r="H15" i="15"/>
  <c r="H11" i="15"/>
  <c r="H7" i="15"/>
  <c r="K2" i="15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E58" i="14"/>
  <c r="L52" i="14"/>
  <c r="K52" i="14"/>
  <c r="J52" i="14"/>
  <c r="I52" i="14"/>
  <c r="G52" i="14"/>
  <c r="F52" i="14"/>
  <c r="E52" i="14"/>
  <c r="D52" i="14"/>
  <c r="C52" i="14"/>
  <c r="M49" i="14"/>
  <c r="L49" i="14"/>
  <c r="K49" i="14"/>
  <c r="J49" i="14"/>
  <c r="I49" i="14"/>
  <c r="G49" i="14"/>
  <c r="F49" i="14"/>
  <c r="E49" i="14"/>
  <c r="C49" i="14"/>
  <c r="M46" i="14"/>
  <c r="L46" i="14"/>
  <c r="K46" i="14"/>
  <c r="J46" i="14"/>
  <c r="I46" i="14"/>
  <c r="G46" i="14"/>
  <c r="F46" i="14"/>
  <c r="E46" i="14"/>
  <c r="D46" i="14"/>
  <c r="C46" i="14"/>
  <c r="I41" i="14"/>
  <c r="G41" i="14"/>
  <c r="F41" i="14"/>
  <c r="E41" i="14"/>
  <c r="D41" i="14"/>
  <c r="C41" i="14"/>
  <c r="K40" i="14"/>
  <c r="J40" i="14"/>
  <c r="K39" i="14"/>
  <c r="J39" i="14"/>
  <c r="K38" i="14"/>
  <c r="K41" i="14" s="1"/>
  <c r="J38" i="14"/>
  <c r="K37" i="14"/>
  <c r="J37" i="14"/>
  <c r="K36" i="14"/>
  <c r="J36" i="14"/>
  <c r="K35" i="14"/>
  <c r="J35" i="14"/>
  <c r="K34" i="14"/>
  <c r="J34" i="14"/>
  <c r="K33" i="14"/>
  <c r="J33" i="14"/>
  <c r="K32" i="14"/>
  <c r="J32" i="14"/>
  <c r="K31" i="14"/>
  <c r="J31" i="14"/>
  <c r="K30" i="14"/>
  <c r="J30" i="14"/>
  <c r="K29" i="14"/>
  <c r="J29" i="14"/>
  <c r="K28" i="14"/>
  <c r="J28" i="14"/>
  <c r="K27" i="14"/>
  <c r="J27" i="14"/>
  <c r="K26" i="14"/>
  <c r="J26" i="14"/>
  <c r="K25" i="14"/>
  <c r="J25" i="14"/>
  <c r="J41" i="14" s="1"/>
  <c r="H15" i="14"/>
  <c r="H11" i="14"/>
  <c r="H7" i="14"/>
  <c r="K2" i="14"/>
  <c r="N131" i="13"/>
  <c r="N130" i="13"/>
  <c r="N129" i="13"/>
  <c r="N128" i="13"/>
  <c r="N127" i="13"/>
  <c r="N126" i="13"/>
  <c r="N125" i="13"/>
  <c r="N124" i="13"/>
  <c r="N123" i="13"/>
  <c r="N122" i="13"/>
  <c r="N121" i="13"/>
  <c r="N120" i="13"/>
  <c r="N119" i="13"/>
  <c r="N118" i="13"/>
  <c r="N117" i="13"/>
  <c r="N116" i="13"/>
  <c r="N115" i="13"/>
  <c r="N114" i="13"/>
  <c r="N113" i="13"/>
  <c r="N112" i="13"/>
  <c r="N111" i="13"/>
  <c r="N110" i="13"/>
  <c r="N109" i="13"/>
  <c r="N108" i="13"/>
  <c r="N107" i="13"/>
  <c r="N106" i="13"/>
  <c r="N105" i="13"/>
  <c r="N104" i="13"/>
  <c r="N103" i="13"/>
  <c r="N102" i="13"/>
  <c r="N101" i="13"/>
  <c r="N100" i="13"/>
  <c r="N99" i="13"/>
  <c r="N98" i="13"/>
  <c r="N97" i="13"/>
  <c r="N96" i="13"/>
  <c r="N95" i="13"/>
  <c r="N94" i="13"/>
  <c r="N93" i="13"/>
  <c r="N92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E58" i="13"/>
  <c r="L52" i="13"/>
  <c r="K52" i="13"/>
  <c r="J52" i="13"/>
  <c r="I52" i="13"/>
  <c r="G52" i="13"/>
  <c r="F52" i="13"/>
  <c r="E52" i="13"/>
  <c r="D52" i="13"/>
  <c r="C52" i="13"/>
  <c r="M49" i="13"/>
  <c r="L49" i="13"/>
  <c r="K49" i="13"/>
  <c r="J49" i="13"/>
  <c r="I49" i="13"/>
  <c r="G49" i="13"/>
  <c r="F49" i="13"/>
  <c r="E49" i="13"/>
  <c r="C49" i="13"/>
  <c r="M46" i="13"/>
  <c r="L46" i="13"/>
  <c r="K46" i="13"/>
  <c r="J46" i="13"/>
  <c r="I46" i="13"/>
  <c r="G46" i="13"/>
  <c r="F46" i="13"/>
  <c r="E46" i="13"/>
  <c r="D46" i="13"/>
  <c r="C46" i="13"/>
  <c r="I41" i="13"/>
  <c r="G41" i="13"/>
  <c r="F41" i="13"/>
  <c r="E41" i="13"/>
  <c r="D41" i="13"/>
  <c r="C41" i="13"/>
  <c r="K40" i="13"/>
  <c r="J40" i="13"/>
  <c r="K39" i="13"/>
  <c r="J39" i="13"/>
  <c r="K38" i="13"/>
  <c r="J38" i="13"/>
  <c r="K37" i="13"/>
  <c r="J37" i="13"/>
  <c r="K36" i="13"/>
  <c r="J36" i="13"/>
  <c r="K35" i="13"/>
  <c r="J35" i="13"/>
  <c r="K34" i="13"/>
  <c r="J34" i="13"/>
  <c r="K33" i="13"/>
  <c r="J33" i="13"/>
  <c r="K32" i="13"/>
  <c r="J32" i="13"/>
  <c r="K31" i="13"/>
  <c r="J31" i="13"/>
  <c r="K30" i="13"/>
  <c r="J30" i="13"/>
  <c r="K29" i="13"/>
  <c r="J29" i="13"/>
  <c r="K28" i="13"/>
  <c r="J28" i="13"/>
  <c r="K27" i="13"/>
  <c r="J27" i="13"/>
  <c r="K26" i="13"/>
  <c r="J26" i="13"/>
  <c r="K25" i="13"/>
  <c r="J25" i="13"/>
  <c r="H15" i="13"/>
  <c r="H11" i="13"/>
  <c r="H7" i="13"/>
  <c r="K2" i="13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E58" i="12"/>
  <c r="C59" i="12" s="1"/>
  <c r="L52" i="12"/>
  <c r="K52" i="12"/>
  <c r="J52" i="12"/>
  <c r="I52" i="12"/>
  <c r="G52" i="12"/>
  <c r="F52" i="12"/>
  <c r="E52" i="12"/>
  <c r="D52" i="12"/>
  <c r="C52" i="12"/>
  <c r="M49" i="12"/>
  <c r="L49" i="12"/>
  <c r="K49" i="12"/>
  <c r="J49" i="12"/>
  <c r="I49" i="12"/>
  <c r="G49" i="12"/>
  <c r="F49" i="12"/>
  <c r="E49" i="12"/>
  <c r="C49" i="12"/>
  <c r="M46" i="12"/>
  <c r="L46" i="12"/>
  <c r="K46" i="12"/>
  <c r="J46" i="12"/>
  <c r="I46" i="12"/>
  <c r="G46" i="12"/>
  <c r="F46" i="12"/>
  <c r="E46" i="12"/>
  <c r="D46" i="12"/>
  <c r="C46" i="12"/>
  <c r="I41" i="12"/>
  <c r="G41" i="12"/>
  <c r="F41" i="12"/>
  <c r="E41" i="12"/>
  <c r="D41" i="12"/>
  <c r="C41" i="12"/>
  <c r="K40" i="12"/>
  <c r="J40" i="12"/>
  <c r="K39" i="12"/>
  <c r="J39" i="12"/>
  <c r="K38" i="12"/>
  <c r="J38" i="12"/>
  <c r="K37" i="12"/>
  <c r="J37" i="12"/>
  <c r="K36" i="12"/>
  <c r="J36" i="12"/>
  <c r="K35" i="12"/>
  <c r="J35" i="12"/>
  <c r="K34" i="12"/>
  <c r="J34" i="12"/>
  <c r="K33" i="12"/>
  <c r="J33" i="12"/>
  <c r="K32" i="12"/>
  <c r="J32" i="12"/>
  <c r="K31" i="12"/>
  <c r="J31" i="12"/>
  <c r="K30" i="12"/>
  <c r="J30" i="12"/>
  <c r="K29" i="12"/>
  <c r="J29" i="12"/>
  <c r="K28" i="12"/>
  <c r="J28" i="12"/>
  <c r="K27" i="12"/>
  <c r="J27" i="12"/>
  <c r="K26" i="12"/>
  <c r="J26" i="12"/>
  <c r="K25" i="12"/>
  <c r="J25" i="12"/>
  <c r="J41" i="12"/>
  <c r="H15" i="12"/>
  <c r="H11" i="12"/>
  <c r="H7" i="12"/>
  <c r="K2" i="12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E58" i="11"/>
  <c r="L52" i="11"/>
  <c r="K52" i="11"/>
  <c r="J52" i="11"/>
  <c r="I52" i="11"/>
  <c r="G52" i="11"/>
  <c r="F52" i="11"/>
  <c r="E52" i="11"/>
  <c r="D52" i="11"/>
  <c r="C52" i="11"/>
  <c r="M49" i="11"/>
  <c r="L49" i="11"/>
  <c r="K49" i="11"/>
  <c r="J49" i="11"/>
  <c r="I49" i="11"/>
  <c r="G49" i="11"/>
  <c r="F49" i="11"/>
  <c r="E49" i="11"/>
  <c r="C49" i="11"/>
  <c r="M46" i="11"/>
  <c r="L46" i="11"/>
  <c r="K46" i="11"/>
  <c r="J46" i="11"/>
  <c r="I46" i="11"/>
  <c r="G46" i="11"/>
  <c r="F46" i="11"/>
  <c r="E46" i="11"/>
  <c r="D46" i="11"/>
  <c r="C46" i="11"/>
  <c r="I41" i="11"/>
  <c r="G41" i="11"/>
  <c r="F41" i="11"/>
  <c r="E41" i="11"/>
  <c r="D41" i="11"/>
  <c r="C41" i="11"/>
  <c r="K40" i="11"/>
  <c r="J40" i="11"/>
  <c r="K39" i="11"/>
  <c r="J39" i="11"/>
  <c r="K38" i="11"/>
  <c r="J38" i="11"/>
  <c r="K37" i="11"/>
  <c r="J37" i="11"/>
  <c r="K36" i="11"/>
  <c r="J36" i="11"/>
  <c r="K35" i="11"/>
  <c r="J35" i="11"/>
  <c r="K34" i="11"/>
  <c r="J34" i="11"/>
  <c r="K33" i="11"/>
  <c r="J33" i="11"/>
  <c r="K32" i="11"/>
  <c r="J32" i="11"/>
  <c r="K31" i="11"/>
  <c r="J31" i="11"/>
  <c r="K30" i="11"/>
  <c r="J30" i="11"/>
  <c r="K29" i="11"/>
  <c r="J29" i="11"/>
  <c r="K28" i="11"/>
  <c r="J28" i="11"/>
  <c r="K27" i="11"/>
  <c r="J27" i="11"/>
  <c r="K26" i="11"/>
  <c r="J26" i="11"/>
  <c r="K25" i="11"/>
  <c r="J25" i="11"/>
  <c r="H15" i="11"/>
  <c r="H11" i="11"/>
  <c r="H7" i="11"/>
  <c r="K2" i="11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E58" i="10"/>
  <c r="L52" i="10"/>
  <c r="K52" i="10"/>
  <c r="J52" i="10"/>
  <c r="I52" i="10"/>
  <c r="G52" i="10"/>
  <c r="F52" i="10"/>
  <c r="E52" i="10"/>
  <c r="D52" i="10"/>
  <c r="C52" i="10"/>
  <c r="M49" i="10"/>
  <c r="L49" i="10"/>
  <c r="K49" i="10"/>
  <c r="J49" i="10"/>
  <c r="I49" i="10"/>
  <c r="G49" i="10"/>
  <c r="F49" i="10"/>
  <c r="E49" i="10"/>
  <c r="C49" i="10"/>
  <c r="M46" i="10"/>
  <c r="L46" i="10"/>
  <c r="K46" i="10"/>
  <c r="J46" i="10"/>
  <c r="I46" i="10"/>
  <c r="G46" i="10"/>
  <c r="F46" i="10"/>
  <c r="E46" i="10"/>
  <c r="D46" i="10"/>
  <c r="C46" i="10"/>
  <c r="I41" i="10"/>
  <c r="G41" i="10"/>
  <c r="F41" i="10"/>
  <c r="E41" i="10"/>
  <c r="D41" i="10"/>
  <c r="C41" i="10"/>
  <c r="K40" i="10"/>
  <c r="J40" i="10"/>
  <c r="K39" i="10"/>
  <c r="J39" i="10"/>
  <c r="K38" i="10"/>
  <c r="J38" i="10"/>
  <c r="K37" i="10"/>
  <c r="J37" i="10"/>
  <c r="K36" i="10"/>
  <c r="J36" i="10"/>
  <c r="K35" i="10"/>
  <c r="J35" i="10"/>
  <c r="K34" i="10"/>
  <c r="J34" i="10"/>
  <c r="K33" i="10"/>
  <c r="J33" i="10"/>
  <c r="K32" i="10"/>
  <c r="J32" i="10"/>
  <c r="K31" i="10"/>
  <c r="J31" i="10"/>
  <c r="K30" i="10"/>
  <c r="J30" i="10"/>
  <c r="K29" i="10"/>
  <c r="J29" i="10"/>
  <c r="K28" i="10"/>
  <c r="J28" i="10"/>
  <c r="K27" i="10"/>
  <c r="J27" i="10"/>
  <c r="K26" i="10"/>
  <c r="J26" i="10"/>
  <c r="K25" i="10"/>
  <c r="J25" i="10"/>
  <c r="H15" i="10"/>
  <c r="H11" i="10"/>
  <c r="H7" i="10"/>
  <c r="K2" i="10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E58" i="9"/>
  <c r="L52" i="9"/>
  <c r="K52" i="9"/>
  <c r="J52" i="9"/>
  <c r="I52" i="9"/>
  <c r="G52" i="9"/>
  <c r="F52" i="9"/>
  <c r="E52" i="9"/>
  <c r="D52" i="9"/>
  <c r="C52" i="9"/>
  <c r="M49" i="9"/>
  <c r="L49" i="9"/>
  <c r="K49" i="9"/>
  <c r="J49" i="9"/>
  <c r="I49" i="9"/>
  <c r="G49" i="9"/>
  <c r="F49" i="9"/>
  <c r="E49" i="9"/>
  <c r="C49" i="9"/>
  <c r="M46" i="9"/>
  <c r="L46" i="9"/>
  <c r="K46" i="9"/>
  <c r="J46" i="9"/>
  <c r="I46" i="9"/>
  <c r="G46" i="9"/>
  <c r="F46" i="9"/>
  <c r="E46" i="9"/>
  <c r="D46" i="9"/>
  <c r="C46" i="9"/>
  <c r="I41" i="9"/>
  <c r="G41" i="9"/>
  <c r="F41" i="9"/>
  <c r="E41" i="9"/>
  <c r="D41" i="9"/>
  <c r="C41" i="9"/>
  <c r="K40" i="9"/>
  <c r="J40" i="9"/>
  <c r="K39" i="9"/>
  <c r="J39" i="9"/>
  <c r="K38" i="9"/>
  <c r="J38" i="9"/>
  <c r="K37" i="9"/>
  <c r="J37" i="9"/>
  <c r="K36" i="9"/>
  <c r="J36" i="9"/>
  <c r="K35" i="9"/>
  <c r="J35" i="9"/>
  <c r="K34" i="9"/>
  <c r="J34" i="9"/>
  <c r="K33" i="9"/>
  <c r="J33" i="9"/>
  <c r="K32" i="9"/>
  <c r="J32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H15" i="9"/>
  <c r="H11" i="9"/>
  <c r="H7" i="9"/>
  <c r="K2" i="9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E58" i="8"/>
  <c r="L52" i="8"/>
  <c r="K52" i="8"/>
  <c r="J52" i="8"/>
  <c r="I52" i="8"/>
  <c r="G52" i="8"/>
  <c r="F52" i="8"/>
  <c r="E52" i="8"/>
  <c r="D52" i="8"/>
  <c r="C52" i="8"/>
  <c r="M49" i="8"/>
  <c r="L49" i="8"/>
  <c r="K49" i="8"/>
  <c r="J49" i="8"/>
  <c r="I49" i="8"/>
  <c r="G49" i="8"/>
  <c r="F49" i="8"/>
  <c r="E49" i="8"/>
  <c r="C49" i="8"/>
  <c r="M46" i="8"/>
  <c r="L46" i="8"/>
  <c r="K46" i="8"/>
  <c r="J46" i="8"/>
  <c r="I46" i="8"/>
  <c r="G46" i="8"/>
  <c r="F46" i="8"/>
  <c r="E46" i="8"/>
  <c r="D46" i="8"/>
  <c r="C46" i="8"/>
  <c r="I41" i="8"/>
  <c r="G41" i="8"/>
  <c r="F41" i="8"/>
  <c r="E41" i="8"/>
  <c r="D41" i="8"/>
  <c r="C41" i="8"/>
  <c r="K40" i="8"/>
  <c r="J40" i="8"/>
  <c r="K39" i="8"/>
  <c r="J39" i="8"/>
  <c r="K38" i="8"/>
  <c r="J38" i="8"/>
  <c r="K37" i="8"/>
  <c r="J37" i="8"/>
  <c r="K36" i="8"/>
  <c r="J36" i="8"/>
  <c r="K35" i="8"/>
  <c r="J35" i="8"/>
  <c r="K34" i="8"/>
  <c r="J34" i="8"/>
  <c r="K33" i="8"/>
  <c r="J33" i="8"/>
  <c r="K32" i="8"/>
  <c r="J32" i="8"/>
  <c r="K31" i="8"/>
  <c r="J31" i="8"/>
  <c r="K30" i="8"/>
  <c r="J30" i="8"/>
  <c r="K29" i="8"/>
  <c r="J29" i="8"/>
  <c r="K28" i="8"/>
  <c r="J28" i="8"/>
  <c r="K27" i="8"/>
  <c r="J27" i="8"/>
  <c r="K26" i="8"/>
  <c r="J26" i="8"/>
  <c r="K25" i="8"/>
  <c r="J25" i="8"/>
  <c r="J41" i="8"/>
  <c r="H15" i="8"/>
  <c r="H11" i="8"/>
  <c r="H7" i="8"/>
  <c r="K2" i="8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E58" i="7"/>
  <c r="L52" i="7"/>
  <c r="K52" i="7"/>
  <c r="J52" i="7"/>
  <c r="I52" i="7"/>
  <c r="G52" i="7"/>
  <c r="F52" i="7"/>
  <c r="E52" i="7"/>
  <c r="D52" i="7"/>
  <c r="C52" i="7"/>
  <c r="M49" i="7"/>
  <c r="L49" i="7"/>
  <c r="K49" i="7"/>
  <c r="J49" i="7"/>
  <c r="I49" i="7"/>
  <c r="G49" i="7"/>
  <c r="F49" i="7"/>
  <c r="E49" i="7"/>
  <c r="C49" i="7"/>
  <c r="M46" i="7"/>
  <c r="L46" i="7"/>
  <c r="K46" i="7"/>
  <c r="J46" i="7"/>
  <c r="I46" i="7"/>
  <c r="G46" i="7"/>
  <c r="F46" i="7"/>
  <c r="E46" i="7"/>
  <c r="D46" i="7"/>
  <c r="C46" i="7"/>
  <c r="I41" i="7"/>
  <c r="G41" i="7"/>
  <c r="F41" i="7"/>
  <c r="E41" i="7"/>
  <c r="D41" i="7"/>
  <c r="C41" i="7"/>
  <c r="K40" i="7"/>
  <c r="J40" i="7"/>
  <c r="K39" i="7"/>
  <c r="J39" i="7"/>
  <c r="K38" i="7"/>
  <c r="J38" i="7"/>
  <c r="K37" i="7"/>
  <c r="J37" i="7"/>
  <c r="K36" i="7"/>
  <c r="J36" i="7"/>
  <c r="K35" i="7"/>
  <c r="J35" i="7"/>
  <c r="K34" i="7"/>
  <c r="J34" i="7"/>
  <c r="K33" i="7"/>
  <c r="J33" i="7"/>
  <c r="K32" i="7"/>
  <c r="J32" i="7"/>
  <c r="K31" i="7"/>
  <c r="J31" i="7"/>
  <c r="K30" i="7"/>
  <c r="J30" i="7"/>
  <c r="K29" i="7"/>
  <c r="J29" i="7"/>
  <c r="K28" i="7"/>
  <c r="J28" i="7"/>
  <c r="K27" i="7"/>
  <c r="J27" i="7"/>
  <c r="K26" i="7"/>
  <c r="J26" i="7"/>
  <c r="K25" i="7"/>
  <c r="J25" i="7"/>
  <c r="H15" i="7"/>
  <c r="H11" i="7"/>
  <c r="H7" i="7"/>
  <c r="H19" i="7"/>
  <c r="H59" i="7"/>
  <c r="K2" i="7"/>
  <c r="N62" i="12"/>
  <c r="D54" i="10"/>
  <c r="I54" i="11"/>
  <c r="H19" i="9"/>
  <c r="C59" i="9"/>
  <c r="K41" i="9"/>
  <c r="K41" i="8"/>
  <c r="H59" i="24"/>
  <c r="L59" i="24"/>
  <c r="H59" i="30"/>
  <c r="L59" i="30"/>
  <c r="J6" i="7"/>
  <c r="L59" i="7"/>
  <c r="H19" i="8"/>
  <c r="N62" i="10"/>
  <c r="J41" i="11"/>
  <c r="D54" i="11"/>
  <c r="I54" i="12"/>
  <c r="K41" i="12"/>
  <c r="H19" i="14"/>
  <c r="C59" i="14"/>
  <c r="D54" i="14"/>
  <c r="I54" i="15"/>
  <c r="H19" i="16"/>
  <c r="N59" i="16" s="1"/>
  <c r="K41" i="19"/>
  <c r="J41" i="20"/>
  <c r="K41" i="21"/>
  <c r="K41" i="24"/>
  <c r="N62" i="25"/>
  <c r="J41" i="26"/>
  <c r="D54" i="26"/>
  <c r="I54" i="27"/>
  <c r="J41" i="27"/>
  <c r="H19" i="29"/>
  <c r="K41" i="31"/>
  <c r="N62" i="33"/>
  <c r="H19" i="35"/>
  <c r="M59" i="35"/>
  <c r="C59" i="7"/>
  <c r="D54" i="8"/>
  <c r="I54" i="9"/>
  <c r="H19" i="11"/>
  <c r="L59" i="11"/>
  <c r="H19" i="20"/>
  <c r="J6" i="20"/>
  <c r="D54" i="20"/>
  <c r="I54" i="21"/>
  <c r="H19" i="22"/>
  <c r="J41" i="23"/>
  <c r="N62" i="23"/>
  <c r="C59" i="24"/>
  <c r="H19" i="26"/>
  <c r="D54" i="29"/>
  <c r="I54" i="30"/>
  <c r="J41" i="33"/>
  <c r="N62" i="34"/>
  <c r="D54" i="35"/>
  <c r="I54" i="36"/>
  <c r="K41" i="36"/>
  <c r="H19" i="10"/>
  <c r="L59" i="10"/>
  <c r="J41" i="13"/>
  <c r="D54" i="22"/>
  <c r="I54" i="23"/>
  <c r="K41" i="23"/>
  <c r="N62" i="27"/>
  <c r="K41" i="30"/>
  <c r="N62" i="31"/>
  <c r="J41" i="32"/>
  <c r="K41" i="33"/>
  <c r="N62" i="35"/>
  <c r="C59" i="36"/>
  <c r="D54" i="7"/>
  <c r="I54" i="8"/>
  <c r="J41" i="10"/>
  <c r="K41" i="11"/>
  <c r="H19" i="13"/>
  <c r="D54" i="13"/>
  <c r="I54" i="14"/>
  <c r="J41" i="16"/>
  <c r="D54" i="19"/>
  <c r="I54" i="20"/>
  <c r="K41" i="20"/>
  <c r="J41" i="25"/>
  <c r="D54" i="25"/>
  <c r="I54" i="26"/>
  <c r="K41" i="26"/>
  <c r="K41" i="27"/>
  <c r="N62" i="28"/>
  <c r="J41" i="29"/>
  <c r="N62" i="29"/>
  <c r="C59" i="30"/>
  <c r="H19" i="32"/>
  <c r="D54" i="32"/>
  <c r="I54" i="33"/>
  <c r="J41" i="35"/>
  <c r="N62" i="36"/>
  <c r="N62" i="22"/>
  <c r="N62" i="9"/>
  <c r="D54" i="12"/>
  <c r="I54" i="13"/>
  <c r="K41" i="13"/>
  <c r="H19" i="15"/>
  <c r="L58" i="15" s="1"/>
  <c r="M58" i="15" s="1"/>
  <c r="C59" i="15"/>
  <c r="C59" i="16"/>
  <c r="J41" i="19"/>
  <c r="N62" i="20"/>
  <c r="K41" i="22"/>
  <c r="J41" i="24"/>
  <c r="D54" i="24"/>
  <c r="I54" i="25"/>
  <c r="N62" i="24"/>
  <c r="K41" i="28"/>
  <c r="C59" i="29"/>
  <c r="D54" i="31"/>
  <c r="I54" i="32"/>
  <c r="K41" i="32"/>
  <c r="H19" i="34"/>
  <c r="C59" i="34"/>
  <c r="D54" i="34"/>
  <c r="I54" i="35"/>
  <c r="J41" i="28"/>
  <c r="J41" i="7"/>
  <c r="C59" i="8"/>
  <c r="K41" i="7"/>
  <c r="N62" i="7"/>
  <c r="N62" i="8"/>
  <c r="J41" i="9"/>
  <c r="D54" i="9"/>
  <c r="I54" i="10"/>
  <c r="K41" i="10"/>
  <c r="H19" i="12"/>
  <c r="C59" i="13"/>
  <c r="J41" i="15"/>
  <c r="N62" i="15"/>
  <c r="D54" i="21"/>
  <c r="I54" i="22"/>
  <c r="H19" i="23"/>
  <c r="C59" i="23"/>
  <c r="K41" i="25"/>
  <c r="D54" i="27"/>
  <c r="I54" i="28"/>
  <c r="H19" i="33"/>
  <c r="M59" i="33"/>
  <c r="C59" i="10"/>
  <c r="N62" i="11"/>
  <c r="N62" i="13"/>
  <c r="N62" i="19"/>
  <c r="N62" i="21"/>
  <c r="D54" i="23"/>
  <c r="I54" i="24"/>
  <c r="C59" i="25"/>
  <c r="N62" i="26"/>
  <c r="D54" i="30"/>
  <c r="I54" i="31"/>
  <c r="N62" i="30"/>
  <c r="N62" i="32"/>
  <c r="D54" i="33"/>
  <c r="I54" i="34"/>
  <c r="H59" i="36"/>
  <c r="L59" i="36"/>
  <c r="M59" i="36"/>
  <c r="J6" i="36"/>
  <c r="L59" i="34"/>
  <c r="H59" i="33"/>
  <c r="H59" i="32"/>
  <c r="L59" i="32"/>
  <c r="M59" i="32"/>
  <c r="J6" i="32"/>
  <c r="C59" i="32"/>
  <c r="C59" i="31"/>
  <c r="H59" i="31"/>
  <c r="L59" i="31"/>
  <c r="M59" i="31"/>
  <c r="J6" i="31"/>
  <c r="J6" i="30"/>
  <c r="M59" i="30"/>
  <c r="H59" i="29"/>
  <c r="M59" i="29"/>
  <c r="J6" i="29"/>
  <c r="L59" i="29"/>
  <c r="L59" i="28"/>
  <c r="J6" i="28"/>
  <c r="M59" i="28"/>
  <c r="C59" i="28"/>
  <c r="L59" i="27"/>
  <c r="J6" i="27"/>
  <c r="M59" i="27"/>
  <c r="C59" i="27"/>
  <c r="C59" i="26"/>
  <c r="H59" i="26"/>
  <c r="L59" i="26"/>
  <c r="M59" i="26"/>
  <c r="J6" i="26"/>
  <c r="H59" i="25"/>
  <c r="L59" i="25"/>
  <c r="M59" i="25"/>
  <c r="J6" i="25"/>
  <c r="J6" i="24"/>
  <c r="M59" i="24"/>
  <c r="H59" i="23"/>
  <c r="M59" i="23"/>
  <c r="J6" i="23"/>
  <c r="L59" i="23"/>
  <c r="C59" i="22"/>
  <c r="H59" i="22"/>
  <c r="M59" i="22"/>
  <c r="J6" i="22"/>
  <c r="L59" i="22"/>
  <c r="H59" i="21"/>
  <c r="C59" i="21"/>
  <c r="L59" i="21"/>
  <c r="M59" i="21"/>
  <c r="J6" i="21"/>
  <c r="C59" i="20"/>
  <c r="M59" i="20"/>
  <c r="L59" i="19"/>
  <c r="J6" i="19"/>
  <c r="M59" i="19"/>
  <c r="C59" i="19"/>
  <c r="H59" i="16"/>
  <c r="J6" i="16"/>
  <c r="L59" i="16"/>
  <c r="H59" i="15"/>
  <c r="M59" i="15"/>
  <c r="J6" i="15"/>
  <c r="L59" i="15"/>
  <c r="H59" i="14"/>
  <c r="J6" i="14"/>
  <c r="H59" i="13"/>
  <c r="L59" i="13"/>
  <c r="M59" i="13"/>
  <c r="J6" i="13"/>
  <c r="H59" i="12"/>
  <c r="J6" i="12"/>
  <c r="H59" i="11"/>
  <c r="J6" i="11"/>
  <c r="H59" i="10"/>
  <c r="J6" i="10"/>
  <c r="H59" i="9"/>
  <c r="M59" i="9"/>
  <c r="H59" i="8"/>
  <c r="L59" i="8"/>
  <c r="M59" i="8"/>
  <c r="J6" i="8"/>
  <c r="M59" i="7"/>
  <c r="L59" i="9"/>
  <c r="J6" i="9"/>
  <c r="M59" i="10"/>
  <c r="M59" i="12"/>
  <c r="M59" i="14"/>
  <c r="L59" i="20"/>
  <c r="J6" i="34"/>
  <c r="H59" i="35"/>
  <c r="L59" i="12"/>
  <c r="L59" i="14"/>
  <c r="H59" i="20"/>
  <c r="M59" i="34"/>
  <c r="C59" i="11"/>
  <c r="H59" i="34"/>
  <c r="C59" i="33"/>
  <c r="L59" i="33"/>
  <c r="M59" i="11"/>
  <c r="J6" i="33"/>
  <c r="L59" i="35"/>
  <c r="C59" i="35"/>
  <c r="J6" i="35"/>
  <c r="K46" i="2"/>
  <c r="K47" i="2"/>
  <c r="K50" i="2"/>
  <c r="K49" i="2"/>
  <c r="K48" i="2"/>
  <c r="D50" i="2"/>
  <c r="D49" i="2"/>
  <c r="D48" i="2"/>
  <c r="D47" i="2"/>
  <c r="D46" i="2"/>
  <c r="V66" i="2"/>
  <c r="V65" i="2"/>
  <c r="V64" i="2"/>
  <c r="V63" i="2"/>
  <c r="V62" i="2"/>
  <c r="V61" i="2"/>
  <c r="V60" i="2"/>
  <c r="C57" i="2"/>
  <c r="AK60" i="4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9" i="2"/>
  <c r="K60" i="4"/>
  <c r="X60" i="4"/>
  <c r="AX60" i="4"/>
  <c r="AM2" i="4"/>
  <c r="AZ2" i="4" s="1"/>
  <c r="AZ30" i="4" s="1"/>
  <c r="AM30" i="4"/>
  <c r="V47" i="2"/>
  <c r="V48" i="2"/>
  <c r="V49" i="2"/>
  <c r="V50" i="2"/>
  <c r="V46" i="2"/>
  <c r="J5" i="2"/>
  <c r="E5" i="2"/>
  <c r="K49" i="3"/>
  <c r="D49" i="3"/>
  <c r="C51" i="3"/>
  <c r="K48" i="3"/>
  <c r="D48" i="3"/>
  <c r="K47" i="3"/>
  <c r="D47" i="3"/>
  <c r="K46" i="3"/>
  <c r="D46" i="3"/>
  <c r="K45" i="3"/>
  <c r="D45" i="3"/>
  <c r="K39" i="6"/>
  <c r="K38" i="6"/>
  <c r="S46" i="3"/>
  <c r="S47" i="3"/>
  <c r="S48" i="3"/>
  <c r="S49" i="3"/>
  <c r="S45" i="3"/>
  <c r="D51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U5" i="3"/>
  <c r="U33" i="3"/>
  <c r="X4" i="3"/>
  <c r="X5" i="3"/>
  <c r="X10" i="3"/>
  <c r="H4" i="3"/>
  <c r="X26" i="3"/>
  <c r="X34" i="3"/>
  <c r="X13" i="3"/>
  <c r="X32" i="3"/>
  <c r="X8" i="3"/>
  <c r="X49" i="3"/>
  <c r="X46" i="3"/>
  <c r="X48" i="3"/>
  <c r="X47" i="3"/>
  <c r="X45" i="3"/>
  <c r="X18" i="3"/>
  <c r="U17" i="3"/>
  <c r="U25" i="3"/>
  <c r="U12" i="3"/>
  <c r="U31" i="3"/>
  <c r="F45" i="3"/>
  <c r="F46" i="3"/>
  <c r="U46" i="3"/>
  <c r="U9" i="3"/>
  <c r="K51" i="3"/>
  <c r="U20" i="3"/>
  <c r="X21" i="3"/>
  <c r="U28" i="3"/>
  <c r="X29" i="3"/>
  <c r="U36" i="3"/>
  <c r="X37" i="3"/>
  <c r="F48" i="3"/>
  <c r="U48" i="3"/>
  <c r="U14" i="3"/>
  <c r="X15" i="3"/>
  <c r="U22" i="3"/>
  <c r="X23" i="3"/>
  <c r="U30" i="3"/>
  <c r="X31" i="3"/>
  <c r="U38" i="3"/>
  <c r="U11" i="3"/>
  <c r="X12" i="3"/>
  <c r="U19" i="3"/>
  <c r="X20" i="3"/>
  <c r="U27" i="3"/>
  <c r="X28" i="3"/>
  <c r="U35" i="3"/>
  <c r="X36" i="3"/>
  <c r="U8" i="3"/>
  <c r="X9" i="3"/>
  <c r="U16" i="3"/>
  <c r="X17" i="3"/>
  <c r="U24" i="3"/>
  <c r="X25" i="3"/>
  <c r="U32" i="3"/>
  <c r="X33" i="3"/>
  <c r="F47" i="3"/>
  <c r="U47" i="3"/>
  <c r="F49" i="3"/>
  <c r="U49" i="3"/>
  <c r="U13" i="3"/>
  <c r="X14" i="3"/>
  <c r="U21" i="3"/>
  <c r="X22" i="3"/>
  <c r="U29" i="3"/>
  <c r="X30" i="3"/>
  <c r="U37" i="3"/>
  <c r="X38" i="3"/>
  <c r="U10" i="3"/>
  <c r="X11" i="3"/>
  <c r="U18" i="3"/>
  <c r="X19" i="3"/>
  <c r="U26" i="3"/>
  <c r="X27" i="3"/>
  <c r="U34" i="3"/>
  <c r="X35" i="3"/>
  <c r="U15" i="3"/>
  <c r="X16" i="3"/>
  <c r="U23" i="3"/>
  <c r="X24" i="3"/>
  <c r="C52" i="2"/>
  <c r="X5" i="2"/>
  <c r="X63" i="2"/>
  <c r="X66" i="2"/>
  <c r="AA66" i="2"/>
  <c r="X60" i="2"/>
  <c r="X65" i="2"/>
  <c r="AA65" i="2"/>
  <c r="X62" i="2"/>
  <c r="F48" i="2"/>
  <c r="M60" i="4"/>
  <c r="X61" i="2"/>
  <c r="X64" i="2"/>
  <c r="AA64" i="2"/>
  <c r="M30" i="4"/>
  <c r="F46" i="2"/>
  <c r="X46" i="2"/>
  <c r="AA46" i="2"/>
  <c r="F50" i="2"/>
  <c r="U45" i="3"/>
  <c r="F51" i="3"/>
  <c r="AA4" i="2"/>
  <c r="AA5" i="2"/>
  <c r="AD5" i="2"/>
  <c r="AM60" i="4"/>
  <c r="AZ60" i="4"/>
  <c r="Z30" i="4"/>
  <c r="AA60" i="2"/>
  <c r="AA9" i="2"/>
  <c r="J4" i="2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G41" i="6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9" i="2"/>
  <c r="AA12" i="2"/>
  <c r="D52" i="2"/>
  <c r="AA35" i="2"/>
  <c r="AA27" i="2"/>
  <c r="AA19" i="2"/>
  <c r="AA11" i="2"/>
  <c r="AA34" i="2"/>
  <c r="AA26" i="2"/>
  <c r="AA18" i="2"/>
  <c r="AA10" i="2"/>
  <c r="AA33" i="2"/>
  <c r="AA25" i="2"/>
  <c r="AA17" i="2"/>
  <c r="AA24" i="2"/>
  <c r="AA16" i="2"/>
  <c r="AA31" i="2"/>
  <c r="AA15" i="2"/>
  <c r="AA38" i="2"/>
  <c r="AA30" i="2"/>
  <c r="AA14" i="2"/>
  <c r="AA37" i="2"/>
  <c r="AA29" i="2"/>
  <c r="AA21" i="2"/>
  <c r="AA13" i="2"/>
  <c r="AA32" i="2"/>
  <c r="AA39" i="2"/>
  <c r="AA23" i="2"/>
  <c r="AA22" i="2"/>
  <c r="AA36" i="2"/>
  <c r="AA28" i="2"/>
  <c r="AA20" i="2"/>
  <c r="X14" i="2"/>
  <c r="X50" i="2"/>
  <c r="AA50" i="2"/>
  <c r="F47" i="2"/>
  <c r="X47" i="2"/>
  <c r="AA47" i="2"/>
  <c r="X48" i="2"/>
  <c r="AA48" i="2"/>
  <c r="F49" i="2"/>
  <c r="X49" i="2"/>
  <c r="AA49" i="2"/>
  <c r="X20" i="2"/>
  <c r="X34" i="2"/>
  <c r="X32" i="2"/>
  <c r="X27" i="2"/>
  <c r="X19" i="2"/>
  <c r="X29" i="2"/>
  <c r="X18" i="2"/>
  <c r="X28" i="2"/>
  <c r="X9" i="2"/>
  <c r="X37" i="2"/>
  <c r="X12" i="2"/>
  <c r="X16" i="2"/>
  <c r="X13" i="2"/>
  <c r="X26" i="2"/>
  <c r="X36" i="2"/>
  <c r="X24" i="2"/>
  <c r="X11" i="2"/>
  <c r="X35" i="2"/>
  <c r="X21" i="2"/>
  <c r="X10" i="2"/>
  <c r="X33" i="2"/>
  <c r="X25" i="2"/>
  <c r="X17" i="2"/>
  <c r="X39" i="2"/>
  <c r="X31" i="2"/>
  <c r="X23" i="2"/>
  <c r="X15" i="2"/>
  <c r="X38" i="2"/>
  <c r="X30" i="2"/>
  <c r="X22" i="2"/>
  <c r="C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H15" i="6"/>
  <c r="H11" i="6"/>
  <c r="H7" i="6"/>
  <c r="AA62" i="2"/>
  <c r="AA61" i="2"/>
  <c r="AA63" i="2"/>
  <c r="H19" i="6"/>
  <c r="M59" i="6"/>
  <c r="F52" i="2"/>
  <c r="Z60" i="4"/>
  <c r="H59" i="6"/>
  <c r="E58" i="6"/>
  <c r="G52" i="6"/>
  <c r="G49" i="6"/>
  <c r="G46" i="6"/>
  <c r="K35" i="6"/>
  <c r="K2" i="6"/>
  <c r="K25" i="6"/>
  <c r="K40" i="6"/>
  <c r="L52" i="6"/>
  <c r="K52" i="6"/>
  <c r="J52" i="6"/>
  <c r="I52" i="6"/>
  <c r="F52" i="6"/>
  <c r="E52" i="6"/>
  <c r="D52" i="6"/>
  <c r="C52" i="6"/>
  <c r="M49" i="6"/>
  <c r="L49" i="6"/>
  <c r="K49" i="6"/>
  <c r="J49" i="6"/>
  <c r="I49" i="6"/>
  <c r="F49" i="6"/>
  <c r="E49" i="6"/>
  <c r="C49" i="6"/>
  <c r="M46" i="6"/>
  <c r="L46" i="6"/>
  <c r="K46" i="6"/>
  <c r="J46" i="6"/>
  <c r="I46" i="6"/>
  <c r="F46" i="6"/>
  <c r="E46" i="6"/>
  <c r="D46" i="6"/>
  <c r="C46" i="6"/>
  <c r="I41" i="6"/>
  <c r="F41" i="6"/>
  <c r="E41" i="6"/>
  <c r="D41" i="6"/>
  <c r="K37" i="6"/>
  <c r="K36" i="6"/>
  <c r="K34" i="6"/>
  <c r="K33" i="6"/>
  <c r="K32" i="6"/>
  <c r="K31" i="6"/>
  <c r="K30" i="6"/>
  <c r="K29" i="6"/>
  <c r="K28" i="6"/>
  <c r="K27" i="6"/>
  <c r="K26" i="6"/>
  <c r="K41" i="6"/>
  <c r="D54" i="6"/>
  <c r="I54" i="7"/>
  <c r="J41" i="6"/>
  <c r="L59" i="6"/>
  <c r="C59" i="6"/>
  <c r="J6" i="6"/>
  <c r="B13" i="38"/>
  <c r="B15" i="38"/>
  <c r="B14" i="38"/>
  <c r="C14" i="38"/>
  <c r="D15" i="38"/>
  <c r="C13" i="38"/>
  <c r="C15" i="38"/>
  <c r="F13" i="38"/>
  <c r="F14" i="38"/>
  <c r="F15" i="38"/>
  <c r="D14" i="38"/>
  <c r="D13" i="38"/>
  <c r="G15" i="38" l="1"/>
  <c r="J16" i="38"/>
  <c r="J17" i="38" s="1"/>
  <c r="G14" i="38"/>
  <c r="G13" i="38"/>
  <c r="H16" i="38"/>
  <c r="H17" i="38" s="1"/>
  <c r="L16" i="38"/>
  <c r="L17" i="38" s="1"/>
  <c r="I16" i="38"/>
  <c r="I17" i="38" s="1"/>
  <c r="N59" i="17"/>
  <c r="H59" i="17"/>
  <c r="J6" i="17"/>
  <c r="L59" i="17"/>
  <c r="M59" i="17"/>
  <c r="C59" i="17"/>
  <c r="H59" i="18"/>
  <c r="J6" i="18"/>
  <c r="C59" i="18"/>
  <c r="L59" i="18"/>
  <c r="M59" i="18"/>
  <c r="K52" i="2"/>
  <c r="M59" i="16"/>
  <c r="K41" i="15"/>
  <c r="K70" i="2"/>
  <c r="J23" i="3"/>
  <c r="J14" i="3"/>
  <c r="I35" i="3"/>
  <c r="O11" i="3"/>
  <c r="L8" i="3"/>
  <c r="F31" i="2"/>
  <c r="P11" i="3"/>
  <c r="I22" i="2"/>
  <c r="N8" i="3"/>
  <c r="C11" i="3"/>
  <c r="H29" i="2"/>
  <c r="F37" i="2"/>
  <c r="G24" i="3"/>
  <c r="Q11" i="2"/>
  <c r="M36" i="3"/>
  <c r="H10" i="2"/>
  <c r="Q27" i="2"/>
  <c r="L17" i="2"/>
  <c r="N29" i="3"/>
  <c r="C36" i="3"/>
  <c r="I37" i="3"/>
  <c r="M27" i="3"/>
  <c r="C9" i="3"/>
  <c r="I29" i="3"/>
  <c r="T39" i="2"/>
  <c r="P24" i="3"/>
  <c r="K20" i="2"/>
  <c r="Q35" i="2"/>
  <c r="M10" i="3"/>
  <c r="O20" i="3"/>
  <c r="G37" i="3"/>
  <c r="P29" i="3"/>
  <c r="N15" i="3"/>
  <c r="I12" i="2"/>
  <c r="I9" i="3"/>
  <c r="P21" i="3"/>
  <c r="G36" i="3"/>
  <c r="L23" i="2"/>
  <c r="G8" i="3"/>
  <c r="L10" i="3"/>
  <c r="L27" i="2"/>
  <c r="F10" i="2"/>
  <c r="K11" i="3"/>
  <c r="F29" i="3"/>
  <c r="F11" i="3"/>
  <c r="K8" i="3"/>
  <c r="L37" i="3"/>
  <c r="T28" i="2"/>
  <c r="I17" i="3"/>
  <c r="E21" i="3"/>
  <c r="G23" i="3"/>
  <c r="I8" i="3"/>
  <c r="L13" i="2"/>
  <c r="E27" i="3"/>
  <c r="J19" i="3"/>
  <c r="G26" i="3"/>
  <c r="P26" i="3"/>
  <c r="M20" i="3"/>
  <c r="M19" i="3"/>
  <c r="F33" i="2"/>
  <c r="P25" i="3"/>
  <c r="Q17" i="2"/>
  <c r="D11" i="2"/>
  <c r="G28" i="3"/>
  <c r="E8" i="3"/>
  <c r="K29" i="3"/>
  <c r="J17" i="3"/>
  <c r="M24" i="3"/>
  <c r="F34" i="2"/>
  <c r="K9" i="2"/>
  <c r="P15" i="3"/>
  <c r="D39" i="2"/>
  <c r="D33" i="2"/>
  <c r="T38" i="2"/>
  <c r="I22" i="3"/>
  <c r="E22" i="3"/>
  <c r="T19" i="2"/>
  <c r="N20" i="3"/>
  <c r="H23" i="2"/>
  <c r="F10" i="3"/>
  <c r="O16" i="2"/>
  <c r="L16" i="2"/>
  <c r="G25" i="3"/>
  <c r="C12" i="3"/>
  <c r="I37" i="2"/>
  <c r="I23" i="3"/>
  <c r="M13" i="3"/>
  <c r="J37" i="3"/>
  <c r="I15" i="2"/>
  <c r="I17" i="2"/>
  <c r="E12" i="3"/>
  <c r="I28" i="2"/>
  <c r="G20" i="3"/>
  <c r="M35" i="3"/>
  <c r="I36" i="2"/>
  <c r="K26" i="3"/>
  <c r="D19" i="2"/>
  <c r="C35" i="3"/>
  <c r="O32" i="3"/>
  <c r="C14" i="3"/>
  <c r="H24" i="2"/>
  <c r="C10" i="3"/>
  <c r="O34" i="3"/>
  <c r="K37" i="3"/>
  <c r="I9" i="2"/>
  <c r="F36" i="3"/>
  <c r="P35" i="3"/>
  <c r="G17" i="3"/>
  <c r="N12" i="3"/>
  <c r="H27" i="2"/>
  <c r="K37" i="2"/>
  <c r="N10" i="3"/>
  <c r="S21" i="2"/>
  <c r="Q21" i="2"/>
  <c r="F35" i="3"/>
  <c r="I36" i="3"/>
  <c r="L27" i="3"/>
  <c r="M29" i="3"/>
  <c r="O31" i="3"/>
  <c r="Q15" i="2"/>
  <c r="H15" i="2"/>
  <c r="O31" i="2"/>
  <c r="F20" i="3"/>
  <c r="S31" i="2"/>
  <c r="J26" i="3"/>
  <c r="J30" i="3"/>
  <c r="N18" i="3"/>
  <c r="S28" i="2"/>
  <c r="G14" i="3"/>
  <c r="L28" i="2"/>
  <c r="J31" i="3"/>
  <c r="F31" i="3"/>
  <c r="M26" i="3"/>
  <c r="F27" i="3"/>
  <c r="L39" i="2"/>
  <c r="M15" i="3"/>
  <c r="I32" i="3"/>
  <c r="G12" i="3"/>
  <c r="C22" i="3"/>
  <c r="L10" i="2"/>
  <c r="O34" i="2"/>
  <c r="M25" i="3"/>
  <c r="O35" i="2"/>
  <c r="Q25" i="2"/>
  <c r="D22" i="2"/>
  <c r="O11" i="2"/>
  <c r="K23" i="3"/>
  <c r="T27" i="2"/>
  <c r="L21" i="2"/>
  <c r="D32" i="2"/>
  <c r="T37" i="2"/>
  <c r="K21" i="2"/>
  <c r="F24" i="2"/>
  <c r="K22" i="3"/>
  <c r="G10" i="3"/>
  <c r="N22" i="3"/>
  <c r="L33" i="2"/>
  <c r="N30" i="3"/>
  <c r="J18" i="3"/>
  <c r="J12" i="3"/>
  <c r="H26" i="2"/>
  <c r="P32" i="3"/>
  <c r="E31" i="3"/>
  <c r="P9" i="3"/>
  <c r="K11" i="2"/>
  <c r="K30" i="3"/>
  <c r="G34" i="3"/>
  <c r="F17" i="3"/>
  <c r="N32" i="3"/>
  <c r="P17" i="3"/>
  <c r="C26" i="3"/>
  <c r="D10" i="2"/>
  <c r="J11" i="3"/>
  <c r="J24" i="3"/>
  <c r="H34" i="2"/>
  <c r="O33" i="3"/>
  <c r="P14" i="3"/>
  <c r="F14" i="3"/>
  <c r="S38" i="2"/>
  <c r="E28" i="3"/>
  <c r="H32" i="2"/>
  <c r="F22" i="3"/>
  <c r="S36" i="2"/>
  <c r="Q23" i="2"/>
  <c r="I23" i="2"/>
  <c r="I20" i="2"/>
  <c r="T30" i="2"/>
  <c r="D35" i="2"/>
  <c r="I35" i="2"/>
  <c r="M22" i="3"/>
  <c r="K38" i="3"/>
  <c r="O36" i="3"/>
  <c r="L14" i="3"/>
  <c r="H20" i="2"/>
  <c r="H25" i="2"/>
  <c r="J34" i="3"/>
  <c r="I10" i="3"/>
  <c r="F32" i="3"/>
  <c r="M28" i="3"/>
  <c r="I11" i="3"/>
  <c r="L29" i="2"/>
  <c r="N23" i="3"/>
  <c r="J16" i="3"/>
  <c r="G16" i="3"/>
  <c r="L17" i="3"/>
  <c r="F20" i="2"/>
  <c r="K35" i="2"/>
  <c r="Q32" i="2"/>
  <c r="S26" i="2"/>
  <c r="N27" i="3"/>
  <c r="D25" i="2"/>
  <c r="P19" i="3"/>
  <c r="D29" i="2"/>
  <c r="F32" i="2"/>
  <c r="I31" i="3"/>
  <c r="S19" i="2"/>
  <c r="N11" i="3"/>
  <c r="F17" i="2"/>
  <c r="L13" i="3"/>
  <c r="O14" i="3"/>
  <c r="H16" i="2"/>
  <c r="Q28" i="2"/>
  <c r="D36" i="2"/>
  <c r="M14" i="3"/>
  <c r="D9" i="2"/>
  <c r="K20" i="3"/>
  <c r="Q14" i="2"/>
  <c r="S13" i="2"/>
  <c r="F15" i="2"/>
  <c r="M34" i="3"/>
  <c r="O22" i="2"/>
  <c r="Q31" i="2"/>
  <c r="K18" i="2"/>
  <c r="D13" i="2"/>
  <c r="D16" i="2"/>
  <c r="T12" i="2"/>
  <c r="G21" i="3"/>
  <c r="T17" i="2"/>
  <c r="H13" i="2"/>
  <c r="O29" i="3"/>
  <c r="F22" i="2"/>
  <c r="T23" i="2"/>
  <c r="I30" i="3"/>
  <c r="P27" i="3"/>
  <c r="H35" i="2"/>
  <c r="L31" i="3"/>
  <c r="F14" i="2"/>
  <c r="S37" i="2"/>
  <c r="I33" i="3"/>
  <c r="S30" i="2"/>
  <c r="S23" i="2"/>
  <c r="L29" i="3"/>
  <c r="G22" i="3"/>
  <c r="O32" i="2"/>
  <c r="L26" i="2"/>
  <c r="L30" i="2"/>
  <c r="E35" i="3"/>
  <c r="Q29" i="2"/>
  <c r="D37" i="2"/>
  <c r="O19" i="3"/>
  <c r="E15" i="3"/>
  <c r="M32" i="3"/>
  <c r="C37" i="3"/>
  <c r="I30" i="2"/>
  <c r="C38" i="3"/>
  <c r="S27" i="2"/>
  <c r="P34" i="3"/>
  <c r="C25" i="3"/>
  <c r="I25" i="2"/>
  <c r="T24" i="2"/>
  <c r="Q20" i="2"/>
  <c r="K12" i="2"/>
  <c r="E13" i="3"/>
  <c r="C20" i="3"/>
  <c r="K14" i="2"/>
  <c r="K35" i="3"/>
  <c r="D23" i="2"/>
  <c r="I38" i="2"/>
  <c r="G38" i="3"/>
  <c r="Q19" i="2"/>
  <c r="H12" i="2"/>
  <c r="K10" i="3"/>
  <c r="L35" i="3"/>
  <c r="P20" i="3"/>
  <c r="G30" i="3"/>
  <c r="K34" i="3"/>
  <c r="E26" i="3"/>
  <c r="O28" i="3"/>
  <c r="L12" i="3"/>
  <c r="T22" i="2"/>
  <c r="P38" i="3"/>
  <c r="Q16" i="2"/>
  <c r="F18" i="2"/>
  <c r="L32" i="3"/>
  <c r="L25" i="2"/>
  <c r="F26" i="3"/>
  <c r="C15" i="3"/>
  <c r="Q38" i="2"/>
  <c r="M38" i="3"/>
  <c r="S29" i="2"/>
  <c r="J38" i="3"/>
  <c r="F25" i="2"/>
  <c r="O18" i="3"/>
  <c r="C24" i="3"/>
  <c r="K25" i="2"/>
  <c r="K17" i="3"/>
  <c r="F18" i="3"/>
  <c r="N19" i="3"/>
  <c r="T35" i="2"/>
  <c r="O25" i="2"/>
  <c r="O24" i="2"/>
  <c r="O38" i="3"/>
  <c r="O9" i="2"/>
  <c r="F36" i="2"/>
  <c r="Q13" i="2"/>
  <c r="E34" i="3"/>
  <c r="I27" i="2"/>
  <c r="L9" i="2"/>
  <c r="L34" i="3"/>
  <c r="M31" i="3"/>
  <c r="L12" i="2"/>
  <c r="O9" i="3"/>
  <c r="L35" i="2"/>
  <c r="I10" i="2"/>
  <c r="L38" i="3"/>
  <c r="T13" i="2"/>
  <c r="J36" i="3"/>
  <c r="C13" i="3"/>
  <c r="F13" i="2"/>
  <c r="M8" i="3"/>
  <c r="N33" i="3"/>
  <c r="N26" i="3"/>
  <c r="F16" i="3"/>
  <c r="O14" i="2"/>
  <c r="P31" i="3"/>
  <c r="E23" i="3"/>
  <c r="T9" i="2"/>
  <c r="D27" i="2"/>
  <c r="K12" i="3"/>
  <c r="E18" i="3"/>
  <c r="O37" i="3"/>
  <c r="O21" i="2"/>
  <c r="L11" i="3"/>
  <c r="J27" i="3"/>
  <c r="D26" i="2"/>
  <c r="J15" i="3"/>
  <c r="O12" i="3"/>
  <c r="P8" i="3"/>
  <c r="C28" i="3"/>
  <c r="O24" i="3"/>
  <c r="I13" i="3"/>
  <c r="E19" i="3"/>
  <c r="E9" i="3"/>
  <c r="M12" i="3"/>
  <c r="Q39" i="2"/>
  <c r="Q10" i="2"/>
  <c r="S9" i="2"/>
  <c r="S22" i="2"/>
  <c r="C32" i="3"/>
  <c r="L32" i="2"/>
  <c r="O13" i="3"/>
  <c r="Q33" i="2"/>
  <c r="O29" i="2"/>
  <c r="K28" i="2"/>
  <c r="J28" i="3"/>
  <c r="S15" i="2"/>
  <c r="F27" i="2"/>
  <c r="K36" i="2"/>
  <c r="O17" i="2"/>
  <c r="E29" i="3"/>
  <c r="Q9" i="2"/>
  <c r="D17" i="2"/>
  <c r="F28" i="2"/>
  <c r="K29" i="2"/>
  <c r="I27" i="3"/>
  <c r="F30" i="2"/>
  <c r="N14" i="3"/>
  <c r="C21" i="3"/>
  <c r="E10" i="3"/>
  <c r="O30" i="3"/>
  <c r="N37" i="3"/>
  <c r="Q36" i="2"/>
  <c r="H36" i="2"/>
  <c r="F24" i="3"/>
  <c r="H39" i="2"/>
  <c r="F12" i="3"/>
  <c r="O23" i="2"/>
  <c r="I14" i="3"/>
  <c r="S10" i="2"/>
  <c r="Q12" i="2"/>
  <c r="F30" i="3"/>
  <c r="O23" i="3"/>
  <c r="L15" i="3"/>
  <c r="T10" i="2"/>
  <c r="K14" i="3"/>
  <c r="F38" i="3"/>
  <c r="M21" i="3"/>
  <c r="K26" i="2"/>
  <c r="F19" i="3"/>
  <c r="Q22" i="2"/>
  <c r="F25" i="3"/>
  <c r="K24" i="3"/>
  <c r="K21" i="3"/>
  <c r="S34" i="2"/>
  <c r="L15" i="2"/>
  <c r="E11" i="3"/>
  <c r="K25" i="3"/>
  <c r="K15" i="2"/>
  <c r="F11" i="2"/>
  <c r="O36" i="2"/>
  <c r="E17" i="3"/>
  <c r="I26" i="3"/>
  <c r="J32" i="3"/>
  <c r="J25" i="3"/>
  <c r="O37" i="2"/>
  <c r="P33" i="3"/>
  <c r="S12" i="2"/>
  <c r="F12" i="2"/>
  <c r="O28" i="2"/>
  <c r="J20" i="3"/>
  <c r="P18" i="3"/>
  <c r="P12" i="3"/>
  <c r="F13" i="3"/>
  <c r="C17" i="3"/>
  <c r="D14" i="2"/>
  <c r="O17" i="3"/>
  <c r="L36" i="3"/>
  <c r="K16" i="3"/>
  <c r="O18" i="2"/>
  <c r="C34" i="3"/>
  <c r="F9" i="2"/>
  <c r="I24" i="3"/>
  <c r="F15" i="3"/>
  <c r="O12" i="2"/>
  <c r="C16" i="3"/>
  <c r="K24" i="2"/>
  <c r="K17" i="2"/>
  <c r="P37" i="3"/>
  <c r="F23" i="2"/>
  <c r="I34" i="2"/>
  <c r="C29" i="3"/>
  <c r="T26" i="2"/>
  <c r="I14" i="2"/>
  <c r="Q37" i="2"/>
  <c r="N34" i="3"/>
  <c r="S39" i="2"/>
  <c r="G19" i="3"/>
  <c r="D38" i="2"/>
  <c r="K13" i="2"/>
  <c r="O10" i="3"/>
  <c r="I18" i="2"/>
  <c r="K15" i="3"/>
  <c r="L24" i="3"/>
  <c r="L11" i="2"/>
  <c r="H30" i="2"/>
  <c r="I39" i="2"/>
  <c r="L38" i="2"/>
  <c r="O16" i="3"/>
  <c r="P30" i="3"/>
  <c r="E30" i="3"/>
  <c r="J9" i="3"/>
  <c r="G31" i="3"/>
  <c r="S32" i="2"/>
  <c r="M23" i="3"/>
  <c r="N21" i="3"/>
  <c r="T11" i="2"/>
  <c r="K30" i="2"/>
  <c r="F35" i="2"/>
  <c r="T32" i="2"/>
  <c r="H9" i="2"/>
  <c r="H22" i="2"/>
  <c r="L24" i="2"/>
  <c r="L36" i="2"/>
  <c r="S16" i="2"/>
  <c r="L33" i="3"/>
  <c r="T36" i="2"/>
  <c r="L20" i="3"/>
  <c r="F38" i="2"/>
  <c r="D18" i="2"/>
  <c r="E20" i="3"/>
  <c r="N38" i="3"/>
  <c r="T31" i="2"/>
  <c r="L16" i="3"/>
  <c r="F16" i="2"/>
  <c r="J13" i="3"/>
  <c r="K23" i="2"/>
  <c r="L21" i="3"/>
  <c r="O22" i="3"/>
  <c r="L34" i="2"/>
  <c r="H33" i="2"/>
  <c r="J8" i="3"/>
  <c r="O26" i="2"/>
  <c r="I32" i="2"/>
  <c r="N17" i="3"/>
  <c r="K27" i="3"/>
  <c r="O33" i="2"/>
  <c r="D21" i="2"/>
  <c r="P16" i="3"/>
  <c r="J21" i="3"/>
  <c r="S20" i="2"/>
  <c r="G9" i="3"/>
  <c r="C19" i="3"/>
  <c r="H31" i="2"/>
  <c r="D30" i="2"/>
  <c r="G27" i="3"/>
  <c r="Q18" i="2"/>
  <c r="I24" i="2"/>
  <c r="C27" i="3"/>
  <c r="L20" i="2"/>
  <c r="O39" i="2"/>
  <c r="I20" i="3"/>
  <c r="G32" i="3"/>
  <c r="J22" i="3"/>
  <c r="L22" i="3"/>
  <c r="T18" i="2"/>
  <c r="D31" i="2"/>
  <c r="I29" i="2"/>
  <c r="D20" i="2"/>
  <c r="G18" i="3"/>
  <c r="D28" i="2"/>
  <c r="N31" i="3"/>
  <c r="I21" i="3"/>
  <c r="L18" i="2"/>
  <c r="J33" i="3"/>
  <c r="L22" i="2"/>
  <c r="H18" i="2"/>
  <c r="P13" i="3"/>
  <c r="P28" i="3"/>
  <c r="O15" i="2"/>
  <c r="M17" i="3"/>
  <c r="I28" i="3"/>
  <c r="M16" i="3"/>
  <c r="K32" i="3"/>
  <c r="S35" i="2"/>
  <c r="M30" i="3"/>
  <c r="K33" i="3"/>
  <c r="L23" i="3"/>
  <c r="I13" i="2"/>
  <c r="K38" i="2"/>
  <c r="F37" i="3"/>
  <c r="L14" i="2"/>
  <c r="J29" i="3"/>
  <c r="E14" i="3"/>
  <c r="Q26" i="2"/>
  <c r="O30" i="2"/>
  <c r="N36" i="3"/>
  <c r="L19" i="2"/>
  <c r="Q24" i="2"/>
  <c r="D12" i="2"/>
  <c r="F28" i="3"/>
  <c r="T29" i="2"/>
  <c r="K31" i="2"/>
  <c r="K18" i="3"/>
  <c r="F9" i="3"/>
  <c r="T25" i="2"/>
  <c r="T20" i="2"/>
  <c r="F21" i="2"/>
  <c r="H11" i="2"/>
  <c r="H17" i="2"/>
  <c r="F19" i="2"/>
  <c r="K36" i="3"/>
  <c r="O10" i="2"/>
  <c r="E38" i="3"/>
  <c r="K19" i="2"/>
  <c r="K34" i="2"/>
  <c r="T14" i="2"/>
  <c r="L31" i="2"/>
  <c r="K9" i="3"/>
  <c r="I34" i="3"/>
  <c r="M9" i="3"/>
  <c r="M11" i="3"/>
  <c r="I16" i="2"/>
  <c r="N35" i="3"/>
  <c r="K16" i="2"/>
  <c r="O27" i="2"/>
  <c r="H21" i="2"/>
  <c r="K32" i="2"/>
  <c r="I38" i="3"/>
  <c r="G33" i="3"/>
  <c r="Q30" i="2"/>
  <c r="K22" i="2"/>
  <c r="F8" i="3"/>
  <c r="F39" i="2"/>
  <c r="S18" i="2"/>
  <c r="C31" i="3"/>
  <c r="C30" i="3"/>
  <c r="O35" i="3"/>
  <c r="T21" i="2"/>
  <c r="K19" i="3"/>
  <c r="L18" i="3"/>
  <c r="L30" i="3"/>
  <c r="T16" i="2"/>
  <c r="I16" i="3"/>
  <c r="O20" i="2"/>
  <c r="L37" i="2"/>
  <c r="I19" i="3"/>
  <c r="C18" i="3"/>
  <c r="E25" i="3"/>
  <c r="G13" i="3"/>
  <c r="K10" i="2"/>
  <c r="O38" i="2"/>
  <c r="I11" i="2"/>
  <c r="I19" i="2"/>
  <c r="S33" i="2"/>
  <c r="N13" i="3"/>
  <c r="L25" i="3"/>
  <c r="H38" i="2"/>
  <c r="N24" i="3"/>
  <c r="E36" i="3"/>
  <c r="N16" i="3"/>
  <c r="S17" i="2"/>
  <c r="I12" i="3"/>
  <c r="S25" i="2"/>
  <c r="M18" i="3"/>
  <c r="L9" i="3"/>
  <c r="G11" i="3"/>
  <c r="O21" i="3"/>
  <c r="O25" i="3"/>
  <c r="P36" i="3"/>
  <c r="O13" i="2"/>
  <c r="J35" i="3"/>
  <c r="H14" i="2"/>
  <c r="D15" i="2"/>
  <c r="N25" i="3"/>
  <c r="E37" i="3"/>
  <c r="I31" i="2"/>
  <c r="C8" i="3"/>
  <c r="I15" i="3"/>
  <c r="P10" i="3"/>
  <c r="L19" i="3"/>
  <c r="P23" i="3"/>
  <c r="G15" i="3"/>
  <c r="K33" i="2"/>
  <c r="O26" i="3"/>
  <c r="I26" i="2"/>
  <c r="G35" i="3"/>
  <c r="E24" i="3"/>
  <c r="J10" i="3"/>
  <c r="I25" i="3"/>
  <c r="N28" i="3"/>
  <c r="M37" i="3"/>
  <c r="O15" i="3"/>
  <c r="I18" i="3"/>
  <c r="L26" i="3"/>
  <c r="E33" i="3"/>
  <c r="E16" i="3"/>
  <c r="F23" i="3"/>
  <c r="M33" i="3"/>
  <c r="S11" i="2"/>
  <c r="H37" i="2"/>
  <c r="K27" i="2"/>
  <c r="K28" i="3"/>
  <c r="D24" i="2"/>
  <c r="S14" i="2"/>
  <c r="H19" i="2"/>
  <c r="L28" i="3"/>
  <c r="D34" i="2"/>
  <c r="F34" i="3"/>
  <c r="K13" i="3"/>
  <c r="F26" i="2"/>
  <c r="I21" i="2"/>
  <c r="F29" i="2"/>
  <c r="T33" i="2"/>
  <c r="I33" i="2"/>
  <c r="F33" i="3"/>
  <c r="F21" i="3"/>
  <c r="N9" i="3"/>
  <c r="Q34" i="2"/>
  <c r="T15" i="2"/>
  <c r="H28" i="2"/>
  <c r="G29" i="3"/>
  <c r="S24" i="2"/>
  <c r="T34" i="2"/>
  <c r="O19" i="2"/>
  <c r="C33" i="3"/>
  <c r="P22" i="3"/>
  <c r="E32" i="3"/>
  <c r="O27" i="3"/>
  <c r="K31" i="3"/>
  <c r="C23" i="3"/>
  <c r="O8" i="3"/>
  <c r="G34" i="38" l="1"/>
  <c r="W17" i="3"/>
  <c r="Y17" i="3" s="1"/>
  <c r="Z15" i="3"/>
  <c r="AB15" i="3" s="1"/>
  <c r="M50" i="2"/>
  <c r="W26" i="2"/>
  <c r="Y26" i="2" s="1"/>
  <c r="N17" i="2"/>
  <c r="AC17" i="2" s="1"/>
  <c r="AE17" i="2" s="1"/>
  <c r="G17" i="2"/>
  <c r="T30" i="3"/>
  <c r="V30" i="3" s="1"/>
  <c r="C62" i="2"/>
  <c r="W62" i="2" s="1"/>
  <c r="Y62" i="2" s="1"/>
  <c r="W21" i="2"/>
  <c r="Y21" i="2" s="1"/>
  <c r="Z27" i="3"/>
  <c r="AB27" i="3" s="1"/>
  <c r="O4" i="3"/>
  <c r="T31" i="3"/>
  <c r="V31" i="3" s="1"/>
  <c r="W11" i="3"/>
  <c r="Y11" i="3" s="1"/>
  <c r="G46" i="3"/>
  <c r="R18" i="2"/>
  <c r="P21" i="2"/>
  <c r="I4" i="2"/>
  <c r="I5" i="2"/>
  <c r="P33" i="2"/>
  <c r="P36" i="2"/>
  <c r="N32" i="2"/>
  <c r="AC32" i="2" s="1"/>
  <c r="AE32" i="2" s="1"/>
  <c r="G32" i="2"/>
  <c r="G39" i="2"/>
  <c r="N39" i="2"/>
  <c r="AC39" i="2" s="1"/>
  <c r="AE39" i="2" s="1"/>
  <c r="W18" i="3"/>
  <c r="Y18" i="3" s="1"/>
  <c r="G47" i="3"/>
  <c r="W29" i="2"/>
  <c r="Y29" i="2" s="1"/>
  <c r="W20" i="3"/>
  <c r="Y20" i="3" s="1"/>
  <c r="J48" i="2"/>
  <c r="T10" i="3"/>
  <c r="V10" i="3" s="1"/>
  <c r="H45" i="3"/>
  <c r="F5" i="3"/>
  <c r="F4" i="3"/>
  <c r="W27" i="2"/>
  <c r="Y27" i="2" s="1"/>
  <c r="C66" i="2"/>
  <c r="W66" i="2" s="1"/>
  <c r="Y66" i="2" s="1"/>
  <c r="W25" i="2"/>
  <c r="Y25" i="2" s="1"/>
  <c r="H48" i="2"/>
  <c r="T23" i="3"/>
  <c r="V23" i="3" s="1"/>
  <c r="T5" i="2"/>
  <c r="T4" i="2"/>
  <c r="T14" i="3"/>
  <c r="V14" i="3" s="1"/>
  <c r="G11" i="2"/>
  <c r="U11" i="2"/>
  <c r="N11" i="2"/>
  <c r="AC11" i="2" s="1"/>
  <c r="AE11" i="2" s="1"/>
  <c r="H4" i="2"/>
  <c r="H5" i="2"/>
  <c r="W23" i="3"/>
  <c r="Y23" i="3" s="1"/>
  <c r="R30" i="2"/>
  <c r="W14" i="3"/>
  <c r="Y14" i="3" s="1"/>
  <c r="L48" i="3"/>
  <c r="R32" i="2"/>
  <c r="W18" i="2"/>
  <c r="Y18" i="2" s="1"/>
  <c r="T35" i="3"/>
  <c r="V35" i="3" s="1"/>
  <c r="H48" i="3"/>
  <c r="P14" i="2"/>
  <c r="W16" i="3"/>
  <c r="Y16" i="3" s="1"/>
  <c r="C60" i="2"/>
  <c r="W60" i="2" s="1"/>
  <c r="Y60" i="2" s="1"/>
  <c r="W19" i="2"/>
  <c r="Y19" i="2" s="1"/>
  <c r="N35" i="2"/>
  <c r="AC35" i="2" s="1"/>
  <c r="AE35" i="2" s="1"/>
  <c r="G35" i="2"/>
  <c r="G20" i="2"/>
  <c r="N20" i="2"/>
  <c r="R22" i="2"/>
  <c r="R34" i="2"/>
  <c r="W33" i="3"/>
  <c r="Y33" i="3" s="1"/>
  <c r="W14" i="2"/>
  <c r="Y14" i="2" s="1"/>
  <c r="G38" i="2"/>
  <c r="N38" i="2"/>
  <c r="AC38" i="2" s="1"/>
  <c r="AE38" i="2" s="1"/>
  <c r="T17" i="3"/>
  <c r="V17" i="3" s="1"/>
  <c r="M5" i="3"/>
  <c r="Z16" i="3"/>
  <c r="AB16" i="3" s="1"/>
  <c r="T16" i="3"/>
  <c r="V16" i="3" s="1"/>
  <c r="G13" i="2"/>
  <c r="N13" i="2"/>
  <c r="AC13" i="2" s="1"/>
  <c r="AE13" i="2" s="1"/>
  <c r="T13" i="3"/>
  <c r="V13" i="3" s="1"/>
  <c r="W12" i="3"/>
  <c r="Y12" i="3" s="1"/>
  <c r="P27" i="2"/>
  <c r="Z36" i="3"/>
  <c r="AB36" i="3" s="1"/>
  <c r="I47" i="2"/>
  <c r="W30" i="2"/>
  <c r="Y30" i="2" s="1"/>
  <c r="P38" i="2"/>
  <c r="Z29" i="3"/>
  <c r="AB29" i="3" s="1"/>
  <c r="W15" i="3"/>
  <c r="Y15" i="3" s="1"/>
  <c r="H49" i="3"/>
  <c r="Z37" i="3"/>
  <c r="AB37" i="3" s="1"/>
  <c r="I46" i="2"/>
  <c r="P26" i="2"/>
  <c r="W37" i="2"/>
  <c r="Y37" i="2" s="1"/>
  <c r="Z34" i="3"/>
  <c r="AB34" i="3" s="1"/>
  <c r="P12" i="2"/>
  <c r="R29" i="2"/>
  <c r="W35" i="3"/>
  <c r="Y35" i="3" s="1"/>
  <c r="Z9" i="3"/>
  <c r="AB9" i="3" s="1"/>
  <c r="T12" i="3"/>
  <c r="V12" i="3" s="1"/>
  <c r="Z10" i="3"/>
  <c r="AB10" i="3" s="1"/>
  <c r="I48" i="3"/>
  <c r="J5" i="3"/>
  <c r="Z8" i="3"/>
  <c r="AB8" i="3" s="1"/>
  <c r="P15" i="2"/>
  <c r="W30" i="3"/>
  <c r="Y30" i="3" s="1"/>
  <c r="H49" i="2"/>
  <c r="P32" i="2"/>
  <c r="L5" i="2"/>
  <c r="L4" i="2"/>
  <c r="W24" i="3"/>
  <c r="Y24" i="3" s="1"/>
  <c r="P16" i="2"/>
  <c r="J47" i="3"/>
  <c r="W34" i="3"/>
  <c r="Y34" i="3" s="1"/>
  <c r="R13" i="2"/>
  <c r="W35" i="2"/>
  <c r="Y35" i="2" s="1"/>
  <c r="R12" i="2"/>
  <c r="W25" i="3"/>
  <c r="Y25" i="3" s="1"/>
  <c r="G48" i="3"/>
  <c r="N36" i="2"/>
  <c r="AC36" i="2" s="1"/>
  <c r="AE36" i="2" s="1"/>
  <c r="G36" i="2"/>
  <c r="O5" i="2"/>
  <c r="P9" i="2"/>
  <c r="O4" i="2"/>
  <c r="J50" i="2"/>
  <c r="W22" i="3"/>
  <c r="Y22" i="3" s="1"/>
  <c r="G49" i="3"/>
  <c r="W32" i="3"/>
  <c r="Y32" i="3" s="1"/>
  <c r="N29" i="2"/>
  <c r="AC29" i="2" s="1"/>
  <c r="AE29" i="2" s="1"/>
  <c r="G29" i="2"/>
  <c r="J49" i="2"/>
  <c r="Z20" i="3"/>
  <c r="AB20" i="3" s="1"/>
  <c r="G14" i="2"/>
  <c r="N14" i="2"/>
  <c r="AC14" i="2" s="1"/>
  <c r="AE14" i="2" s="1"/>
  <c r="P24" i="2"/>
  <c r="R23" i="2"/>
  <c r="P30" i="2"/>
  <c r="E47" i="3"/>
  <c r="T47" i="3" s="1"/>
  <c r="V47" i="3" s="1"/>
  <c r="T18" i="3"/>
  <c r="V18" i="3" s="1"/>
  <c r="P25" i="2"/>
  <c r="W33" i="2"/>
  <c r="Y33" i="2" s="1"/>
  <c r="Z33" i="3"/>
  <c r="AB33" i="3" s="1"/>
  <c r="P23" i="2"/>
  <c r="W39" i="2"/>
  <c r="Y39" i="2" s="1"/>
  <c r="T19" i="3"/>
  <c r="V19" i="3" s="1"/>
  <c r="H47" i="3"/>
  <c r="W28" i="3"/>
  <c r="Y28" i="3" s="1"/>
  <c r="K4" i="2"/>
  <c r="K5" i="2"/>
  <c r="G34" i="2"/>
  <c r="N34" i="2"/>
  <c r="AC34" i="2" s="1"/>
  <c r="AE34" i="2" s="1"/>
  <c r="P28" i="2"/>
  <c r="N22" i="2"/>
  <c r="G22" i="2"/>
  <c r="N26" i="2"/>
  <c r="AC26" i="2" s="1"/>
  <c r="AE26" i="2" s="1"/>
  <c r="G26" i="2"/>
  <c r="T24" i="3"/>
  <c r="V24" i="3" s="1"/>
  <c r="W38" i="3"/>
  <c r="Y38" i="3" s="1"/>
  <c r="Z17" i="3"/>
  <c r="AB17" i="3" s="1"/>
  <c r="N25" i="2"/>
  <c r="G25" i="2"/>
  <c r="P10" i="2"/>
  <c r="W8" i="3"/>
  <c r="Y8" i="3" s="1"/>
  <c r="E5" i="3"/>
  <c r="G45" i="3"/>
  <c r="E4" i="3"/>
  <c r="W28" i="2"/>
  <c r="Y28" i="2" s="1"/>
  <c r="Z38" i="3"/>
  <c r="AB38" i="3" s="1"/>
  <c r="Z24" i="3"/>
  <c r="AB24" i="3" s="1"/>
  <c r="Z11" i="3"/>
  <c r="AB11" i="3" s="1"/>
  <c r="W11" i="2"/>
  <c r="Y11" i="2" s="1"/>
  <c r="N12" i="2"/>
  <c r="AC12" i="2" s="1"/>
  <c r="AE12" i="2" s="1"/>
  <c r="G12" i="2"/>
  <c r="I47" i="3"/>
  <c r="W16" i="2"/>
  <c r="Y16" i="2" s="1"/>
  <c r="E46" i="2"/>
  <c r="W10" i="2"/>
  <c r="Y10" i="2" s="1"/>
  <c r="L45" i="3"/>
  <c r="R36" i="2"/>
  <c r="R17" i="2"/>
  <c r="W36" i="3"/>
  <c r="Y36" i="3" s="1"/>
  <c r="P20" i="2"/>
  <c r="W13" i="2"/>
  <c r="Y13" i="2" s="1"/>
  <c r="R38" i="2"/>
  <c r="T26" i="3"/>
  <c r="V26" i="3" s="1"/>
  <c r="T8" i="3"/>
  <c r="V8" i="3" s="1"/>
  <c r="C5" i="3"/>
  <c r="C4" i="3"/>
  <c r="E45" i="3"/>
  <c r="N19" i="2"/>
  <c r="G19" i="2"/>
  <c r="J48" i="3"/>
  <c r="C61" i="2"/>
  <c r="W61" i="2" s="1"/>
  <c r="Y61" i="2" s="1"/>
  <c r="W20" i="2"/>
  <c r="Y20" i="2" s="1"/>
  <c r="T15" i="3"/>
  <c r="V15" i="3" s="1"/>
  <c r="L46" i="3"/>
  <c r="M48" i="2"/>
  <c r="G33" i="2"/>
  <c r="N33" i="2"/>
  <c r="AC33" i="2" s="1"/>
  <c r="AE33" i="2" s="1"/>
  <c r="T33" i="3"/>
  <c r="V33" i="3" s="1"/>
  <c r="R31" i="2"/>
  <c r="I49" i="2"/>
  <c r="H47" i="2"/>
  <c r="P22" i="2"/>
  <c r="W38" i="2"/>
  <c r="Y38" i="2" s="1"/>
  <c r="E50" i="2"/>
  <c r="F5" i="2"/>
  <c r="N9" i="2"/>
  <c r="AC9" i="2" s="1"/>
  <c r="AE9" i="2" s="1"/>
  <c r="G9" i="2"/>
  <c r="F4" i="2"/>
  <c r="U9" i="2"/>
  <c r="W34" i="2"/>
  <c r="Y34" i="2" s="1"/>
  <c r="W37" i="3"/>
  <c r="Y37" i="3" s="1"/>
  <c r="E49" i="2"/>
  <c r="W31" i="2"/>
  <c r="Y31" i="2" s="1"/>
  <c r="N15" i="2"/>
  <c r="AC15" i="2" s="1"/>
  <c r="AE15" i="2" s="1"/>
  <c r="G15" i="2"/>
  <c r="G18" i="2"/>
  <c r="N18" i="2"/>
  <c r="AC18" i="2" s="1"/>
  <c r="AE18" i="2" s="1"/>
  <c r="W10" i="3"/>
  <c r="Y10" i="3" s="1"/>
  <c r="R16" i="2"/>
  <c r="M46" i="2"/>
  <c r="N21" i="2"/>
  <c r="G21" i="2"/>
  <c r="Z19" i="3"/>
  <c r="AB19" i="3" s="1"/>
  <c r="Z13" i="3"/>
  <c r="AB13" i="3" s="1"/>
  <c r="R14" i="2"/>
  <c r="L49" i="3"/>
  <c r="T21" i="3"/>
  <c r="V21" i="3" s="1"/>
  <c r="W27" i="3"/>
  <c r="Y27" i="3" s="1"/>
  <c r="W31" i="3"/>
  <c r="Y31" i="3" s="1"/>
  <c r="W15" i="2"/>
  <c r="Y15" i="2" s="1"/>
  <c r="W9" i="2"/>
  <c r="Y9" i="2" s="1"/>
  <c r="L70" i="2"/>
  <c r="M70" i="2" s="1"/>
  <c r="D4" i="2"/>
  <c r="D5" i="2"/>
  <c r="I2" i="2"/>
  <c r="J2" i="2" s="1"/>
  <c r="J49" i="3"/>
  <c r="I4" i="3"/>
  <c r="I5" i="3"/>
  <c r="P19" i="2"/>
  <c r="P37" i="2"/>
  <c r="Z22" i="3"/>
  <c r="AB22" i="3" s="1"/>
  <c r="W36" i="2"/>
  <c r="Y36" i="2" s="1"/>
  <c r="W26" i="3"/>
  <c r="Y26" i="3" s="1"/>
  <c r="Z12" i="3"/>
  <c r="AB12" i="3" s="1"/>
  <c r="R37" i="2"/>
  <c r="N30" i="2"/>
  <c r="AC30" i="2" s="1"/>
  <c r="AE30" i="2" s="1"/>
  <c r="G30" i="2"/>
  <c r="W21" i="3"/>
  <c r="Y21" i="3" s="1"/>
  <c r="T34" i="3"/>
  <c r="V34" i="3" s="1"/>
  <c r="R28" i="2"/>
  <c r="Z18" i="3"/>
  <c r="AB18" i="3" s="1"/>
  <c r="Z35" i="3"/>
  <c r="AB35" i="3" s="1"/>
  <c r="G16" i="2"/>
  <c r="N16" i="2"/>
  <c r="AC16" i="2" s="1"/>
  <c r="AE16" i="2" s="1"/>
  <c r="I49" i="3"/>
  <c r="P17" i="2"/>
  <c r="T9" i="3"/>
  <c r="V9" i="3" s="1"/>
  <c r="Z21" i="3"/>
  <c r="AB21" i="3" s="1"/>
  <c r="Z31" i="3"/>
  <c r="AB31" i="3" s="1"/>
  <c r="K4" i="3"/>
  <c r="K5" i="3"/>
  <c r="P13" i="2"/>
  <c r="G27" i="2"/>
  <c r="N27" i="2"/>
  <c r="AC27" i="2" s="1"/>
  <c r="AE27" i="2" s="1"/>
  <c r="H46" i="3"/>
  <c r="Z25" i="3"/>
  <c r="AB25" i="3" s="1"/>
  <c r="T36" i="3"/>
  <c r="V36" i="3" s="1"/>
  <c r="R19" i="2"/>
  <c r="N24" i="2"/>
  <c r="G24" i="2"/>
  <c r="H50" i="2"/>
  <c r="Z28" i="3"/>
  <c r="AB28" i="3" s="1"/>
  <c r="N10" i="2"/>
  <c r="AC10" i="2" s="1"/>
  <c r="AE10" i="2" s="1"/>
  <c r="U10" i="2"/>
  <c r="G10" i="2"/>
  <c r="J47" i="2"/>
  <c r="I50" i="2"/>
  <c r="Z30" i="3"/>
  <c r="AB30" i="3" s="1"/>
  <c r="R27" i="2"/>
  <c r="P29" i="2"/>
  <c r="C64" i="2"/>
  <c r="W64" i="2" s="1"/>
  <c r="Y64" i="2" s="1"/>
  <c r="W23" i="2"/>
  <c r="Y23" i="2" s="1"/>
  <c r="W32" i="2"/>
  <c r="Y32" i="2" s="1"/>
  <c r="P39" i="2"/>
  <c r="Z26" i="3"/>
  <c r="AB26" i="3" s="1"/>
  <c r="H46" i="2"/>
  <c r="T29" i="3"/>
  <c r="V29" i="3" s="1"/>
  <c r="R33" i="2"/>
  <c r="N28" i="2"/>
  <c r="AC28" i="2" s="1"/>
  <c r="AE28" i="2" s="1"/>
  <c r="G28" i="2"/>
  <c r="G5" i="3"/>
  <c r="G4" i="3"/>
  <c r="I45" i="3"/>
  <c r="R26" i="2"/>
  <c r="M49" i="2"/>
  <c r="R11" i="2"/>
  <c r="T20" i="3"/>
  <c r="V20" i="3" s="1"/>
  <c r="P31" i="2"/>
  <c r="T32" i="3"/>
  <c r="V32" i="3" s="1"/>
  <c r="E49" i="3"/>
  <c r="T49" i="3" s="1"/>
  <c r="V49" i="3" s="1"/>
  <c r="W13" i="3"/>
  <c r="Y13" i="3" s="1"/>
  <c r="P11" i="2"/>
  <c r="N37" i="2"/>
  <c r="AC37" i="2" s="1"/>
  <c r="AE37" i="2" s="1"/>
  <c r="G37" i="2"/>
  <c r="M47" i="2"/>
  <c r="W22" i="2"/>
  <c r="Y22" i="2" s="1"/>
  <c r="C63" i="2"/>
  <c r="W63" i="2" s="1"/>
  <c r="Y63" i="2" s="1"/>
  <c r="W17" i="2"/>
  <c r="Y17" i="2" s="1"/>
  <c r="E47" i="2"/>
  <c r="R15" i="2"/>
  <c r="S4" i="2"/>
  <c r="S5" i="2"/>
  <c r="R20" i="2"/>
  <c r="R25" i="2"/>
  <c r="E48" i="2"/>
  <c r="C65" i="2"/>
  <c r="W65" i="2" s="1"/>
  <c r="Y65" i="2" s="1"/>
  <c r="W24" i="2"/>
  <c r="Y24" i="2" s="1"/>
  <c r="T11" i="3"/>
  <c r="V11" i="3" s="1"/>
  <c r="E46" i="3"/>
  <c r="T46" i="3" s="1"/>
  <c r="V46" i="3" s="1"/>
  <c r="R10" i="2"/>
  <c r="P35" i="2"/>
  <c r="N5" i="3"/>
  <c r="Z32" i="3"/>
  <c r="AB32" i="3" s="1"/>
  <c r="R39" i="2"/>
  <c r="T27" i="3"/>
  <c r="V27" i="3" s="1"/>
  <c r="N23" i="2"/>
  <c r="G23" i="2"/>
  <c r="E48" i="3"/>
  <c r="T48" i="3" s="1"/>
  <c r="V48" i="3" s="1"/>
  <c r="T25" i="3"/>
  <c r="V25" i="3" s="1"/>
  <c r="P34" i="2"/>
  <c r="R9" i="2"/>
  <c r="Q5" i="2"/>
  <c r="Q4" i="2"/>
  <c r="J46" i="3"/>
  <c r="W9" i="3"/>
  <c r="Y9" i="3" s="1"/>
  <c r="J46" i="2"/>
  <c r="N31" i="2"/>
  <c r="AC31" i="2" s="1"/>
  <c r="AE31" i="2" s="1"/>
  <c r="G31" i="2"/>
  <c r="I46" i="3"/>
  <c r="W19" i="3"/>
  <c r="Y19" i="3" s="1"/>
  <c r="T22" i="3"/>
  <c r="V22" i="3" s="1"/>
  <c r="W12" i="2"/>
  <c r="Y12" i="2" s="1"/>
  <c r="R21" i="2"/>
  <c r="L5" i="3"/>
  <c r="T38" i="3"/>
  <c r="V38" i="3" s="1"/>
  <c r="I48" i="2"/>
  <c r="R35" i="2"/>
  <c r="W29" i="3"/>
  <c r="Y29" i="3" s="1"/>
  <c r="P18" i="2"/>
  <c r="T28" i="3"/>
  <c r="V28" i="3" s="1"/>
  <c r="T37" i="3"/>
  <c r="V37" i="3" s="1"/>
  <c r="L47" i="3"/>
  <c r="Z14" i="3"/>
  <c r="AB14" i="3" s="1"/>
  <c r="P4" i="3"/>
  <c r="J45" i="3"/>
  <c r="R24" i="2"/>
  <c r="Z23" i="3"/>
  <c r="AB23" i="3" s="1"/>
  <c r="M49" i="3" l="1"/>
  <c r="L6" i="20"/>
  <c r="M23" i="2"/>
  <c r="D64" i="2"/>
  <c r="Z64" i="2" s="1"/>
  <c r="AB64" i="2" s="1"/>
  <c r="Z23" i="2"/>
  <c r="AB23" i="2" s="1"/>
  <c r="L6" i="24"/>
  <c r="Z27" i="2"/>
  <c r="AB27" i="2" s="1"/>
  <c r="M27" i="2"/>
  <c r="AF27" i="2" s="1"/>
  <c r="AH27" i="2" s="1"/>
  <c r="AC22" i="2"/>
  <c r="AE22" i="2" s="1"/>
  <c r="F63" i="2"/>
  <c r="AC63" i="2" s="1"/>
  <c r="AE63" i="2" s="1"/>
  <c r="F64" i="2"/>
  <c r="AC64" i="2" s="1"/>
  <c r="AE64" i="2" s="1"/>
  <c r="AC23" i="2"/>
  <c r="AE23" i="2" s="1"/>
  <c r="L6" i="21"/>
  <c r="D65" i="2"/>
  <c r="Z65" i="2" s="1"/>
  <c r="AB65" i="2" s="1"/>
  <c r="Z24" i="2"/>
  <c r="AB24" i="2" s="1"/>
  <c r="M24" i="2"/>
  <c r="G48" i="2"/>
  <c r="N48" i="2" s="1"/>
  <c r="D62" i="2"/>
  <c r="Z62" i="2" s="1"/>
  <c r="AB62" i="2" s="1"/>
  <c r="Z21" i="2"/>
  <c r="AB21" i="2" s="1"/>
  <c r="M21" i="2"/>
  <c r="L6" i="18"/>
  <c r="L46" i="2"/>
  <c r="AF46" i="2" s="1"/>
  <c r="AH46" i="2" s="1"/>
  <c r="E52" i="2"/>
  <c r="L52" i="2" s="1"/>
  <c r="W46" i="2"/>
  <c r="Y46" i="2" s="1"/>
  <c r="AC25" i="2"/>
  <c r="AE25" i="2" s="1"/>
  <c r="F66" i="2"/>
  <c r="AC66" i="2" s="1"/>
  <c r="AE66" i="2" s="1"/>
  <c r="M48" i="3"/>
  <c r="Z11" i="2"/>
  <c r="AB11" i="2" s="1"/>
  <c r="M11" i="2"/>
  <c r="AF11" i="2" s="1"/>
  <c r="AH11" i="2" s="1"/>
  <c r="L6" i="8"/>
  <c r="W47" i="3"/>
  <c r="Y47" i="3" s="1"/>
  <c r="N47" i="3"/>
  <c r="W47" i="2"/>
  <c r="Y47" i="2" s="1"/>
  <c r="L47" i="2"/>
  <c r="AF47" i="2" s="1"/>
  <c r="AH47" i="2" s="1"/>
  <c r="I51" i="3"/>
  <c r="F65" i="2"/>
  <c r="AC65" i="2" s="1"/>
  <c r="AE65" i="2" s="1"/>
  <c r="AC24" i="2"/>
  <c r="AE24" i="2" s="1"/>
  <c r="L6" i="13"/>
  <c r="M16" i="2"/>
  <c r="AF16" i="2" s="1"/>
  <c r="AH16" i="2" s="1"/>
  <c r="Z16" i="2"/>
  <c r="AB16" i="2" s="1"/>
  <c r="AC21" i="2"/>
  <c r="AE21" i="2" s="1"/>
  <c r="F62" i="2"/>
  <c r="AC62" i="2" s="1"/>
  <c r="AE62" i="2" s="1"/>
  <c r="N5" i="2"/>
  <c r="M19" i="2"/>
  <c r="Z19" i="2"/>
  <c r="AB19" i="2" s="1"/>
  <c r="D60" i="2"/>
  <c r="Z60" i="2" s="1"/>
  <c r="AB60" i="2" s="1"/>
  <c r="L6" i="16"/>
  <c r="W49" i="3"/>
  <c r="Y49" i="3" s="1"/>
  <c r="N49" i="3"/>
  <c r="O49" i="3" s="1"/>
  <c r="N48" i="3"/>
  <c r="W48" i="3"/>
  <c r="Y48" i="3" s="1"/>
  <c r="M13" i="2"/>
  <c r="AF13" i="2" s="1"/>
  <c r="AH13" i="2" s="1"/>
  <c r="L6" i="10"/>
  <c r="Z13" i="2"/>
  <c r="AB13" i="2" s="1"/>
  <c r="M52" i="2"/>
  <c r="W49" i="2"/>
  <c r="Y49" i="2" s="1"/>
  <c r="L49" i="2"/>
  <c r="AF49" i="2" s="1"/>
  <c r="AH49" i="2" s="1"/>
  <c r="L50" i="2"/>
  <c r="AF50" i="2" s="1"/>
  <c r="AH50" i="2" s="1"/>
  <c r="W50" i="2"/>
  <c r="Y50" i="2" s="1"/>
  <c r="L6" i="30"/>
  <c r="M33" i="2"/>
  <c r="AF33" i="2" s="1"/>
  <c r="AH33" i="2" s="1"/>
  <c r="Z33" i="2"/>
  <c r="AB33" i="2" s="1"/>
  <c r="AC19" i="2"/>
  <c r="AE19" i="2" s="1"/>
  <c r="F60" i="2"/>
  <c r="AC60" i="2" s="1"/>
  <c r="AE60" i="2" s="1"/>
  <c r="L6" i="31"/>
  <c r="M34" i="2"/>
  <c r="AF34" i="2" s="1"/>
  <c r="AH34" i="2" s="1"/>
  <c r="Z34" i="2"/>
  <c r="AB34" i="2" s="1"/>
  <c r="Z30" i="2"/>
  <c r="AB30" i="2" s="1"/>
  <c r="M30" i="2"/>
  <c r="AF30" i="2" s="1"/>
  <c r="AH30" i="2" s="1"/>
  <c r="L6" i="27"/>
  <c r="J51" i="3"/>
  <c r="R4" i="2"/>
  <c r="R5" i="2"/>
  <c r="W48" i="2"/>
  <c r="Y48" i="2" s="1"/>
  <c r="L48" i="2"/>
  <c r="AF48" i="2" s="1"/>
  <c r="AH48" i="2" s="1"/>
  <c r="L6" i="7"/>
  <c r="M10" i="2"/>
  <c r="AF10" i="2" s="1"/>
  <c r="AH10" i="2" s="1"/>
  <c r="Z10" i="2"/>
  <c r="AB10" i="2" s="1"/>
  <c r="G46" i="2"/>
  <c r="E51" i="3"/>
  <c r="T45" i="3"/>
  <c r="V45" i="3" s="1"/>
  <c r="M12" i="2"/>
  <c r="AF12" i="2" s="1"/>
  <c r="AH12" i="2" s="1"/>
  <c r="L6" i="9"/>
  <c r="Z12" i="2"/>
  <c r="AB12" i="2" s="1"/>
  <c r="N45" i="3"/>
  <c r="W45" i="3"/>
  <c r="Y45" i="3" s="1"/>
  <c r="G51" i="3"/>
  <c r="L6" i="11"/>
  <c r="M14" i="2"/>
  <c r="AF14" i="2" s="1"/>
  <c r="AH14" i="2" s="1"/>
  <c r="Z14" i="2"/>
  <c r="AB14" i="2" s="1"/>
  <c r="H51" i="3"/>
  <c r="Z39" i="2"/>
  <c r="AB39" i="2" s="1"/>
  <c r="M39" i="2"/>
  <c r="AF39" i="2" s="1"/>
  <c r="AH39" i="2" s="1"/>
  <c r="L6" i="36"/>
  <c r="L6" i="12"/>
  <c r="Z15" i="2"/>
  <c r="AB15" i="2" s="1"/>
  <c r="M15" i="2"/>
  <c r="AF15" i="2" s="1"/>
  <c r="AH15" i="2" s="1"/>
  <c r="G5" i="2"/>
  <c r="M5" i="2" s="1"/>
  <c r="L6" i="6"/>
  <c r="Z9" i="2"/>
  <c r="AB9" i="2" s="1"/>
  <c r="M9" i="2"/>
  <c r="AF9" i="2" s="1"/>
  <c r="AH9" i="2" s="1"/>
  <c r="G4" i="2"/>
  <c r="M4" i="2" s="1"/>
  <c r="Z25" i="2"/>
  <c r="AB25" i="2" s="1"/>
  <c r="D66" i="2"/>
  <c r="Z66" i="2" s="1"/>
  <c r="AB66" i="2" s="1"/>
  <c r="L6" i="22"/>
  <c r="M25" i="2"/>
  <c r="Z36" i="2"/>
  <c r="AB36" i="2" s="1"/>
  <c r="M36" i="2"/>
  <c r="AF36" i="2" s="1"/>
  <c r="AH36" i="2" s="1"/>
  <c r="L6" i="33"/>
  <c r="G50" i="2"/>
  <c r="L6" i="35"/>
  <c r="M38" i="2"/>
  <c r="AF38" i="2" s="1"/>
  <c r="AH38" i="2" s="1"/>
  <c r="Z38" i="2"/>
  <c r="AB38" i="2" s="1"/>
  <c r="H52" i="2"/>
  <c r="M31" i="2"/>
  <c r="AF31" i="2" s="1"/>
  <c r="AH31" i="2" s="1"/>
  <c r="G49" i="2"/>
  <c r="N49" i="2" s="1"/>
  <c r="L6" i="28"/>
  <c r="Z31" i="2"/>
  <c r="AB31" i="2" s="1"/>
  <c r="M28" i="2"/>
  <c r="AF28" i="2" s="1"/>
  <c r="AH28" i="2" s="1"/>
  <c r="Z28" i="2"/>
  <c r="AB28" i="2" s="1"/>
  <c r="L6" i="25"/>
  <c r="M46" i="3"/>
  <c r="L6" i="23"/>
  <c r="Z26" i="2"/>
  <c r="AB26" i="2" s="1"/>
  <c r="M26" i="2"/>
  <c r="AF26" i="2" s="1"/>
  <c r="AH26" i="2" s="1"/>
  <c r="I52" i="2"/>
  <c r="F61" i="2"/>
  <c r="AC61" i="2" s="1"/>
  <c r="AE61" i="2" s="1"/>
  <c r="AC20" i="2"/>
  <c r="AE20" i="2" s="1"/>
  <c r="Z32" i="2"/>
  <c r="AB32" i="2" s="1"/>
  <c r="M32" i="2"/>
  <c r="AF32" i="2" s="1"/>
  <c r="AH32" i="2" s="1"/>
  <c r="L6" i="29"/>
  <c r="N46" i="3"/>
  <c r="W46" i="3"/>
  <c r="Y46" i="3" s="1"/>
  <c r="L6" i="14"/>
  <c r="Z17" i="2"/>
  <c r="AB17" i="2" s="1"/>
  <c r="M17" i="2"/>
  <c r="AF17" i="2" s="1"/>
  <c r="AH17" i="2" s="1"/>
  <c r="G47" i="2"/>
  <c r="N47" i="2" s="1"/>
  <c r="P5" i="2"/>
  <c r="P4" i="2"/>
  <c r="L6" i="17"/>
  <c r="M20" i="2"/>
  <c r="D61" i="2"/>
  <c r="Z61" i="2" s="1"/>
  <c r="AB61" i="2" s="1"/>
  <c r="Z20" i="2"/>
  <c r="AB20" i="2" s="1"/>
  <c r="M47" i="3"/>
  <c r="J52" i="2"/>
  <c r="M37" i="2"/>
  <c r="AF37" i="2" s="1"/>
  <c r="AH37" i="2" s="1"/>
  <c r="L6" i="34"/>
  <c r="Z37" i="2"/>
  <c r="AB37" i="2" s="1"/>
  <c r="L6" i="15"/>
  <c r="M18" i="2"/>
  <c r="AF18" i="2" s="1"/>
  <c r="AH18" i="2" s="1"/>
  <c r="Z18" i="2"/>
  <c r="AB18" i="2" s="1"/>
  <c r="N4" i="2"/>
  <c r="M45" i="3"/>
  <c r="L51" i="3"/>
  <c r="L6" i="19"/>
  <c r="M22" i="2"/>
  <c r="Z22" i="2"/>
  <c r="AB22" i="2" s="1"/>
  <c r="D63" i="2"/>
  <c r="Z63" i="2" s="1"/>
  <c r="AB63" i="2" s="1"/>
  <c r="M29" i="2"/>
  <c r="AF29" i="2" s="1"/>
  <c r="AH29" i="2" s="1"/>
  <c r="Z29" i="2"/>
  <c r="AB29" i="2" s="1"/>
  <c r="L6" i="26"/>
  <c r="L6" i="32"/>
  <c r="M35" i="2"/>
  <c r="AF35" i="2" s="1"/>
  <c r="AH35" i="2" s="1"/>
  <c r="Z35" i="2"/>
  <c r="AB35" i="2" s="1"/>
  <c r="O48" i="3" l="1"/>
  <c r="AC49" i="2"/>
  <c r="AE49" i="2" s="1"/>
  <c r="AF23" i="2"/>
  <c r="AH23" i="2" s="1"/>
  <c r="E64" i="2"/>
  <c r="AF64" i="2" s="1"/>
  <c r="AH64" i="2" s="1"/>
  <c r="AF20" i="2"/>
  <c r="AH20" i="2" s="1"/>
  <c r="E61" i="2"/>
  <c r="AF61" i="2" s="1"/>
  <c r="AH61" i="2" s="1"/>
  <c r="AF22" i="2"/>
  <c r="AH22" i="2" s="1"/>
  <c r="E63" i="2"/>
  <c r="AF63" i="2" s="1"/>
  <c r="AH63" i="2" s="1"/>
  <c r="N50" i="2"/>
  <c r="AC50" i="2" s="1"/>
  <c r="AE50" i="2" s="1"/>
  <c r="O50" i="2"/>
  <c r="Z50" i="2"/>
  <c r="AB50" i="2" s="1"/>
  <c r="N51" i="3"/>
  <c r="D57" i="3"/>
  <c r="G55" i="3"/>
  <c r="E55" i="3"/>
  <c r="D55" i="3"/>
  <c r="E57" i="3"/>
  <c r="AC48" i="2"/>
  <c r="AE48" i="2" s="1"/>
  <c r="O48" i="2"/>
  <c r="P48" i="2" s="1"/>
  <c r="Z48" i="2"/>
  <c r="AB48" i="2" s="1"/>
  <c r="Z46" i="2"/>
  <c r="AB46" i="2" s="1"/>
  <c r="O46" i="2"/>
  <c r="G52" i="2"/>
  <c r="O52" i="2" s="1"/>
  <c r="N46" i="2"/>
  <c r="AF24" i="2"/>
  <c r="AH24" i="2" s="1"/>
  <c r="E65" i="2"/>
  <c r="AF65" i="2" s="1"/>
  <c r="AH65" i="2" s="1"/>
  <c r="M51" i="3"/>
  <c r="Z49" i="2"/>
  <c r="AB49" i="2" s="1"/>
  <c r="O49" i="2"/>
  <c r="P49" i="2" s="1"/>
  <c r="O45" i="3"/>
  <c r="AC47" i="2"/>
  <c r="AE47" i="2" s="1"/>
  <c r="O46" i="3"/>
  <c r="O47" i="3"/>
  <c r="Z47" i="2"/>
  <c r="AB47" i="2" s="1"/>
  <c r="O47" i="2"/>
  <c r="P47" i="2" s="1"/>
  <c r="AF25" i="2"/>
  <c r="AH25" i="2" s="1"/>
  <c r="E66" i="2"/>
  <c r="AF66" i="2" s="1"/>
  <c r="AH66" i="2" s="1"/>
  <c r="E60" i="2"/>
  <c r="AF60" i="2" s="1"/>
  <c r="AH60" i="2" s="1"/>
  <c r="AF19" i="2"/>
  <c r="AH19" i="2" s="1"/>
  <c r="E62" i="2"/>
  <c r="AF62" i="2" s="1"/>
  <c r="AH62" i="2" s="1"/>
  <c r="AF21" i="2"/>
  <c r="AH21" i="2" s="1"/>
  <c r="P50" i="2" l="1"/>
  <c r="O51" i="3"/>
  <c r="N52" i="2"/>
  <c r="P52" i="2" s="1"/>
  <c r="AC46" i="2"/>
  <c r="AE46" i="2" s="1"/>
  <c r="P4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tc={14C1ED16-E95B-C14C-98FC-B11AB22016C3}</author>
  </authors>
  <commentList>
    <comment ref="J45" authorId="0" shapeId="0" xr:uid="{14C1ED16-E95B-C14C-98FC-B11AB22016C3}">
      <text>
        <t>[Threaded comment]
Your version of Excel allows you to read this threaded comment; however, any edits to it will get removed if the file is opened in a newer version of Excel. Learn more: https://go.microsoft.com/fwlink/?linkid=870924
Comment:
    40</t>
      </text>
    </comment>
  </commentList>
</comments>
</file>

<file path=xl/sharedStrings.xml><?xml version="1.0" encoding="utf-8"?>
<sst xmlns="http://schemas.openxmlformats.org/spreadsheetml/2006/main" count="6241" uniqueCount="827">
  <si>
    <t>Level 1</t>
  </si>
  <si>
    <t>Level 2</t>
  </si>
  <si>
    <t>Shift</t>
  </si>
  <si>
    <t>Area</t>
  </si>
  <si>
    <t>Machine</t>
  </si>
  <si>
    <t>Melt affected</t>
  </si>
  <si>
    <t>A</t>
  </si>
  <si>
    <t>RawSugarPit</t>
  </si>
  <si>
    <t>Belt conveyor</t>
  </si>
  <si>
    <t>Yes</t>
  </si>
  <si>
    <t>B</t>
  </si>
  <si>
    <t>Affination</t>
  </si>
  <si>
    <t>Bucket elevator</t>
  </si>
  <si>
    <t>No</t>
  </si>
  <si>
    <t>C</t>
  </si>
  <si>
    <t>Clarification</t>
  </si>
  <si>
    <t>Lump separator</t>
  </si>
  <si>
    <t>D</t>
  </si>
  <si>
    <t>Boiling</t>
  </si>
  <si>
    <t>Weigher</t>
  </si>
  <si>
    <t>CuringLine1</t>
  </si>
  <si>
    <t>Affination molasses buffer pump</t>
  </si>
  <si>
    <t>07:00 - 15:00</t>
  </si>
  <si>
    <t>CuringLine2</t>
  </si>
  <si>
    <t>Affination molasses preheater pump</t>
  </si>
  <si>
    <t>15:00 - 23:00</t>
  </si>
  <si>
    <t>CuringLine3</t>
  </si>
  <si>
    <t>Affination molasses supply tank</t>
  </si>
  <si>
    <t>23:00 - 07:00</t>
  </si>
  <si>
    <t>CuringLine4</t>
  </si>
  <si>
    <t>Affination molasses tank</t>
  </si>
  <si>
    <t>LGH</t>
  </si>
  <si>
    <t>Affination molasses transfer pump</t>
  </si>
  <si>
    <t>LiquidSugar</t>
  </si>
  <si>
    <t>Centrifugal pump raw liquor buffer</t>
  </si>
  <si>
    <t>Magma mixer</t>
  </si>
  <si>
    <t>Melters</t>
  </si>
  <si>
    <t>Preheater tank</t>
  </si>
  <si>
    <t>Premingler</t>
  </si>
  <si>
    <t>Raw liqour transfer pump</t>
  </si>
  <si>
    <t>Raw liquor tank</t>
  </si>
  <si>
    <t>Screw conveyor</t>
  </si>
  <si>
    <t>Supply mixer</t>
  </si>
  <si>
    <t>TSK</t>
  </si>
  <si>
    <t>Vibrating screener</t>
  </si>
  <si>
    <t>Vibrator sieve</t>
  </si>
  <si>
    <t>Agitator mud tanks</t>
  </si>
  <si>
    <t xml:space="preserve">Carbonator </t>
  </si>
  <si>
    <t>Carbonator  liquor Tank</t>
  </si>
  <si>
    <t>Carbonator liquor pump</t>
  </si>
  <si>
    <t>Catridge filters</t>
  </si>
  <si>
    <t>Clear liquor tank</t>
  </si>
  <si>
    <t>Clear liquor tank centrifugal pump</t>
  </si>
  <si>
    <t>Filtered sweet water tank</t>
  </si>
  <si>
    <t>Fine liqour tank</t>
  </si>
  <si>
    <t>Fine liquor tank centrifugal pump</t>
  </si>
  <si>
    <t>First refined tank</t>
  </si>
  <si>
    <t>First refined tank centrifugal pump</t>
  </si>
  <si>
    <t>Lime pump</t>
  </si>
  <si>
    <t>Mud pump</t>
  </si>
  <si>
    <t xml:space="preserve">Primary IER Column </t>
  </si>
  <si>
    <t>Primary IER pump</t>
  </si>
  <si>
    <t>Primary rotary filters</t>
  </si>
  <si>
    <t>R&amp;B Filter Press</t>
  </si>
  <si>
    <t>Salt pump</t>
  </si>
  <si>
    <t>Second refined tank</t>
  </si>
  <si>
    <t>Second refined tank centrifugal pump</t>
  </si>
  <si>
    <t>Secondary IER Column</t>
  </si>
  <si>
    <t>Secondary IER pump</t>
  </si>
  <si>
    <t>Secondary rotary filters</t>
  </si>
  <si>
    <t>Sweet water service tank</t>
  </si>
  <si>
    <t>Sweet water storage tank</t>
  </si>
  <si>
    <t>1st effect evaporator - centrifugal pump</t>
  </si>
  <si>
    <t>2nd effect evaporator - centrifugal pump</t>
  </si>
  <si>
    <t>C1 molasses sieves</t>
  </si>
  <si>
    <t>C1 molasses tank</t>
  </si>
  <si>
    <t>C2 molasses sieves</t>
  </si>
  <si>
    <t>C2 molasses tank</t>
  </si>
  <si>
    <t>CB molasses sieves</t>
  </si>
  <si>
    <t>CB molasses tank</t>
  </si>
  <si>
    <t>Cooling tower pumps</t>
  </si>
  <si>
    <t>Cooling towers</t>
  </si>
  <si>
    <t>Crystallizers</t>
  </si>
  <si>
    <t>D1 molasses tank</t>
  </si>
  <si>
    <t>Evaporator feed centrifugal pump</t>
  </si>
  <si>
    <t>IG molasses sieves</t>
  </si>
  <si>
    <t>Plate evaporators</t>
  </si>
  <si>
    <t>Press tank pumps</t>
  </si>
  <si>
    <t>S1 molasses tank</t>
  </si>
  <si>
    <t>S2 molasses sieves</t>
  </si>
  <si>
    <t>S2 molasses tank</t>
  </si>
  <si>
    <t>Vacuum pans</t>
  </si>
  <si>
    <t>Vacuum pumps</t>
  </si>
  <si>
    <t>Bin 12</t>
  </si>
  <si>
    <t>Bin 13</t>
  </si>
  <si>
    <t>Bin 15</t>
  </si>
  <si>
    <t>Dry bucket elevator</t>
  </si>
  <si>
    <t>Dryer</t>
  </si>
  <si>
    <t xml:space="preserve">Infeed </t>
  </si>
  <si>
    <t>Lump separator (after dryer)</t>
  </si>
  <si>
    <t>Lump separator (before dryer)</t>
  </si>
  <si>
    <t>Roberg 1</t>
  </si>
  <si>
    <t>Roberg 2</t>
  </si>
  <si>
    <t>Rotex sieve no. 1</t>
  </si>
  <si>
    <t>Rotex sieve no. 2</t>
  </si>
  <si>
    <t>Supply mixer Line 1</t>
  </si>
  <si>
    <t>TSK no.1</t>
  </si>
  <si>
    <t>TSK no.2</t>
  </si>
  <si>
    <t>TSK no.3</t>
  </si>
  <si>
    <t>TSK no.4</t>
  </si>
  <si>
    <t>Vimec 1</t>
  </si>
  <si>
    <t>Vimec 2</t>
  </si>
  <si>
    <t>Wet bucket elevator</t>
  </si>
  <si>
    <t>Bin 10</t>
  </si>
  <si>
    <t>Bin 3</t>
  </si>
  <si>
    <t>Bin 4</t>
  </si>
  <si>
    <t>Bin 5</t>
  </si>
  <si>
    <t>Bin 9</t>
  </si>
  <si>
    <t>Rotex sieve no. 3</t>
  </si>
  <si>
    <t>Rotex sieve no. 4</t>
  </si>
  <si>
    <t>Supply mixer Line 2</t>
  </si>
  <si>
    <t>Bin 8</t>
  </si>
  <si>
    <t>Manifold</t>
  </si>
  <si>
    <t>Rotex sieve</t>
  </si>
  <si>
    <t>Supply mixer Line 3</t>
  </si>
  <si>
    <t>Blower</t>
  </si>
  <si>
    <t>Chiller</t>
  </si>
  <si>
    <t>Bin 14</t>
  </si>
  <si>
    <t>Bin 16</t>
  </si>
  <si>
    <t>Bin 17</t>
  </si>
  <si>
    <t>Bin 18</t>
  </si>
  <si>
    <t>Bin 19</t>
  </si>
  <si>
    <t>Bin 20</t>
  </si>
  <si>
    <t>Bin 21</t>
  </si>
  <si>
    <t>Infeed screw conveyor 1</t>
  </si>
  <si>
    <t>Infeed screw conveyor 2</t>
  </si>
  <si>
    <t>Line 4 lump separator</t>
  </si>
  <si>
    <t>Rotex sieve no. 5</t>
  </si>
  <si>
    <t>Rotex sieve no. 6</t>
  </si>
  <si>
    <t>Rotex sieve no. 7 (spare)</t>
  </si>
  <si>
    <t>Supply mixer Line 4</t>
  </si>
  <si>
    <t>TSK no.5</t>
  </si>
  <si>
    <t>Vimec 1 (Grashopper)</t>
  </si>
  <si>
    <t xml:space="preserve">Blower </t>
  </si>
  <si>
    <t>BMA</t>
  </si>
  <si>
    <t>Broadbent</t>
  </si>
  <si>
    <t>CB L/P molasses tank</t>
  </si>
  <si>
    <t>CB L/P molasses tank pump</t>
  </si>
  <si>
    <t>Crop liquor tank</t>
  </si>
  <si>
    <t>Crystallizer</t>
  </si>
  <si>
    <t>D1 molasses pump</t>
  </si>
  <si>
    <t>D2 molasses tank</t>
  </si>
  <si>
    <t>D2 molasses tank pump</t>
  </si>
  <si>
    <t>E magma Pre-mingler</t>
  </si>
  <si>
    <t>E molasses pump</t>
  </si>
  <si>
    <t>E molasses tank</t>
  </si>
  <si>
    <t>E-magma bottom tank pump</t>
  </si>
  <si>
    <t>E-magma mingler</t>
  </si>
  <si>
    <t>E-magma top tank</t>
  </si>
  <si>
    <t xml:space="preserve">Grasshopper </t>
  </si>
  <si>
    <t>L/P seed tank</t>
  </si>
  <si>
    <t>LG seed tank</t>
  </si>
  <si>
    <t>Mix L/P molasses tank</t>
  </si>
  <si>
    <t>Mix molasses tank</t>
  </si>
  <si>
    <t>S3 molasses tank</t>
  </si>
  <si>
    <t xml:space="preserve">Screw conveyor </t>
  </si>
  <si>
    <t>Sub-mixer</t>
  </si>
  <si>
    <t>Sweco sieve</t>
  </si>
  <si>
    <t>Sweet water tank</t>
  </si>
  <si>
    <t xml:space="preserve">Vacuum Pan </t>
  </si>
  <si>
    <t>Vertical crystallizer</t>
  </si>
  <si>
    <t>1st Filtration</t>
  </si>
  <si>
    <t>2nd Filtration</t>
  </si>
  <si>
    <t>Alfa laval heater</t>
  </si>
  <si>
    <t>Heat exchanger (cooler)</t>
  </si>
  <si>
    <t>Liquid sugar filter bags</t>
  </si>
  <si>
    <t>Liquid sugar storage tank 1</t>
  </si>
  <si>
    <t>Liquid sugar storage tank 2</t>
  </si>
  <si>
    <t>Liquid sugar storage tank 3</t>
  </si>
  <si>
    <t>Liquid sugar storage tank 4</t>
  </si>
  <si>
    <t>Liquid sugar storage tank 5</t>
  </si>
  <si>
    <t>Liquid sugar strainers</t>
  </si>
  <si>
    <t>Water filtration filters</t>
  </si>
  <si>
    <t>Water storage tank</t>
  </si>
  <si>
    <t>DAILY SUMMARY REPORT</t>
  </si>
  <si>
    <t>MTD</t>
  </si>
  <si>
    <t>Monthly target</t>
  </si>
  <si>
    <t>Ave. MTD</t>
  </si>
  <si>
    <t>Per day</t>
  </si>
  <si>
    <t>Week</t>
  </si>
  <si>
    <t>Days</t>
  </si>
  <si>
    <t>Raw Sugar Melt (MT)</t>
  </si>
  <si>
    <t>Raw Sugar (WB)</t>
  </si>
  <si>
    <t>Total Packed (MT) includes Bulk &amp; Liquid</t>
  </si>
  <si>
    <t>Total Packed (w/o WH stock)</t>
  </si>
  <si>
    <t>Bulk (MT)</t>
  </si>
  <si>
    <t>Liquid (MT)</t>
  </si>
  <si>
    <t>WH stock for liquid melt</t>
  </si>
  <si>
    <t>Bin Balance (MT)</t>
  </si>
  <si>
    <t>Residues (before remelt) MT</t>
  </si>
  <si>
    <t>Packing yield %</t>
  </si>
  <si>
    <t>Final Yield %</t>
  </si>
  <si>
    <t>Steam (MT)</t>
  </si>
  <si>
    <t>Total steam / MT</t>
  </si>
  <si>
    <t>Mmbtu</t>
  </si>
  <si>
    <t>Mmbtu/MT</t>
  </si>
  <si>
    <t>Water/MT</t>
  </si>
  <si>
    <t>Electricity (kWH/MT)</t>
  </si>
  <si>
    <t>Melting (MT)</t>
  </si>
  <si>
    <t>Target</t>
  </si>
  <si>
    <t>Target missed</t>
  </si>
  <si>
    <t>Packing (MT)</t>
  </si>
  <si>
    <t>Final Yield%</t>
  </si>
  <si>
    <t>Packing Yield%</t>
  </si>
  <si>
    <t>WK 48</t>
  </si>
  <si>
    <t>WK 49</t>
  </si>
  <si>
    <t>WK 50</t>
  </si>
  <si>
    <t>WK 51</t>
  </si>
  <si>
    <t>WK 52</t>
  </si>
  <si>
    <t>WK 1</t>
  </si>
  <si>
    <t>WEEKLY SUMMARY REPORT</t>
  </si>
  <si>
    <t>No. of days</t>
  </si>
  <si>
    <t>Raw Sugar WB</t>
  </si>
  <si>
    <t>Melting</t>
  </si>
  <si>
    <t>Melting Target</t>
  </si>
  <si>
    <t>Packed</t>
  </si>
  <si>
    <t>Bulk</t>
  </si>
  <si>
    <t>Liquid</t>
  </si>
  <si>
    <t>Residues</t>
  </si>
  <si>
    <t>WH Stock for Liquid Melt</t>
  </si>
  <si>
    <t>Bin Balance</t>
  </si>
  <si>
    <t>FTQ %</t>
  </si>
  <si>
    <t>Waste %</t>
  </si>
  <si>
    <t>MTD Dec</t>
  </si>
  <si>
    <t>DAILY SUMMARY BY WEEK</t>
  </si>
  <si>
    <t>Current</t>
  </si>
  <si>
    <t>Day</t>
  </si>
  <si>
    <t>Packing</t>
  </si>
  <si>
    <t>Pack yield%</t>
  </si>
  <si>
    <t>Final yield%</t>
  </si>
  <si>
    <t>Total Sugar at E</t>
  </si>
  <si>
    <t>Melt</t>
  </si>
  <si>
    <t>%</t>
  </si>
  <si>
    <t>Final Mol</t>
  </si>
  <si>
    <t>Total</t>
  </si>
  <si>
    <t>Morning</t>
  </si>
  <si>
    <t>Afternoon</t>
  </si>
  <si>
    <t>Night</t>
  </si>
  <si>
    <t>MT</t>
  </si>
  <si>
    <t>sugar MT</t>
  </si>
  <si>
    <t>Steam (Mt)</t>
  </si>
  <si>
    <t>Bin Balance (Mt)</t>
  </si>
  <si>
    <t>Total steam usage (Steam/MT)</t>
  </si>
  <si>
    <t>Prod Yield %</t>
  </si>
  <si>
    <t>Production Yield%</t>
  </si>
  <si>
    <t>WK 44</t>
  </si>
  <si>
    <t>WK 45</t>
  </si>
  <si>
    <t>WK 46</t>
  </si>
  <si>
    <t>WK 47</t>
  </si>
  <si>
    <t xml:space="preserve">MTD Nov </t>
  </si>
  <si>
    <t>Yield WB</t>
  </si>
  <si>
    <t>Yield Hopper</t>
  </si>
  <si>
    <t>WEEKLY MELTING TREND (MT)</t>
  </si>
  <si>
    <t>WEEKLY PACKING TREND (MT)</t>
  </si>
  <si>
    <t>WEEKLY FINAL YIELD% TREND (MT)</t>
  </si>
  <si>
    <t>WEEKLY PACKING YIELD% TREND (MT)</t>
  </si>
  <si>
    <t>DAILY MELTING TREND (MT)</t>
  </si>
  <si>
    <t>DAILY PACKING TREND (MT)</t>
  </si>
  <si>
    <t>DAILY FINAL YIELD% TREND (MT)</t>
  </si>
  <si>
    <t>DAILY PACKING YIELD% TREND (MT)</t>
  </si>
  <si>
    <t>DAILY MELT SUMMARY BY WEEK (MT)</t>
  </si>
  <si>
    <t>DAILY PACK SUMMARY BY WEEK (MT)</t>
  </si>
  <si>
    <t>CSR Daily Production Performance Report</t>
  </si>
  <si>
    <t xml:space="preserve">Date: </t>
  </si>
  <si>
    <t>Jan</t>
  </si>
  <si>
    <t xml:space="preserve">Time </t>
  </si>
  <si>
    <t xml:space="preserve">Melting </t>
  </si>
  <si>
    <t>Carb Flow Rate</t>
  </si>
  <si>
    <t>Total Melt (tons)</t>
  </si>
  <si>
    <t>Today's melt</t>
  </si>
  <si>
    <t>Today's pack</t>
  </si>
  <si>
    <t>Old Line</t>
  </si>
  <si>
    <t>New Line</t>
  </si>
  <si>
    <t>hrs</t>
  </si>
  <si>
    <t>tons</t>
  </si>
  <si>
    <r>
      <t>m</t>
    </r>
    <r>
      <rPr>
        <b/>
        <sz val="11"/>
        <rFont val="Calibri"/>
        <family val="2"/>
      </rPr>
      <t>³</t>
    </r>
    <r>
      <rPr>
        <b/>
        <sz val="11"/>
        <rFont val="Arial"/>
        <family val="2"/>
      </rPr>
      <t xml:space="preserve"> / hr</t>
    </r>
  </si>
  <si>
    <t>0900</t>
  </si>
  <si>
    <t>1100</t>
  </si>
  <si>
    <t>1300</t>
  </si>
  <si>
    <t>Total Residues (tons)</t>
  </si>
  <si>
    <t>1500</t>
  </si>
  <si>
    <t>1700</t>
  </si>
  <si>
    <t>1900</t>
  </si>
  <si>
    <t>2100</t>
  </si>
  <si>
    <t>2300</t>
  </si>
  <si>
    <t xml:space="preserve">MTD Summary </t>
  </si>
  <si>
    <t>0100</t>
  </si>
  <si>
    <t>0300</t>
  </si>
  <si>
    <t>MTD Trendings</t>
  </si>
  <si>
    <t>0500</t>
  </si>
  <si>
    <t>0700</t>
  </si>
  <si>
    <t>No.of Strikes and Packing Outputs</t>
  </si>
  <si>
    <t>Total
 strikes</t>
  </si>
  <si>
    <t>Totak packing output (tons)</t>
  </si>
  <si>
    <t>Lines</t>
  </si>
  <si>
    <t>Strikes</t>
  </si>
  <si>
    <t>Packing output (tons)</t>
  </si>
  <si>
    <t>IG</t>
  </si>
  <si>
    <t>C1</t>
  </si>
  <si>
    <t>A1</t>
  </si>
  <si>
    <t>C2</t>
  </si>
  <si>
    <t>S1 / S3 ('R')</t>
  </si>
  <si>
    <t>CB</t>
  </si>
  <si>
    <t>D1</t>
  </si>
  <si>
    <t>D2</t>
  </si>
  <si>
    <t>SB</t>
  </si>
  <si>
    <t>E</t>
  </si>
  <si>
    <t>GP</t>
  </si>
  <si>
    <t>Caster</t>
  </si>
  <si>
    <t>Icing</t>
  </si>
  <si>
    <t>Bulk Tanker</t>
  </si>
  <si>
    <t>Liquid sugar</t>
  </si>
  <si>
    <t>SPCG Sugar</t>
  </si>
  <si>
    <t>Bin Levels and Weights</t>
  </si>
  <si>
    <t>Bin</t>
  </si>
  <si>
    <t>Tons</t>
  </si>
  <si>
    <t>11A</t>
  </si>
  <si>
    <t>11B</t>
  </si>
  <si>
    <t>CASTER 1</t>
  </si>
  <si>
    <t>CASTER 2</t>
  </si>
  <si>
    <t>M.Bin 1</t>
  </si>
  <si>
    <t>M.Bin 2</t>
  </si>
  <si>
    <t>M.Bin 3</t>
  </si>
  <si>
    <t>M.Bin 4</t>
  </si>
  <si>
    <t>Total daily bin weight:</t>
  </si>
  <si>
    <t>Yesterday's daily bin weight</t>
  </si>
  <si>
    <t>Energy and Utilities (by Eng - Utilities)</t>
  </si>
  <si>
    <t>Electricity (kWh)</t>
  </si>
  <si>
    <t>CSR</t>
  </si>
  <si>
    <t>TNB</t>
  </si>
  <si>
    <t>Water (m³)</t>
  </si>
  <si>
    <t>River</t>
  </si>
  <si>
    <t>Syabas</t>
  </si>
  <si>
    <t>Natural Gas &amp; Steam
(mmBTU , tons)</t>
  </si>
  <si>
    <t>Total boilers</t>
  </si>
  <si>
    <t>Total steam</t>
  </si>
  <si>
    <t>(kWh / ton)</t>
  </si>
  <si>
    <t>(m³/ ton)</t>
  </si>
  <si>
    <t>mmBTU/ton , steam/ton</t>
  </si>
  <si>
    <t>Downtime Report</t>
  </si>
  <si>
    <t>Total Hrs</t>
  </si>
  <si>
    <t>Time</t>
  </si>
  <si>
    <t>Machine/Equipment</t>
  </si>
  <si>
    <t>Issues</t>
  </si>
  <si>
    <t>From</t>
  </si>
  <si>
    <t>To</t>
  </si>
  <si>
    <t>Melt affected?</t>
  </si>
  <si>
    <t>C2 mol full</t>
  </si>
  <si>
    <t>L2 stop due to repair cyclone pump no.4</t>
  </si>
  <si>
    <t>Stop due to dryer cyclone pump tripped</t>
  </si>
  <si>
    <t>discharger key w/out</t>
  </si>
  <si>
    <t xml:space="preserve">discharger stuck </t>
  </si>
  <si>
    <t>moll full</t>
  </si>
  <si>
    <t>s1 moll full</t>
  </si>
  <si>
    <t>Prepared by:</t>
  </si>
  <si>
    <t>SS</t>
  </si>
  <si>
    <t>Jack</t>
  </si>
  <si>
    <t>Lim CC</t>
  </si>
  <si>
    <t>ASS</t>
  </si>
  <si>
    <t>Radi</t>
  </si>
  <si>
    <t>yusri</t>
  </si>
  <si>
    <t>Product Sugar Colour and Dirt Test Result</t>
  </si>
  <si>
    <t>Code No.</t>
  </si>
  <si>
    <t>Type</t>
  </si>
  <si>
    <t>Colour</t>
  </si>
  <si>
    <t>Dirt Test</t>
  </si>
  <si>
    <t>C01H21M2</t>
  </si>
  <si>
    <t>LOC1</t>
  </si>
  <si>
    <t xml:space="preserve">ok </t>
  </si>
  <si>
    <t>C01H21M1</t>
  </si>
  <si>
    <t>LOA1</t>
  </si>
  <si>
    <t>-</t>
  </si>
  <si>
    <t>C01H21MA</t>
  </si>
  <si>
    <t>SPIC25D/L</t>
  </si>
  <si>
    <t>C01H21M4</t>
  </si>
  <si>
    <t>LOIG1TMDD</t>
  </si>
  <si>
    <t>LOA11T(N)</t>
  </si>
  <si>
    <t>LOIGCX</t>
  </si>
  <si>
    <t>C01H21MCB</t>
  </si>
  <si>
    <t>LOCB</t>
  </si>
  <si>
    <t>C01H21M3</t>
  </si>
  <si>
    <t>EXA125DUBAI</t>
  </si>
  <si>
    <t>SPCG</t>
  </si>
  <si>
    <t>C01H21A2</t>
  </si>
  <si>
    <t>C01H21A1</t>
  </si>
  <si>
    <t>C01H21A4</t>
  </si>
  <si>
    <t>LOIG1T(MDD)</t>
  </si>
  <si>
    <t>C01H21A3</t>
  </si>
  <si>
    <t>EXA1 25(P)DUBAI</t>
  </si>
  <si>
    <t>C01H21ACB</t>
  </si>
  <si>
    <t>C01H21AH4</t>
  </si>
  <si>
    <t>C01H21NH1</t>
  </si>
  <si>
    <t>C01H21N1</t>
  </si>
  <si>
    <t>9+10</t>
  </si>
  <si>
    <t>C01H21N2</t>
  </si>
  <si>
    <t>C01H21N4</t>
  </si>
  <si>
    <t>Tripped and check by power</t>
  </si>
  <si>
    <t>L1 and L3 stop due to repair cyclone pump pipe.</t>
  </si>
  <si>
    <t>Run 2sets tsk send to lump silo</t>
  </si>
  <si>
    <t>V.pan 2 boil water to clear harden sugar at calandria</t>
  </si>
  <si>
    <t>TSK no.1 discharger key w/out</t>
  </si>
  <si>
    <t>V.pump no.6 v-belt w/out</t>
  </si>
  <si>
    <t>C1 moll pump no.1 pump jammed,morning shift pls</t>
  </si>
  <si>
    <t>inform workshop</t>
  </si>
  <si>
    <t>Stop chute block</t>
  </si>
  <si>
    <t>C2 moll full</t>
  </si>
  <si>
    <t>Stop dryer outlet chute block</t>
  </si>
  <si>
    <t>LimCC</t>
  </si>
  <si>
    <t>Zubir</t>
  </si>
  <si>
    <t>Zaipu</t>
  </si>
  <si>
    <t>Azli</t>
  </si>
  <si>
    <t>C02H20M2</t>
  </si>
  <si>
    <t>EMC1</t>
  </si>
  <si>
    <t>OK</t>
  </si>
  <si>
    <t>C02H20M1</t>
  </si>
  <si>
    <t>C02H20MC</t>
  </si>
  <si>
    <t>SPIC25DL</t>
  </si>
  <si>
    <t>C02H20M4</t>
  </si>
  <si>
    <t>C02H20M3</t>
  </si>
  <si>
    <t>EXA125(P)R</t>
  </si>
  <si>
    <t>C02H20MCB</t>
  </si>
  <si>
    <t>C02H21A2</t>
  </si>
  <si>
    <t>C02H21A1</t>
  </si>
  <si>
    <t>C02H21A4</t>
  </si>
  <si>
    <t>EXIGFF</t>
  </si>
  <si>
    <t>LOIG 1T(MDD)</t>
  </si>
  <si>
    <t>LOA1 1T(N)</t>
  </si>
  <si>
    <t>C02H21A3</t>
  </si>
  <si>
    <t>EXA1 25(P)R</t>
  </si>
  <si>
    <t>50F</t>
  </si>
  <si>
    <t>EXA1 25(P)REDOX</t>
  </si>
  <si>
    <t>49F</t>
  </si>
  <si>
    <t>LOA1 25</t>
  </si>
  <si>
    <t>55F</t>
  </si>
  <si>
    <t>52F</t>
  </si>
  <si>
    <t>C02H21NH3</t>
  </si>
  <si>
    <t>C02H21N1</t>
  </si>
  <si>
    <t>C02H21N2</t>
  </si>
  <si>
    <t>C02H21N4</t>
  </si>
  <si>
    <t>EMIGFF</t>
  </si>
  <si>
    <t>C02H20N4</t>
  </si>
  <si>
    <t>#2 cake detector fault</t>
  </si>
  <si>
    <t>Chute block</t>
  </si>
  <si>
    <t>S1 mol full</t>
  </si>
  <si>
    <t>1 pcs backet Broken</t>
  </si>
  <si>
    <t>Routine Service</t>
  </si>
  <si>
    <t>mol full</t>
  </si>
  <si>
    <t>tsk no2 masse valve jammed</t>
  </si>
  <si>
    <t>tsk no4 outlet chute block</t>
  </si>
  <si>
    <t>Stop c2 moll full</t>
  </si>
  <si>
    <t>shahrul/yusri</t>
  </si>
  <si>
    <t>C03H21M2</t>
  </si>
  <si>
    <t>C03H21M1</t>
  </si>
  <si>
    <t>C03H21M4</t>
  </si>
  <si>
    <t>C03H21M3</t>
  </si>
  <si>
    <t>LOA125</t>
  </si>
  <si>
    <t>C03H21MLG</t>
  </si>
  <si>
    <t>LOLG</t>
  </si>
  <si>
    <t>C03H21A2</t>
  </si>
  <si>
    <t>C03H21A1</t>
  </si>
  <si>
    <t>C03H21ACB</t>
  </si>
  <si>
    <t>C03H21A3</t>
  </si>
  <si>
    <t>C03H21A4</t>
  </si>
  <si>
    <t>LOA1 1TN</t>
  </si>
  <si>
    <t>LOIG 1TMDD</t>
  </si>
  <si>
    <t>C03H21N2</t>
  </si>
  <si>
    <t>C03H21N1</t>
  </si>
  <si>
    <t>C03H21N4</t>
  </si>
  <si>
    <t>LOIG1T [MDD]</t>
  </si>
  <si>
    <t>LOA11T [N]</t>
  </si>
  <si>
    <t>C03H21NH3</t>
  </si>
  <si>
    <t>67 F</t>
  </si>
  <si>
    <t>TSK no.1 chute blocked</t>
  </si>
  <si>
    <t>Run 3 set TSK - dryer problem</t>
  </si>
  <si>
    <t>TSK no. 3 mass. outlet rubber chute leaking</t>
  </si>
  <si>
    <t>TSK no.4 discharger problem</t>
  </si>
  <si>
    <t>spring w/out</t>
  </si>
  <si>
    <t xml:space="preserve"> </t>
  </si>
  <si>
    <t>cryst # 5A autovalve jammed</t>
  </si>
  <si>
    <t>c2 moll full</t>
  </si>
  <si>
    <t>basket airpump w/out</t>
  </si>
  <si>
    <t>Stop auto  valve jammed</t>
  </si>
  <si>
    <t>Stop s1/s3 moll full</t>
  </si>
  <si>
    <t>C04H21MH3</t>
  </si>
  <si>
    <t>60F</t>
  </si>
  <si>
    <t>C04H21M1</t>
  </si>
  <si>
    <t>C04H21M2</t>
  </si>
  <si>
    <t>C04H21M3</t>
  </si>
  <si>
    <t>LOCA</t>
  </si>
  <si>
    <t>C04H21M4</t>
  </si>
  <si>
    <t>C04H21MA</t>
  </si>
  <si>
    <t>SPIC 25D/L</t>
  </si>
  <si>
    <t>62F</t>
  </si>
  <si>
    <t>C04H21MCB</t>
  </si>
  <si>
    <t>C04H21A3</t>
  </si>
  <si>
    <t>53F</t>
  </si>
  <si>
    <t>C04H21A4</t>
  </si>
  <si>
    <t>C04H21ACB</t>
  </si>
  <si>
    <t>C04H21A1</t>
  </si>
  <si>
    <t>C04H21A2</t>
  </si>
  <si>
    <t>LOIG CX 25</t>
  </si>
  <si>
    <t>C04H21N2</t>
  </si>
  <si>
    <t>C04H21N1</t>
  </si>
  <si>
    <t>C04H21N4</t>
  </si>
  <si>
    <t>C04H21NH3</t>
  </si>
  <si>
    <t>LOCX1T(K2)</t>
  </si>
  <si>
    <t>TSK no.2 autovalve jammed</t>
  </si>
  <si>
    <t>Clear sugar from grasshopper</t>
  </si>
  <si>
    <t>TSK no.3 basket lifter air pump w/out</t>
  </si>
  <si>
    <t>Vimec no.1 holding spring w/ot</t>
  </si>
  <si>
    <t>2nd filter B outlet valve w/out</t>
  </si>
  <si>
    <t>Effluent pump no.1 abnormal sound. Replace no.2</t>
  </si>
  <si>
    <t>Filter no.15 stop due to rotation tripped</t>
  </si>
  <si>
    <t>Plate no. 1 stop to replace strainer manual valve &amp; service brix transmitter</t>
  </si>
  <si>
    <t>cryst#9 masse valve jammed</t>
  </si>
  <si>
    <t>no</t>
  </si>
  <si>
    <t>line one stop by drayer due to lump screw trip</t>
  </si>
  <si>
    <t xml:space="preserve">line one run 3 set </t>
  </si>
  <si>
    <t>line two run 2 set due to sugar very small and block</t>
  </si>
  <si>
    <t>at wet elev outlet chute</t>
  </si>
  <si>
    <t>line three stop by dryer due to lump screw trip</t>
  </si>
  <si>
    <t>tsk no 1 auto valve jammed</t>
  </si>
  <si>
    <t>tsk no 2 auto valve jammed</t>
  </si>
  <si>
    <t>shahrul</t>
  </si>
  <si>
    <t>ZAIPU</t>
  </si>
  <si>
    <t>C05H21MH1</t>
  </si>
  <si>
    <t>C05H21M1</t>
  </si>
  <si>
    <t>C05H21M2</t>
  </si>
  <si>
    <t>C05H21MCB</t>
  </si>
  <si>
    <t>C05H21M3</t>
  </si>
  <si>
    <t>LOCA 25(P)NESTLE</t>
  </si>
  <si>
    <t>C05H21M4</t>
  </si>
  <si>
    <t>C05H21MA</t>
  </si>
  <si>
    <t>LOCX 1T</t>
  </si>
  <si>
    <t>C05H21ACB</t>
  </si>
  <si>
    <t>C05H21A1</t>
  </si>
  <si>
    <t>C05H21A2</t>
  </si>
  <si>
    <t>C05H21A3</t>
  </si>
  <si>
    <t>LOCA 25P NESTLE</t>
  </si>
  <si>
    <t>C05H21A4</t>
  </si>
  <si>
    <t>LOIGCX 25</t>
  </si>
  <si>
    <t>55/49</t>
  </si>
  <si>
    <t>C05H21AH2</t>
  </si>
  <si>
    <t>82/83 F</t>
  </si>
  <si>
    <t>NIGHT</t>
  </si>
  <si>
    <t>C05H21N2</t>
  </si>
  <si>
    <t>C05H21N1</t>
  </si>
  <si>
    <t>C05H21N4</t>
  </si>
  <si>
    <t>R&amp;B no # 1 stop due to filter cloth replacement from</t>
  </si>
  <si>
    <t>warm water pump no # 1 still not ok run back no # 2 at</t>
  </si>
  <si>
    <t>L1 stop routine service and send to lump from</t>
  </si>
  <si>
    <t>L3 stop routine service and send to lump from</t>
  </si>
  <si>
    <t>L2 c2 mol full from</t>
  </si>
  <si>
    <t>L2 stop dryer outlet chute block from</t>
  </si>
  <si>
    <t xml:space="preserve">Trip check by power </t>
  </si>
  <si>
    <t>Stop auto valve jammed</t>
  </si>
  <si>
    <t>S1/S3 moli full</t>
  </si>
  <si>
    <t>Run 2set  lump screw conveyor high amp</t>
  </si>
  <si>
    <t>tripped</t>
  </si>
  <si>
    <t>Selector problem</t>
  </si>
  <si>
    <t>L2 stop by Dryer due to wet bucket elevator blocked</t>
  </si>
  <si>
    <t>Lim</t>
  </si>
  <si>
    <t>C06H21M1</t>
  </si>
  <si>
    <t>LOC11T(R)</t>
  </si>
  <si>
    <t>C06H21MH1</t>
  </si>
  <si>
    <t>C06H21M3</t>
  </si>
  <si>
    <t>EXCA25(P)</t>
  </si>
  <si>
    <t>EXCA25(P)SYRIA</t>
  </si>
  <si>
    <t>C06H21M4</t>
  </si>
  <si>
    <t>C06H21MA</t>
  </si>
  <si>
    <t>SPIC25 D/L</t>
  </si>
  <si>
    <t>C06H21M2</t>
  </si>
  <si>
    <t>2nd          12</t>
  </si>
  <si>
    <t>2nd          13</t>
  </si>
  <si>
    <t>C06H21A2</t>
  </si>
  <si>
    <t>C06H21AGP</t>
  </si>
  <si>
    <t>LOGP</t>
  </si>
  <si>
    <t>C06H21A4</t>
  </si>
  <si>
    <t>C06H21A3</t>
  </si>
  <si>
    <t>EXCA 25(P)SYRIA</t>
  </si>
  <si>
    <t>LOCX 500</t>
  </si>
  <si>
    <t>C06H21AH3</t>
  </si>
  <si>
    <t>C06H21N2</t>
  </si>
  <si>
    <t>C06H21N4</t>
  </si>
  <si>
    <t>LO1G1TMDD</t>
  </si>
  <si>
    <t>C2 mol sieve trip</t>
  </si>
  <si>
    <t>dryer stop due to clear harden sugar</t>
  </si>
  <si>
    <t>rs weigher service</t>
  </si>
  <si>
    <t>yes</t>
  </si>
  <si>
    <t>tsk no1 dischager always stuck chek by p plant</t>
  </si>
  <si>
    <t>to replace 1 pcs b/elev</t>
  </si>
  <si>
    <t>to stop clear pump/1st refine pump/2nd refine pump at</t>
  </si>
  <si>
    <t xml:space="preserve">pan no7 boil water </t>
  </si>
  <si>
    <t xml:space="preserve">pan no2 boil water </t>
  </si>
  <si>
    <t>valve jammed</t>
  </si>
  <si>
    <t>replace filter beg and Cartridge filter</t>
  </si>
  <si>
    <t xml:space="preserve">V.pan#4 stirrer high amp trip. Power already check motor ok. morning pls follow up. </t>
  </si>
  <si>
    <t>JACK</t>
  </si>
  <si>
    <t>C07H21MH3</t>
  </si>
  <si>
    <t>C07H21MA</t>
  </si>
  <si>
    <t>C07H21M3</t>
  </si>
  <si>
    <t>EXCA25PSYRIA</t>
  </si>
  <si>
    <t>C07H21M4</t>
  </si>
  <si>
    <t>C07H21M1</t>
  </si>
  <si>
    <t>C07H21M2</t>
  </si>
  <si>
    <t>C07H21A2</t>
  </si>
  <si>
    <t>LOA1 500</t>
  </si>
  <si>
    <t>C07H21A3</t>
  </si>
  <si>
    <t>EXCA 25P SYRIA</t>
  </si>
  <si>
    <t>C07H21A4</t>
  </si>
  <si>
    <t>C07H21A1</t>
  </si>
  <si>
    <t>C07H21ACB</t>
  </si>
  <si>
    <t>C07H21AH7</t>
  </si>
  <si>
    <t>74 F</t>
  </si>
  <si>
    <t xml:space="preserve"> LOIG1T [MDD]</t>
  </si>
  <si>
    <t>C07H21N2</t>
  </si>
  <si>
    <t>C07H21N1</t>
  </si>
  <si>
    <t>C07H21N4</t>
  </si>
  <si>
    <t>LOA1500</t>
  </si>
  <si>
    <t>C07H21NH4</t>
  </si>
  <si>
    <t>SPFG</t>
  </si>
  <si>
    <t>C07H21NH7</t>
  </si>
  <si>
    <t>cryst no3 valve jammed</t>
  </si>
  <si>
    <t>tsk no1 valve jammed</t>
  </si>
  <si>
    <t>tsk no4 motor w out</t>
  </si>
  <si>
    <t>cryst no9 valve jammed[manifold shaft broken]</t>
  </si>
  <si>
    <t>11;50</t>
  </si>
  <si>
    <t>Auto valve jammed</t>
  </si>
  <si>
    <t>Minifold screw conveyor w/out</t>
  </si>
  <si>
    <t>TSK no.2 Outlet chute blocked</t>
  </si>
  <si>
    <t>Cryst. no.4 auto valve jammed</t>
  </si>
  <si>
    <t xml:space="preserve">Mud pump no.2 v-belt w/out </t>
  </si>
  <si>
    <t>V.pump no.9 v-belt w/out</t>
  </si>
  <si>
    <t>C08H21M1</t>
  </si>
  <si>
    <t>C08H21M2</t>
  </si>
  <si>
    <t>C08H21MH6</t>
  </si>
  <si>
    <t>87/85 F</t>
  </si>
  <si>
    <t>C08H21MA</t>
  </si>
  <si>
    <t>SPIC 25DL</t>
  </si>
  <si>
    <t>C08H21MH4</t>
  </si>
  <si>
    <t>C08H21M4</t>
  </si>
  <si>
    <t>C08H21M3</t>
  </si>
  <si>
    <t>16+18</t>
  </si>
  <si>
    <t>LOIG CX25</t>
  </si>
  <si>
    <t>C08H21A4</t>
  </si>
  <si>
    <t>C08H21A2</t>
  </si>
  <si>
    <t>C08H21ALG</t>
  </si>
  <si>
    <t>LOG1</t>
  </si>
  <si>
    <t>C08H21A3</t>
  </si>
  <si>
    <t>EXCA 25(P)25</t>
  </si>
  <si>
    <t>C08H21A1</t>
  </si>
  <si>
    <t>C08H21NH1</t>
  </si>
  <si>
    <t>C08H21NH4</t>
  </si>
  <si>
    <t>C08H21N1</t>
  </si>
  <si>
    <t>C08H21N2</t>
  </si>
  <si>
    <t>C08H21N4</t>
  </si>
  <si>
    <t>tsk no10 stop by p/plant</t>
  </si>
  <si>
    <t>cryst#5/#5A masse valve jammed</t>
  </si>
  <si>
    <t>tsk #4 start run at</t>
  </si>
  <si>
    <t>Discharge problem, replace soinoid valve</t>
  </si>
  <si>
    <t>Discharge problem, replace discharge key</t>
  </si>
  <si>
    <t>Block and clear sugar</t>
  </si>
  <si>
    <t>Stop due to spring nut loose</t>
  </si>
  <si>
    <t>Basket lifter air-pump magnet problem</t>
  </si>
  <si>
    <t>C/detector W/out</t>
  </si>
  <si>
    <t>backwash IER column # 2 from</t>
  </si>
  <si>
    <t>filtered sweet water pump no # 1 was leaking change</t>
  </si>
  <si>
    <t>to pump no # 2 from</t>
  </si>
  <si>
    <t xml:space="preserve">L4 tsk no 3 dischager stuck and basket liftter roller </t>
  </si>
  <si>
    <t>w/out repair by w / shop from</t>
  </si>
  <si>
    <t>L2 tsk no # 4 c/detector w / out from</t>
  </si>
  <si>
    <t>C09H21M1</t>
  </si>
  <si>
    <t>C09H21M2</t>
  </si>
  <si>
    <t>C09H21MH6</t>
  </si>
  <si>
    <t>C09H21MA</t>
  </si>
  <si>
    <t>K</t>
  </si>
  <si>
    <t>C09H21M3</t>
  </si>
  <si>
    <t>C09H21MH4</t>
  </si>
  <si>
    <t>C09H21M4</t>
  </si>
  <si>
    <t>C09H21MCB</t>
  </si>
  <si>
    <t>C09H21A1</t>
  </si>
  <si>
    <t>58F</t>
  </si>
  <si>
    <t>C09H21A2</t>
  </si>
  <si>
    <t>C09H21ACB</t>
  </si>
  <si>
    <t>C09H21A4</t>
  </si>
  <si>
    <t>C09H21A3</t>
  </si>
  <si>
    <t>C09H21NH3</t>
  </si>
  <si>
    <t>C09H21NH11</t>
  </si>
  <si>
    <t>C09H21N1</t>
  </si>
  <si>
    <t>C09H21N2</t>
  </si>
  <si>
    <t>C09H21N4</t>
  </si>
  <si>
    <t>LOCX1T</t>
  </si>
  <si>
    <t>Cryst no.10 auto valve jammed</t>
  </si>
  <si>
    <t>Cryst no.5a auto valve jammed</t>
  </si>
  <si>
    <t>Stop dicharge key w/out</t>
  </si>
  <si>
    <t>line one stop due to dryer trip</t>
  </si>
  <si>
    <t>c2 mol full</t>
  </si>
  <si>
    <t>Crop liq pump no.1 tripped. No.2 under repair</t>
  </si>
  <si>
    <t>TSK no.1 autovalve jammed</t>
  </si>
  <si>
    <t>TSk no.2 nozzel pipe hose w/out</t>
  </si>
  <si>
    <t>TSK no.5 discharger lift arm sensor w/out</t>
  </si>
  <si>
    <t>C10H21M3</t>
  </si>
  <si>
    <t>C10H21M1</t>
  </si>
  <si>
    <t>C10H21M2</t>
  </si>
  <si>
    <t>C10H21MH12</t>
  </si>
  <si>
    <t>C10H21M4</t>
  </si>
  <si>
    <t>C10H21MC</t>
  </si>
  <si>
    <t>SPIC 25 D/L</t>
  </si>
  <si>
    <t>LOCA 25(P)</t>
  </si>
  <si>
    <t>C10H21A2</t>
  </si>
  <si>
    <t>C10H21A1</t>
  </si>
  <si>
    <t>C10H21A4</t>
  </si>
  <si>
    <t>C10H21A3</t>
  </si>
  <si>
    <t>LOCA 25 P</t>
  </si>
  <si>
    <t>C10H21AH2</t>
  </si>
  <si>
    <t>C10H21N1</t>
  </si>
  <si>
    <t>C10H21N2</t>
  </si>
  <si>
    <t>C10H21N4</t>
  </si>
  <si>
    <t>Total packing output (tons)</t>
  </si>
  <si>
    <t xml:space="preserve">cryst #3 auto valve jammed </t>
  </si>
  <si>
    <t>replace actuator valve leaking</t>
  </si>
  <si>
    <t>chute block</t>
  </si>
  <si>
    <t>crys 5a auto valve jammed</t>
  </si>
  <si>
    <t>15;10</t>
  </si>
  <si>
    <t>15;50</t>
  </si>
  <si>
    <t>tsk no4 chute block service by wokshop</t>
  </si>
  <si>
    <t>s1/s3 mol full</t>
  </si>
  <si>
    <t>mass outlet chute block</t>
  </si>
  <si>
    <t>cryst  # 6 autovalve jammed</t>
  </si>
  <si>
    <t>C11H21M4</t>
  </si>
  <si>
    <t>C11H21M2</t>
  </si>
  <si>
    <t>C11H21M1</t>
  </si>
  <si>
    <t>LOCA 900</t>
  </si>
  <si>
    <t>C11H21M3</t>
  </si>
  <si>
    <t>C11H21MCB</t>
  </si>
  <si>
    <t>C11H21M5</t>
  </si>
  <si>
    <t>C11H21A1</t>
  </si>
  <si>
    <t>EMA1/LOA1</t>
  </si>
  <si>
    <t>C11H21A2</t>
  </si>
  <si>
    <t>C11H21AH6</t>
  </si>
  <si>
    <t>68F</t>
  </si>
  <si>
    <t>C11H21A4</t>
  </si>
  <si>
    <t>C11H21A3</t>
  </si>
  <si>
    <t>C11H21N1</t>
  </si>
  <si>
    <t>C11H21N2</t>
  </si>
  <si>
    <t>C11H21NH2</t>
  </si>
  <si>
    <t>C11H21N4</t>
  </si>
  <si>
    <t>EM A1</t>
  </si>
  <si>
    <t>C11H20N2</t>
  </si>
  <si>
    <t>S1/S3 moll full</t>
  </si>
  <si>
    <t>Stop basket lifter air pump w/out</t>
  </si>
  <si>
    <t>Monifold outlet autovalve jammed</t>
  </si>
  <si>
    <t>Monifold</t>
  </si>
  <si>
    <t>Repair basket lifter air by w/shop</t>
  </si>
  <si>
    <t>cryst # 10 autovalve jammed</t>
  </si>
  <si>
    <t>C12H21MC</t>
  </si>
  <si>
    <t>C12H21M2</t>
  </si>
  <si>
    <t>C12H21M4</t>
  </si>
  <si>
    <t>C12H21M1</t>
  </si>
  <si>
    <t>60 F</t>
  </si>
  <si>
    <t xml:space="preserve">                        -</t>
  </si>
  <si>
    <t>C12H21MCB</t>
  </si>
  <si>
    <t>C12H21M3</t>
  </si>
  <si>
    <t>EXA1 25 [P] R</t>
  </si>
  <si>
    <t xml:space="preserve">             2nd   13</t>
  </si>
  <si>
    <t>58 F</t>
  </si>
  <si>
    <t>C12H21MH4</t>
  </si>
  <si>
    <t>C12H21A1</t>
  </si>
  <si>
    <t>C12H21A2</t>
  </si>
  <si>
    <t>C12H21ACB</t>
  </si>
  <si>
    <t>C12H21AH1</t>
  </si>
  <si>
    <t>C12H21A3</t>
  </si>
  <si>
    <t>C12H21A4</t>
  </si>
  <si>
    <t>LOIGFF</t>
  </si>
  <si>
    <t>EXCA 25(P)REDOX</t>
  </si>
  <si>
    <t>C12H21NH1</t>
  </si>
  <si>
    <t>C12H21N1</t>
  </si>
  <si>
    <t>C12H21N2</t>
  </si>
  <si>
    <t>C12H21N4</t>
  </si>
  <si>
    <t>S1 mol full (crop liq full)</t>
  </si>
  <si>
    <t>cryst#10 auto valve jammed</t>
  </si>
  <si>
    <t>Crop liq full ( raw liq pump stop)</t>
  </si>
  <si>
    <t>Crop liq full</t>
  </si>
  <si>
    <t xml:space="preserve">C2 mol full </t>
  </si>
  <si>
    <t xml:space="preserve">S1 </t>
  </si>
  <si>
    <t>Crop liq full (Aff stop dosing, R.liq pump stop)</t>
  </si>
  <si>
    <t>Effiluent pump stop to repair pipe at packing 1Tan</t>
  </si>
  <si>
    <t>filter no11 discharge to mud tank a/valve cannot open</t>
  </si>
  <si>
    <t>carb pump no6 coupling w out .change to no5</t>
  </si>
  <si>
    <t>C13H21M2</t>
  </si>
  <si>
    <t>C13H21M4</t>
  </si>
  <si>
    <t>C13H21M1</t>
  </si>
  <si>
    <t>C13H21MCBF</t>
  </si>
  <si>
    <t>LOCB(F)</t>
  </si>
  <si>
    <t>C13H21M3</t>
  </si>
  <si>
    <t>EXCA25(P)REDOX</t>
  </si>
  <si>
    <t>C13H21MA</t>
  </si>
  <si>
    <t>C13H21MCB</t>
  </si>
  <si>
    <t>C13H21MH1</t>
  </si>
  <si>
    <t>71F</t>
  </si>
  <si>
    <t>C13H21A2</t>
  </si>
  <si>
    <t>C13H21A1</t>
  </si>
  <si>
    <t>C13H21A4</t>
  </si>
  <si>
    <t>C13H21A3</t>
  </si>
  <si>
    <t>EXCA 25(P)</t>
  </si>
  <si>
    <t>LOCA 25(P)N</t>
  </si>
  <si>
    <t>C13H21N1</t>
  </si>
  <si>
    <t>C13H21N2</t>
  </si>
  <si>
    <t>C13H21NH2</t>
  </si>
  <si>
    <t>58/57</t>
  </si>
  <si>
    <t>C13H21N4</t>
  </si>
  <si>
    <t>TOTAL</t>
  </si>
  <si>
    <t>AVERAGE</t>
  </si>
  <si>
    <t>Curing</t>
  </si>
  <si>
    <t>Liquid Sugar</t>
  </si>
  <si>
    <t>Boiler House</t>
  </si>
  <si>
    <t>Powerplant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</si>
</sst>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_-* #,##0_-;\-* #,##0_-;_-* &quot;-&quot;??_-;_-@_-"/>
    <numFmt numFmtId="168" formatCode="[h]:mm"/>
    <numFmt numFmtId="169" formatCode="0.0%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Calibri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1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14"/>
      <name val="Arial"/>
      <family val="2"/>
    </font>
    <font>
      <u/>
      <sz val="10"/>
      <color theme="10"/>
      <name val="Arial"/>
      <family val="2"/>
    </font>
    <font>
      <b/>
      <u/>
      <sz val="14"/>
      <color rgb="FF002060"/>
      <name val="Arial"/>
      <family val="2"/>
    </font>
    <font>
      <b/>
      <sz val="16"/>
      <name val="Arial"/>
      <family val="2"/>
    </font>
    <font>
      <b/>
      <u/>
      <sz val="14"/>
      <color theme="10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3">
    <xf numFmtId="0" fontId="0" fillId="0" borderId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2" fillId="0" borderId="0"/>
    <xf numFmtId="0" fontId="18" fillId="0" borderId="0"/>
    <xf numFmtId="43" fontId="18" fillId="0" borderId="0" applyFont="0" applyFill="0" applyBorder="0" applyAlignment="0" applyProtection="0"/>
    <xf numFmtId="0" fontId="5" fillId="0" borderId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2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456">
    <xf numFmtId="0" fontId="0" fillId="0" borderId="0" xfId="0"/>
    <xf numFmtId="0" fontId="0" fillId="0" borderId="0" xfId="0" applyFill="1" applyBorder="1"/>
    <xf numFmtId="167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167" fontId="0" fillId="0" borderId="0" xfId="0" applyNumberFormat="1" applyAlignment="1"/>
    <xf numFmtId="167" fontId="10" fillId="4" borderId="0" xfId="1" applyNumberFormat="1" applyFont="1" applyFill="1" applyAlignment="1">
      <alignment horizontal="center" vertical="center"/>
    </xf>
    <xf numFmtId="167" fontId="13" fillId="4" borderId="0" xfId="1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Fill="1"/>
    <xf numFmtId="0" fontId="13" fillId="0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167" fontId="10" fillId="7" borderId="17" xfId="1" applyNumberFormat="1" applyFont="1" applyFill="1" applyBorder="1" applyAlignment="1">
      <alignment horizontal="center" vertical="center" wrapText="1"/>
    </xf>
    <xf numFmtId="167" fontId="10" fillId="3" borderId="17" xfId="1" applyNumberFormat="1" applyFont="1" applyFill="1" applyBorder="1" applyAlignment="1">
      <alignment horizontal="center" vertical="center" wrapText="1"/>
    </xf>
    <xf numFmtId="167" fontId="13" fillId="4" borderId="23" xfId="1" applyNumberFormat="1" applyFont="1" applyFill="1" applyBorder="1"/>
    <xf numFmtId="167" fontId="13" fillId="4" borderId="24" xfId="1" applyNumberFormat="1" applyFont="1" applyFill="1" applyBorder="1"/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67" fontId="13" fillId="4" borderId="48" xfId="1" applyNumberFormat="1" applyFont="1" applyFill="1" applyBorder="1" applyAlignment="1">
      <alignment vertical="center"/>
    </xf>
    <xf numFmtId="0" fontId="10" fillId="4" borderId="48" xfId="0" applyFont="1" applyFill="1" applyBorder="1" applyAlignment="1">
      <alignment vertical="center"/>
    </xf>
    <xf numFmtId="0" fontId="0" fillId="0" borderId="0" xfId="0" applyFont="1" applyFill="1"/>
    <xf numFmtId="1" fontId="10" fillId="0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 vertical="center"/>
    </xf>
    <xf numFmtId="167" fontId="10" fillId="8" borderId="17" xfId="1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3" fillId="4" borderId="53" xfId="0" applyFont="1" applyFill="1" applyBorder="1" applyAlignment="1">
      <alignment horizontal="center" vertical="center"/>
    </xf>
    <xf numFmtId="167" fontId="13" fillId="4" borderId="22" xfId="1" applyNumberFormat="1" applyFont="1" applyFill="1" applyBorder="1"/>
    <xf numFmtId="0" fontId="10" fillId="4" borderId="0" xfId="0" applyFont="1" applyFill="1" applyBorder="1" applyAlignment="1">
      <alignment vertical="center"/>
    </xf>
    <xf numFmtId="167" fontId="13" fillId="4" borderId="7" xfId="1" applyNumberFormat="1" applyFont="1" applyFill="1" applyBorder="1" applyAlignment="1">
      <alignment horizontal="center"/>
    </xf>
    <xf numFmtId="167" fontId="13" fillId="4" borderId="46" xfId="1" applyNumberFormat="1" applyFont="1" applyFill="1" applyBorder="1" applyAlignment="1">
      <alignment horizontal="center"/>
    </xf>
    <xf numFmtId="167" fontId="0" fillId="0" borderId="0" xfId="0" applyNumberFormat="1"/>
    <xf numFmtId="0" fontId="13" fillId="7" borderId="22" xfId="0" quotePrefix="1" applyFont="1" applyFill="1" applyBorder="1" applyAlignment="1">
      <alignment horizontal="center" vertical="center"/>
    </xf>
    <xf numFmtId="0" fontId="13" fillId="7" borderId="23" xfId="0" quotePrefix="1" applyFont="1" applyFill="1" applyBorder="1" applyAlignment="1">
      <alignment horizontal="center" vertical="center"/>
    </xf>
    <xf numFmtId="167" fontId="13" fillId="7" borderId="11" xfId="1" applyNumberFormat="1" applyFont="1" applyFill="1" applyBorder="1"/>
    <xf numFmtId="0" fontId="13" fillId="7" borderId="24" xfId="0" quotePrefix="1" applyFont="1" applyFill="1" applyBorder="1" applyAlignment="1">
      <alignment horizontal="center" vertical="center"/>
    </xf>
    <xf numFmtId="167" fontId="13" fillId="7" borderId="13" xfId="1" applyNumberFormat="1" applyFont="1" applyFill="1" applyBorder="1"/>
    <xf numFmtId="0" fontId="13" fillId="8" borderId="22" xfId="0" quotePrefix="1" applyFont="1" applyFill="1" applyBorder="1" applyAlignment="1">
      <alignment horizontal="center" vertical="center"/>
    </xf>
    <xf numFmtId="0" fontId="13" fillId="8" borderId="23" xfId="0" quotePrefix="1" applyFont="1" applyFill="1" applyBorder="1" applyAlignment="1">
      <alignment horizontal="center" vertical="center"/>
    </xf>
    <xf numFmtId="0" fontId="13" fillId="8" borderId="24" xfId="0" quotePrefix="1" applyFont="1" applyFill="1" applyBorder="1" applyAlignment="1">
      <alignment horizontal="center" vertical="center"/>
    </xf>
    <xf numFmtId="0" fontId="13" fillId="3" borderId="22" xfId="0" quotePrefix="1" applyFont="1" applyFill="1" applyBorder="1" applyAlignment="1">
      <alignment horizontal="center" vertical="center"/>
    </xf>
    <xf numFmtId="0" fontId="13" fillId="3" borderId="23" xfId="0" quotePrefix="1" applyFont="1" applyFill="1" applyBorder="1" applyAlignment="1">
      <alignment horizontal="center" vertical="center"/>
    </xf>
    <xf numFmtId="0" fontId="13" fillId="3" borderId="24" xfId="0" quotePrefix="1" applyFont="1" applyFill="1" applyBorder="1" applyAlignment="1">
      <alignment horizontal="center" vertical="center"/>
    </xf>
    <xf numFmtId="167" fontId="13" fillId="7" borderId="32" xfId="1" applyNumberFormat="1" applyFont="1" applyFill="1" applyBorder="1"/>
    <xf numFmtId="167" fontId="13" fillId="7" borderId="49" xfId="1" applyNumberFormat="1" applyFont="1" applyFill="1" applyBorder="1"/>
    <xf numFmtId="167" fontId="13" fillId="8" borderId="32" xfId="1" applyNumberFormat="1" applyFont="1" applyFill="1" applyBorder="1" applyAlignment="1">
      <alignment horizontal="center" vertical="center"/>
    </xf>
    <xf numFmtId="167" fontId="13" fillId="8" borderId="11" xfId="1" applyNumberFormat="1" applyFont="1" applyFill="1" applyBorder="1" applyAlignment="1">
      <alignment horizontal="center" vertical="center"/>
    </xf>
    <xf numFmtId="167" fontId="13" fillId="8" borderId="49" xfId="1" applyNumberFormat="1" applyFont="1" applyFill="1" applyBorder="1" applyAlignment="1">
      <alignment horizontal="center" vertical="center"/>
    </xf>
    <xf numFmtId="167" fontId="13" fillId="8" borderId="13" xfId="1" applyNumberFormat="1" applyFont="1" applyFill="1" applyBorder="1" applyAlignment="1">
      <alignment horizontal="center" vertical="center"/>
    </xf>
    <xf numFmtId="167" fontId="13" fillId="0" borderId="14" xfId="1" applyNumberFormat="1" applyFont="1" applyFill="1" applyBorder="1" applyAlignment="1">
      <alignment horizontal="center" vertical="center"/>
    </xf>
    <xf numFmtId="167" fontId="13" fillId="0" borderId="17" xfId="1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0" fillId="0" borderId="0" xfId="0" applyFill="1"/>
    <xf numFmtId="167" fontId="13" fillId="0" borderId="0" xfId="1" applyNumberFormat="1" applyFont="1" applyFill="1" applyBorder="1" applyAlignment="1">
      <alignment horizontal="center"/>
    </xf>
    <xf numFmtId="167" fontId="1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167" fontId="13" fillId="4" borderId="47" xfId="1" applyNumberFormat="1" applyFont="1" applyFill="1" applyBorder="1" applyAlignment="1">
      <alignment horizontal="center"/>
    </xf>
    <xf numFmtId="167" fontId="13" fillId="4" borderId="10" xfId="1" applyNumberFormat="1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43" fontId="13" fillId="7" borderId="6" xfId="1" applyNumberFormat="1" applyFont="1" applyFill="1" applyBorder="1"/>
    <xf numFmtId="43" fontId="13" fillId="7" borderId="7" xfId="1" applyNumberFormat="1" applyFont="1" applyFill="1" applyBorder="1" applyAlignment="1">
      <alignment horizontal="center" vertical="center"/>
    </xf>
    <xf numFmtId="43" fontId="13" fillId="7" borderId="11" xfId="1" applyNumberFormat="1" applyFont="1" applyFill="1" applyBorder="1"/>
    <xf numFmtId="43" fontId="13" fillId="7" borderId="1" xfId="1" applyNumberFormat="1" applyFont="1" applyFill="1" applyBorder="1" applyAlignment="1">
      <alignment horizontal="center" vertical="center"/>
    </xf>
    <xf numFmtId="43" fontId="13" fillId="7" borderId="13" xfId="1" applyNumberFormat="1" applyFont="1" applyFill="1" applyBorder="1"/>
    <xf numFmtId="43" fontId="13" fillId="7" borderId="14" xfId="1" applyNumberFormat="1" applyFont="1" applyFill="1" applyBorder="1" applyAlignment="1">
      <alignment horizontal="center" vertical="center"/>
    </xf>
    <xf numFmtId="43" fontId="13" fillId="8" borderId="6" xfId="1" applyNumberFormat="1" applyFont="1" applyFill="1" applyBorder="1"/>
    <xf numFmtId="43" fontId="13" fillId="8" borderId="7" xfId="1" applyNumberFormat="1" applyFont="1" applyFill="1" applyBorder="1" applyAlignment="1">
      <alignment horizontal="center" vertical="center"/>
    </xf>
    <xf numFmtId="43" fontId="13" fillId="8" borderId="11" xfId="1" applyNumberFormat="1" applyFont="1" applyFill="1" applyBorder="1"/>
    <xf numFmtId="43" fontId="13" fillId="8" borderId="1" xfId="1" applyNumberFormat="1" applyFont="1" applyFill="1" applyBorder="1" applyAlignment="1">
      <alignment horizontal="center" vertical="center"/>
    </xf>
    <xf numFmtId="43" fontId="13" fillId="8" borderId="13" xfId="1" applyNumberFormat="1" applyFont="1" applyFill="1" applyBorder="1"/>
    <xf numFmtId="43" fontId="13" fillId="8" borderId="14" xfId="1" applyNumberFormat="1" applyFont="1" applyFill="1" applyBorder="1" applyAlignment="1">
      <alignment horizontal="center" vertical="center"/>
    </xf>
    <xf numFmtId="43" fontId="13" fillId="3" borderId="6" xfId="1" applyNumberFormat="1" applyFont="1" applyFill="1" applyBorder="1"/>
    <xf numFmtId="43" fontId="13" fillId="3" borderId="7" xfId="1" applyNumberFormat="1" applyFont="1" applyFill="1" applyBorder="1" applyAlignment="1">
      <alignment horizontal="center" vertical="center"/>
    </xf>
    <xf numFmtId="43" fontId="13" fillId="3" borderId="11" xfId="1" applyNumberFormat="1" applyFont="1" applyFill="1" applyBorder="1"/>
    <xf numFmtId="43" fontId="13" fillId="3" borderId="1" xfId="1" applyNumberFormat="1" applyFont="1" applyFill="1" applyBorder="1" applyAlignment="1">
      <alignment horizontal="center" vertical="center"/>
    </xf>
    <xf numFmtId="43" fontId="13" fillId="3" borderId="13" xfId="1" applyNumberFormat="1" applyFont="1" applyFill="1" applyBorder="1"/>
    <xf numFmtId="43" fontId="13" fillId="3" borderId="14" xfId="1" applyNumberFormat="1" applyFont="1" applyFill="1" applyBorder="1" applyAlignment="1">
      <alignment horizontal="center" vertical="center"/>
    </xf>
    <xf numFmtId="43" fontId="13" fillId="4" borderId="0" xfId="1" applyNumberFormat="1" applyFont="1" applyFill="1" applyBorder="1" applyAlignment="1">
      <alignment horizontal="center"/>
    </xf>
    <xf numFmtId="43" fontId="13" fillId="7" borderId="34" xfId="1" applyNumberFormat="1" applyFont="1" applyFill="1" applyBorder="1"/>
    <xf numFmtId="43" fontId="13" fillId="7" borderId="12" xfId="1" applyNumberFormat="1" applyFont="1" applyFill="1" applyBorder="1"/>
    <xf numFmtId="43" fontId="13" fillId="7" borderId="50" xfId="1" applyNumberFormat="1" applyFont="1" applyFill="1" applyBorder="1"/>
    <xf numFmtId="43" fontId="13" fillId="7" borderId="17" xfId="1" applyNumberFormat="1" applyFont="1" applyFill="1" applyBorder="1"/>
    <xf numFmtId="43" fontId="13" fillId="4" borderId="0" xfId="1" applyNumberFormat="1" applyFont="1" applyFill="1" applyAlignment="1">
      <alignment vertical="center"/>
    </xf>
    <xf numFmtId="43" fontId="13" fillId="8" borderId="34" xfId="1" applyNumberFormat="1" applyFont="1" applyFill="1" applyBorder="1" applyAlignment="1">
      <alignment horizontal="center" vertical="center"/>
    </xf>
    <xf numFmtId="43" fontId="13" fillId="8" borderId="12" xfId="1" applyNumberFormat="1" applyFont="1" applyFill="1" applyBorder="1" applyAlignment="1">
      <alignment horizontal="center" vertical="center"/>
    </xf>
    <xf numFmtId="43" fontId="13" fillId="8" borderId="50" xfId="1" applyNumberFormat="1" applyFont="1" applyFill="1" applyBorder="1" applyAlignment="1">
      <alignment horizontal="center" vertical="center"/>
    </xf>
    <xf numFmtId="43" fontId="13" fillId="8" borderId="17" xfId="1" applyNumberFormat="1" applyFont="1" applyFill="1" applyBorder="1" applyAlignment="1">
      <alignment horizontal="center" vertical="center"/>
    </xf>
    <xf numFmtId="43" fontId="13" fillId="3" borderId="34" xfId="1" applyNumberFormat="1" applyFont="1" applyFill="1" applyBorder="1"/>
    <xf numFmtId="43" fontId="13" fillId="3" borderId="12" xfId="1" applyNumberFormat="1" applyFont="1" applyFill="1" applyBorder="1"/>
    <xf numFmtId="43" fontId="13" fillId="3" borderId="50" xfId="1" applyNumberFormat="1" applyFont="1" applyFill="1" applyBorder="1"/>
    <xf numFmtId="43" fontId="13" fillId="3" borderId="17" xfId="1" applyNumberFormat="1" applyFont="1" applyFill="1" applyBorder="1"/>
    <xf numFmtId="43" fontId="0" fillId="4" borderId="46" xfId="1" applyNumberFormat="1" applyFont="1" applyFill="1" applyBorder="1" applyAlignment="1">
      <alignment vertical="center"/>
    </xf>
    <xf numFmtId="43" fontId="0" fillId="4" borderId="47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67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3" fontId="19" fillId="11" borderId="1" xfId="0" applyNumberFormat="1" applyFont="1" applyFill="1" applyBorder="1" applyAlignment="1">
      <alignment horizontal="center" vertical="center" wrapText="1"/>
    </xf>
    <xf numFmtId="167" fontId="13" fillId="4" borderId="17" xfId="1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vertical="center"/>
    </xf>
    <xf numFmtId="0" fontId="19" fillId="12" borderId="1" xfId="0" applyFont="1" applyFill="1" applyBorder="1" applyAlignment="1">
      <alignment horizontal="center" vertical="center" wrapText="1"/>
    </xf>
    <xf numFmtId="43" fontId="0" fillId="0" borderId="1" xfId="0" applyNumberFormat="1" applyBorder="1" applyAlignment="1">
      <alignment vertical="center"/>
    </xf>
    <xf numFmtId="0" fontId="0" fillId="0" borderId="0" xfId="0" applyFill="1" applyAlignment="1">
      <alignment vertical="center"/>
    </xf>
    <xf numFmtId="167" fontId="0" fillId="0" borderId="0" xfId="0" applyNumberFormat="1" applyFill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/>
    </xf>
    <xf numFmtId="167" fontId="0" fillId="0" borderId="1" xfId="1" applyNumberFormat="1" applyFont="1" applyBorder="1" applyAlignment="1">
      <alignment vertical="center"/>
    </xf>
    <xf numFmtId="0" fontId="20" fillId="11" borderId="1" xfId="0" applyFont="1" applyFill="1" applyBorder="1" applyAlignment="1">
      <alignment horizontal="center" vertical="center" wrapText="1"/>
    </xf>
    <xf numFmtId="168" fontId="13" fillId="0" borderId="0" xfId="0" applyNumberFormat="1" applyFont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168" fontId="10" fillId="13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9" fontId="0" fillId="0" borderId="0" xfId="0" applyNumberFormat="1" applyAlignment="1">
      <alignment vertical="center"/>
    </xf>
    <xf numFmtId="169" fontId="0" fillId="0" borderId="1" xfId="0" applyNumberFormat="1" applyBorder="1" applyAlignment="1">
      <alignment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 wrapText="1"/>
    </xf>
    <xf numFmtId="0" fontId="0" fillId="9" borderId="38" xfId="0" applyFill="1" applyBorder="1" applyAlignment="1">
      <alignment vertical="center"/>
    </xf>
    <xf numFmtId="167" fontId="0" fillId="9" borderId="45" xfId="0" applyNumberFormat="1" applyFill="1" applyBorder="1" applyAlignment="1">
      <alignment vertical="center"/>
    </xf>
    <xf numFmtId="0" fontId="19" fillId="0" borderId="0" xfId="0" applyFont="1" applyAlignment="1">
      <alignment vertical="center"/>
    </xf>
    <xf numFmtId="2" fontId="0" fillId="0" borderId="5" xfId="0" applyNumberForma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19" fillId="14" borderId="5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10" fontId="0" fillId="0" borderId="11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0" fontId="0" fillId="0" borderId="12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0" fontId="0" fillId="0" borderId="30" xfId="0" applyNumberFormat="1" applyBorder="1" applyAlignment="1">
      <alignment horizontal="center" vertical="center"/>
    </xf>
    <xf numFmtId="10" fontId="0" fillId="0" borderId="27" xfId="0" applyNumberFormat="1" applyBorder="1" applyAlignment="1">
      <alignment vertical="center"/>
    </xf>
    <xf numFmtId="0" fontId="10" fillId="10" borderId="1" xfId="0" applyFont="1" applyFill="1" applyBorder="1" applyAlignment="1">
      <alignment horizontal="center" vertical="center"/>
    </xf>
    <xf numFmtId="4" fontId="10" fillId="0" borderId="0" xfId="3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9" fontId="10" fillId="0" borderId="0" xfId="2" applyFont="1" applyFill="1" applyBorder="1" applyAlignment="1">
      <alignment horizontal="center" vertical="center"/>
    </xf>
    <xf numFmtId="167" fontId="23" fillId="0" borderId="0" xfId="22" applyNumberFormat="1" applyFont="1" applyFill="1" applyBorder="1" applyAlignment="1">
      <alignment vertical="center"/>
    </xf>
    <xf numFmtId="43" fontId="23" fillId="0" borderId="0" xfId="22" applyNumberFormat="1" applyFont="1" applyFill="1" applyBorder="1" applyAlignment="1">
      <alignment vertical="center"/>
    </xf>
    <xf numFmtId="0" fontId="19" fillId="9" borderId="43" xfId="0" applyFont="1" applyFill="1" applyBorder="1" applyAlignment="1">
      <alignment horizontal="center" vertical="center"/>
    </xf>
    <xf numFmtId="0" fontId="19" fillId="9" borderId="61" xfId="0" applyFont="1" applyFill="1" applyBorder="1" applyAlignment="1">
      <alignment horizontal="center" vertical="center"/>
    </xf>
    <xf numFmtId="167" fontId="0" fillId="9" borderId="5" xfId="0" applyNumberFormat="1" applyFill="1" applyBorder="1" applyAlignment="1">
      <alignment vertical="center"/>
    </xf>
    <xf numFmtId="3" fontId="0" fillId="9" borderId="42" xfId="0" applyNumberFormat="1" applyFill="1" applyBorder="1" applyAlignment="1">
      <alignment vertical="center"/>
    </xf>
    <xf numFmtId="0" fontId="0" fillId="9" borderId="5" xfId="0" applyFill="1" applyBorder="1" applyAlignment="1">
      <alignment vertical="center"/>
    </xf>
    <xf numFmtId="4" fontId="0" fillId="9" borderId="42" xfId="0" applyNumberFormat="1" applyFill="1" applyBorder="1" applyAlignment="1">
      <alignment vertical="center"/>
    </xf>
    <xf numFmtId="43" fontId="0" fillId="9" borderId="5" xfId="0" applyNumberFormat="1" applyFill="1" applyBorder="1" applyAlignment="1">
      <alignment horizontal="left" vertical="center" indent="2"/>
    </xf>
    <xf numFmtId="0" fontId="0" fillId="9" borderId="42" xfId="0" applyFill="1" applyBorder="1" applyAlignment="1">
      <alignment vertical="center"/>
    </xf>
    <xf numFmtId="167" fontId="19" fillId="15" borderId="5" xfId="1" applyNumberFormat="1" applyFont="1" applyFill="1" applyBorder="1" applyAlignment="1">
      <alignment vertical="center"/>
    </xf>
    <xf numFmtId="167" fontId="0" fillId="0" borderId="54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7" fontId="0" fillId="0" borderId="56" xfId="1" applyNumberFormat="1" applyFont="1" applyBorder="1" applyAlignment="1">
      <alignment vertical="center"/>
    </xf>
    <xf numFmtId="167" fontId="0" fillId="0" borderId="4" xfId="1" applyNumberFormat="1" applyFont="1" applyBorder="1" applyAlignment="1">
      <alignment vertical="center"/>
    </xf>
    <xf numFmtId="167" fontId="0" fillId="0" borderId="57" xfId="1" applyNumberFormat="1" applyFont="1" applyBorder="1" applyAlignment="1">
      <alignment vertical="center"/>
    </xf>
    <xf numFmtId="167" fontId="0" fillId="0" borderId="54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  <xf numFmtId="0" fontId="9" fillId="0" borderId="0" xfId="0" applyFont="1" applyAlignment="1">
      <alignment horizontal="center" vertical="center"/>
    </xf>
    <xf numFmtId="167" fontId="24" fillId="8" borderId="21" xfId="1" applyNumberFormat="1" applyFont="1" applyFill="1" applyBorder="1" applyAlignment="1">
      <alignment vertical="center"/>
    </xf>
    <xf numFmtId="0" fontId="0" fillId="4" borderId="0" xfId="0" applyFont="1" applyFill="1" applyBorder="1"/>
    <xf numFmtId="167" fontId="24" fillId="17" borderId="21" xfId="1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169" fontId="0" fillId="0" borderId="1" xfId="2" applyNumberFormat="1" applyFont="1" applyBorder="1" applyAlignment="1">
      <alignment vertical="center"/>
    </xf>
    <xf numFmtId="169" fontId="24" fillId="18" borderId="21" xfId="2" applyNumberFormat="1" applyFont="1" applyFill="1" applyBorder="1" applyAlignment="1">
      <alignment vertical="center"/>
    </xf>
    <xf numFmtId="0" fontId="13" fillId="0" borderId="1" xfId="0" quotePrefix="1" applyFont="1" applyFill="1" applyBorder="1" applyAlignment="1"/>
    <xf numFmtId="43" fontId="13" fillId="0" borderId="0" xfId="0" applyNumberFormat="1" applyFont="1" applyAlignment="1">
      <alignment horizontal="center" vertical="center"/>
    </xf>
    <xf numFmtId="169" fontId="0" fillId="0" borderId="0" xfId="2" applyNumberFormat="1" applyFont="1" applyAlignment="1">
      <alignment vertical="center"/>
    </xf>
    <xf numFmtId="43" fontId="0" fillId="0" borderId="1" xfId="0" applyNumberFormat="1" applyBorder="1" applyAlignment="1">
      <alignment horizontal="center" vertical="center"/>
    </xf>
    <xf numFmtId="43" fontId="0" fillId="9" borderId="45" xfId="0" applyNumberFormat="1" applyFill="1" applyBorder="1" applyAlignment="1">
      <alignment vertical="center"/>
    </xf>
    <xf numFmtId="43" fontId="0" fillId="9" borderId="42" xfId="0" applyNumberFormat="1" applyFill="1" applyBorder="1" applyAlignment="1">
      <alignment vertical="center"/>
    </xf>
    <xf numFmtId="43" fontId="0" fillId="0" borderId="0" xfId="0" applyNumberFormat="1" applyAlignment="1">
      <alignment vertical="center"/>
    </xf>
    <xf numFmtId="1" fontId="10" fillId="2" borderId="1" xfId="0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1" fontId="10" fillId="2" borderId="12" xfId="0" applyNumberFormat="1" applyFont="1" applyFill="1" applyBorder="1" applyAlignment="1">
      <alignment horizontal="center"/>
    </xf>
    <xf numFmtId="165" fontId="10" fillId="2" borderId="12" xfId="0" applyNumberFormat="1" applyFont="1" applyFill="1" applyBorder="1" applyAlignment="1">
      <alignment horizontal="center"/>
    </xf>
    <xf numFmtId="1" fontId="10" fillId="4" borderId="36" xfId="0" applyNumberFormat="1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9" fontId="13" fillId="3" borderId="14" xfId="2" applyFont="1" applyFill="1" applyBorder="1" applyAlignment="1">
      <alignment horizontal="center"/>
    </xf>
    <xf numFmtId="9" fontId="13" fillId="3" borderId="14" xfId="2" quotePrefix="1" applyFont="1" applyFill="1" applyBorder="1" applyAlignment="1">
      <alignment horizontal="center"/>
    </xf>
    <xf numFmtId="9" fontId="13" fillId="3" borderId="17" xfId="2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9" fontId="13" fillId="3" borderId="14" xfId="2" applyFont="1" applyFill="1" applyBorder="1" applyAlignment="1">
      <alignment horizontal="center" vertical="center"/>
    </xf>
    <xf numFmtId="9" fontId="13" fillId="3" borderId="14" xfId="2" quotePrefix="1" applyFont="1" applyFill="1" applyBorder="1" applyAlignment="1">
      <alignment horizontal="center" vertical="center"/>
    </xf>
    <xf numFmtId="0" fontId="13" fillId="0" borderId="1" xfId="0" applyFont="1" applyFill="1" applyBorder="1" applyAlignment="1"/>
    <xf numFmtId="0" fontId="13" fillId="0" borderId="1" xfId="0" applyFont="1" applyBorder="1" applyAlignment="1">
      <alignment vertical="center"/>
    </xf>
    <xf numFmtId="167" fontId="0" fillId="9" borderId="42" xfId="0" applyNumberFormat="1" applyFill="1" applyBorder="1" applyAlignment="1">
      <alignment vertical="center"/>
    </xf>
    <xf numFmtId="169" fontId="0" fillId="0" borderId="5" xfId="2" applyNumberFormat="1" applyFont="1" applyBorder="1" applyAlignment="1">
      <alignment vertical="center"/>
    </xf>
    <xf numFmtId="169" fontId="0" fillId="0" borderId="1" xfId="2" applyNumberFormat="1" applyFont="1" applyBorder="1" applyAlignment="1">
      <alignment horizontal="center" vertical="center"/>
    </xf>
    <xf numFmtId="169" fontId="0" fillId="9" borderId="38" xfId="0" applyNumberFormat="1" applyFill="1" applyBorder="1" applyAlignment="1">
      <alignment vertical="center"/>
    </xf>
    <xf numFmtId="169" fontId="0" fillId="9" borderId="5" xfId="0" applyNumberFormat="1" applyFill="1" applyBorder="1" applyAlignment="1">
      <alignment vertical="center"/>
    </xf>
    <xf numFmtId="10" fontId="0" fillId="0" borderId="0" xfId="0" applyNumberFormat="1" applyAlignment="1">
      <alignment vertical="center"/>
    </xf>
    <xf numFmtId="10" fontId="0" fillId="0" borderId="0" xfId="0" applyNumberFormat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0" fontId="19" fillId="14" borderId="1" xfId="0" applyFont="1" applyFill="1" applyBorder="1" applyAlignment="1">
      <alignment vertical="center"/>
    </xf>
    <xf numFmtId="167" fontId="0" fillId="15" borderId="1" xfId="0" applyNumberFormat="1" applyFill="1" applyBorder="1" applyAlignment="1">
      <alignment vertical="center"/>
    </xf>
    <xf numFmtId="167" fontId="0" fillId="15" borderId="1" xfId="1" applyNumberFormat="1" applyFont="1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 wrapText="1"/>
    </xf>
    <xf numFmtId="167" fontId="0" fillId="15" borderId="54" xfId="1" applyNumberFormat="1" applyFont="1" applyFill="1" applyBorder="1" applyAlignment="1">
      <alignment horizontal="center" vertical="center"/>
    </xf>
    <xf numFmtId="169" fontId="0" fillId="9" borderId="45" xfId="0" applyNumberFormat="1" applyFill="1" applyBorder="1" applyAlignment="1">
      <alignment vertical="center"/>
    </xf>
    <xf numFmtId="0" fontId="10" fillId="9" borderId="1" xfId="0" applyFont="1" applyFill="1" applyBorder="1" applyAlignment="1">
      <alignment horizontal="center" vertical="center" wrapText="1"/>
    </xf>
    <xf numFmtId="0" fontId="28" fillId="0" borderId="0" xfId="32" applyFont="1"/>
    <xf numFmtId="0" fontId="27" fillId="0" borderId="0" xfId="32" applyFont="1"/>
    <xf numFmtId="0" fontId="1" fillId="0" borderId="0" xfId="32"/>
    <xf numFmtId="0" fontId="13" fillId="0" borderId="1" xfId="0" applyFont="1" applyBorder="1" applyAlignment="1">
      <alignment horizontal="center" vertical="center" wrapText="1"/>
    </xf>
    <xf numFmtId="168" fontId="13" fillId="0" borderId="1" xfId="0" applyNumberFormat="1" applyFont="1" applyBorder="1" applyAlignment="1">
      <alignment horizontal="center" vertical="center" wrapText="1"/>
    </xf>
    <xf numFmtId="20" fontId="13" fillId="0" borderId="1" xfId="0" applyNumberFormat="1" applyFont="1" applyFill="1" applyBorder="1" applyAlignment="1">
      <alignment horizontal="center" vertical="center" wrapText="1"/>
    </xf>
    <xf numFmtId="20" fontId="13" fillId="0" borderId="1" xfId="0" applyNumberFormat="1" applyFont="1" applyBorder="1" applyAlignment="1">
      <alignment horizontal="center" vertical="center" wrapText="1"/>
    </xf>
    <xf numFmtId="10" fontId="0" fillId="0" borderId="0" xfId="2" applyNumberFormat="1" applyFont="1" applyAlignment="1">
      <alignment vertical="center"/>
    </xf>
    <xf numFmtId="10" fontId="0" fillId="0" borderId="0" xfId="2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167" fontId="0" fillId="9" borderId="0" xfId="0" applyNumberFormat="1" applyFill="1" applyBorder="1" applyAlignment="1">
      <alignment vertical="center"/>
    </xf>
    <xf numFmtId="169" fontId="0" fillId="9" borderId="0" xfId="0" applyNumberFormat="1" applyFill="1" applyBorder="1" applyAlignment="1">
      <alignment vertical="center"/>
    </xf>
    <xf numFmtId="43" fontId="0" fillId="9" borderId="0" xfId="0" applyNumberFormat="1" applyFill="1" applyBorder="1" applyAlignment="1">
      <alignment vertical="center"/>
    </xf>
    <xf numFmtId="167" fontId="0" fillId="0" borderId="0" xfId="1" applyNumberFormat="1" applyFont="1" applyBorder="1" applyAlignment="1">
      <alignment vertical="center"/>
    </xf>
    <xf numFmtId="169" fontId="0" fillId="0" borderId="0" xfId="2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17" fillId="6" borderId="19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24" fillId="8" borderId="19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26" fillId="16" borderId="19" xfId="0" applyFont="1" applyFill="1" applyBorder="1" applyAlignment="1">
      <alignment horizontal="center" vertical="center"/>
    </xf>
    <xf numFmtId="0" fontId="26" fillId="16" borderId="20" xfId="0" applyFont="1" applyFill="1" applyBorder="1" applyAlignment="1">
      <alignment horizontal="center" vertical="center"/>
    </xf>
    <xf numFmtId="0" fontId="26" fillId="16" borderId="21" xfId="0" applyFont="1" applyFill="1" applyBorder="1" applyAlignment="1">
      <alignment horizontal="center" vertical="center"/>
    </xf>
    <xf numFmtId="0" fontId="24" fillId="17" borderId="19" xfId="0" applyFont="1" applyFill="1" applyBorder="1" applyAlignment="1">
      <alignment horizontal="center" vertical="center"/>
    </xf>
    <xf numFmtId="0" fontId="24" fillId="17" borderId="20" xfId="0" applyFont="1" applyFill="1" applyBorder="1" applyAlignment="1">
      <alignment horizontal="center" vertical="center"/>
    </xf>
    <xf numFmtId="0" fontId="26" fillId="18" borderId="43" xfId="0" applyFont="1" applyFill="1" applyBorder="1" applyAlignment="1">
      <alignment horizontal="center" vertical="center"/>
    </xf>
    <xf numFmtId="0" fontId="26" fillId="18" borderId="44" xfId="0" applyFont="1" applyFill="1" applyBorder="1" applyAlignment="1">
      <alignment horizontal="center" vertical="center"/>
    </xf>
    <xf numFmtId="0" fontId="24" fillId="18" borderId="19" xfId="0" applyFont="1" applyFill="1" applyBorder="1" applyAlignment="1">
      <alignment horizontal="center" vertical="center"/>
    </xf>
    <xf numFmtId="0" fontId="24" fillId="18" borderId="20" xfId="0" applyFont="1" applyFill="1" applyBorder="1" applyAlignment="1">
      <alignment horizontal="center" vertical="center"/>
    </xf>
    <xf numFmtId="0" fontId="26" fillId="16" borderId="43" xfId="0" applyFont="1" applyFill="1" applyBorder="1" applyAlignment="1">
      <alignment horizontal="center" vertical="center"/>
    </xf>
    <xf numFmtId="0" fontId="26" fillId="16" borderId="44" xfId="0" applyFont="1" applyFill="1" applyBorder="1" applyAlignment="1">
      <alignment horizontal="center" vertical="center"/>
    </xf>
    <xf numFmtId="0" fontId="26" fillId="16" borderId="45" xfId="0" applyFont="1" applyFill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17" fillId="6" borderId="44" xfId="0" applyFont="1" applyFill="1" applyBorder="1" applyAlignment="1">
      <alignment horizontal="center" vertical="center"/>
    </xf>
    <xf numFmtId="0" fontId="17" fillId="6" borderId="45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5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5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/>
    </xf>
    <xf numFmtId="0" fontId="13" fillId="0" borderId="54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167" fontId="10" fillId="8" borderId="6" xfId="1" applyNumberFormat="1" applyFont="1" applyFill="1" applyBorder="1" applyAlignment="1">
      <alignment horizontal="center" vertical="center"/>
    </xf>
    <xf numFmtId="167" fontId="10" fillId="8" borderId="10" xfId="1" applyNumberFormat="1" applyFont="1" applyFill="1" applyBorder="1" applyAlignment="1">
      <alignment horizontal="center" vertical="center"/>
    </xf>
    <xf numFmtId="167" fontId="10" fillId="3" borderId="28" xfId="1" applyNumberFormat="1" applyFont="1" applyFill="1" applyBorder="1" applyAlignment="1">
      <alignment horizontal="center" vertical="center"/>
    </xf>
    <xf numFmtId="167" fontId="10" fillId="3" borderId="18" xfId="1" applyNumberFormat="1" applyFont="1" applyFill="1" applyBorder="1" applyAlignment="1">
      <alignment horizontal="center" vertical="center"/>
    </xf>
    <xf numFmtId="167" fontId="10" fillId="3" borderId="25" xfId="1" applyNumberFormat="1" applyFont="1" applyFill="1" applyBorder="1" applyAlignment="1">
      <alignment horizontal="center" vertical="center"/>
    </xf>
    <xf numFmtId="167" fontId="10" fillId="4" borderId="41" xfId="1" applyNumberFormat="1" applyFont="1" applyFill="1" applyBorder="1" applyAlignment="1">
      <alignment horizontal="center" vertical="center" wrapText="1"/>
    </xf>
    <xf numFmtId="167" fontId="10" fillId="4" borderId="42" xfId="1" applyNumberFormat="1" applyFont="1" applyFill="1" applyBorder="1" applyAlignment="1">
      <alignment horizontal="center" vertical="center"/>
    </xf>
    <xf numFmtId="167" fontId="10" fillId="4" borderId="39" xfId="1" applyNumberFormat="1" applyFont="1" applyFill="1" applyBorder="1" applyAlignment="1">
      <alignment horizontal="center" vertical="center" wrapText="1"/>
    </xf>
    <xf numFmtId="167" fontId="10" fillId="4" borderId="31" xfId="1" applyNumberFormat="1" applyFont="1" applyFill="1" applyBorder="1" applyAlignment="1">
      <alignment horizontal="center" vertical="center" wrapText="1"/>
    </xf>
    <xf numFmtId="167" fontId="10" fillId="4" borderId="40" xfId="1" applyNumberFormat="1" applyFont="1" applyFill="1" applyBorder="1" applyAlignment="1">
      <alignment horizontal="center" vertical="center" wrapText="1"/>
    </xf>
    <xf numFmtId="167" fontId="10" fillId="4" borderId="38" xfId="1" applyNumberFormat="1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43" fontId="13" fillId="3" borderId="8" xfId="1" applyNumberFormat="1" applyFont="1" applyFill="1" applyBorder="1" applyAlignment="1">
      <alignment horizontal="center" vertical="center"/>
    </xf>
    <xf numFmtId="43" fontId="13" fillId="3" borderId="25" xfId="1" applyNumberFormat="1" applyFont="1" applyFill="1" applyBorder="1" applyAlignment="1">
      <alignment horizontal="center" vertical="center"/>
    </xf>
    <xf numFmtId="43" fontId="13" fillId="4" borderId="22" xfId="0" applyNumberFormat="1" applyFont="1" applyFill="1" applyBorder="1" applyAlignment="1">
      <alignment horizontal="center" vertical="center"/>
    </xf>
    <xf numFmtId="43" fontId="13" fillId="4" borderId="23" xfId="0" applyNumberFormat="1" applyFont="1" applyFill="1" applyBorder="1" applyAlignment="1">
      <alignment horizontal="center" vertical="center"/>
    </xf>
    <xf numFmtId="43" fontId="13" fillId="4" borderId="24" xfId="0" applyNumberFormat="1" applyFont="1" applyFill="1" applyBorder="1" applyAlignment="1">
      <alignment horizontal="center" vertical="center"/>
    </xf>
    <xf numFmtId="0" fontId="25" fillId="14" borderId="58" xfId="22" applyFont="1" applyFill="1" applyBorder="1" applyAlignment="1">
      <alignment horizontal="center" vertical="center"/>
    </xf>
    <xf numFmtId="0" fontId="25" fillId="14" borderId="59" xfId="22" applyFont="1" applyFill="1" applyBorder="1" applyAlignment="1">
      <alignment horizontal="center" vertical="center"/>
    </xf>
    <xf numFmtId="0" fontId="25" fillId="14" borderId="60" xfId="22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43" fontId="13" fillId="8" borderId="8" xfId="1" applyNumberFormat="1" applyFont="1" applyFill="1" applyBorder="1" applyAlignment="1">
      <alignment horizontal="center" vertical="center"/>
    </xf>
    <xf numFmtId="43" fontId="13" fillId="8" borderId="25" xfId="1" applyNumberFormat="1" applyFont="1" applyFill="1" applyBorder="1" applyAlignment="1">
      <alignment horizontal="center" vertical="center"/>
    </xf>
    <xf numFmtId="43" fontId="13" fillId="4" borderId="41" xfId="0" applyNumberFormat="1" applyFont="1" applyFill="1" applyBorder="1" applyAlignment="1">
      <alignment horizontal="center" vertical="center"/>
    </xf>
    <xf numFmtId="43" fontId="13" fillId="4" borderId="55" xfId="0" applyNumberFormat="1" applyFont="1" applyFill="1" applyBorder="1" applyAlignment="1">
      <alignment horizontal="center" vertical="center"/>
    </xf>
    <xf numFmtId="43" fontId="13" fillId="4" borderId="42" xfId="0" applyNumberFormat="1" applyFont="1" applyFill="1" applyBorder="1" applyAlignment="1">
      <alignment horizontal="center" vertical="center"/>
    </xf>
    <xf numFmtId="43" fontId="13" fillId="8" borderId="2" xfId="1" applyNumberFormat="1" applyFont="1" applyFill="1" applyBorder="1" applyAlignment="1">
      <alignment horizontal="center" vertical="center"/>
    </xf>
    <xf numFmtId="43" fontId="13" fillId="8" borderId="26" xfId="1" applyNumberFormat="1" applyFont="1" applyFill="1" applyBorder="1" applyAlignment="1">
      <alignment horizontal="center" vertical="center"/>
    </xf>
    <xf numFmtId="43" fontId="13" fillId="8" borderId="15" xfId="1" applyNumberFormat="1" applyFont="1" applyFill="1" applyBorder="1" applyAlignment="1">
      <alignment horizontal="center" vertical="center"/>
    </xf>
    <xf numFmtId="43" fontId="13" fillId="8" borderId="27" xfId="1" applyNumberFormat="1" applyFont="1" applyFill="1" applyBorder="1" applyAlignment="1">
      <alignment horizontal="center" vertical="center"/>
    </xf>
    <xf numFmtId="43" fontId="13" fillId="7" borderId="8" xfId="1" applyNumberFormat="1" applyFont="1" applyFill="1" applyBorder="1" applyAlignment="1">
      <alignment horizontal="center" vertical="center"/>
    </xf>
    <xf numFmtId="43" fontId="13" fillId="7" borderId="25" xfId="1" applyNumberFormat="1" applyFont="1" applyFill="1" applyBorder="1" applyAlignment="1">
      <alignment horizontal="center" vertical="center"/>
    </xf>
    <xf numFmtId="43" fontId="13" fillId="7" borderId="2" xfId="1" applyNumberFormat="1" applyFont="1" applyFill="1" applyBorder="1" applyAlignment="1">
      <alignment horizontal="center" vertical="center"/>
    </xf>
    <xf numFmtId="43" fontId="13" fillId="7" borderId="26" xfId="1" applyNumberFormat="1" applyFont="1" applyFill="1" applyBorder="1" applyAlignment="1">
      <alignment horizontal="center" vertical="center"/>
    </xf>
    <xf numFmtId="43" fontId="13" fillId="7" borderId="15" xfId="1" applyNumberFormat="1" applyFont="1" applyFill="1" applyBorder="1" applyAlignment="1">
      <alignment horizontal="center" vertical="center"/>
    </xf>
    <xf numFmtId="43" fontId="13" fillId="7" borderId="27" xfId="1" applyNumberFormat="1" applyFont="1" applyFill="1" applyBorder="1" applyAlignment="1">
      <alignment horizontal="center" vertical="center"/>
    </xf>
    <xf numFmtId="43" fontId="13" fillId="3" borderId="2" xfId="1" applyNumberFormat="1" applyFont="1" applyFill="1" applyBorder="1" applyAlignment="1">
      <alignment horizontal="center" vertical="center"/>
    </xf>
    <xf numFmtId="43" fontId="13" fillId="3" borderId="26" xfId="1" applyNumberFormat="1" applyFont="1" applyFill="1" applyBorder="1" applyAlignment="1">
      <alignment horizontal="center" vertical="center"/>
    </xf>
    <xf numFmtId="167" fontId="8" fillId="4" borderId="1" xfId="1" applyNumberFormat="1" applyFont="1" applyFill="1" applyBorder="1" applyAlignment="1">
      <alignment horizontal="center" vertical="center"/>
    </xf>
    <xf numFmtId="43" fontId="13" fillId="3" borderId="15" xfId="1" applyNumberFormat="1" applyFont="1" applyFill="1" applyBorder="1" applyAlignment="1">
      <alignment horizontal="center" vertical="center"/>
    </xf>
    <xf numFmtId="43" fontId="13" fillId="3" borderId="27" xfId="1" applyNumberFormat="1" applyFont="1" applyFill="1" applyBorder="1" applyAlignment="1">
      <alignment horizontal="center" vertical="center"/>
    </xf>
    <xf numFmtId="167" fontId="13" fillId="3" borderId="29" xfId="1" applyNumberFormat="1" applyFont="1" applyFill="1" applyBorder="1" applyAlignment="1">
      <alignment horizontal="center" vertical="center"/>
    </xf>
    <xf numFmtId="167" fontId="13" fillId="3" borderId="3" xfId="1" applyNumberFormat="1" applyFont="1" applyFill="1" applyBorder="1" applyAlignment="1">
      <alignment horizontal="center" vertical="center"/>
    </xf>
    <xf numFmtId="43" fontId="13" fillId="4" borderId="32" xfId="1" applyNumberFormat="1" applyFont="1" applyFill="1" applyBorder="1" applyAlignment="1">
      <alignment horizontal="center"/>
    </xf>
    <xf numFmtId="43" fontId="13" fillId="4" borderId="34" xfId="1" applyNumberFormat="1" applyFont="1" applyFill="1" applyBorder="1" applyAlignment="1">
      <alignment horizontal="center"/>
    </xf>
    <xf numFmtId="167" fontId="13" fillId="3" borderId="35" xfId="1" applyNumberFormat="1" applyFont="1" applyFill="1" applyBorder="1" applyAlignment="1">
      <alignment horizontal="center" vertical="center"/>
    </xf>
    <xf numFmtId="167" fontId="13" fillId="3" borderId="4" xfId="1" applyNumberFormat="1" applyFont="1" applyFill="1" applyBorder="1" applyAlignment="1">
      <alignment horizontal="center" vertical="center"/>
    </xf>
    <xf numFmtId="43" fontId="13" fillId="4" borderId="6" xfId="1" applyNumberFormat="1" applyFont="1" applyFill="1" applyBorder="1" applyAlignment="1">
      <alignment horizontal="center"/>
    </xf>
    <xf numFmtId="43" fontId="13" fillId="4" borderId="10" xfId="1" applyNumberFormat="1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43" fontId="8" fillId="4" borderId="1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167" fontId="13" fillId="4" borderId="39" xfId="1" applyNumberFormat="1" applyFont="1" applyFill="1" applyBorder="1" applyAlignment="1">
      <alignment horizontal="center" vertical="center"/>
    </xf>
    <xf numFmtId="2" fontId="0" fillId="4" borderId="52" xfId="0" applyNumberFormat="1" applyFill="1" applyBorder="1" applyAlignment="1">
      <alignment horizontal="center" vertical="center"/>
    </xf>
    <xf numFmtId="2" fontId="0" fillId="4" borderId="44" xfId="0" applyNumberFormat="1" applyFill="1" applyBorder="1" applyAlignment="1">
      <alignment horizontal="center" vertical="center"/>
    </xf>
    <xf numFmtId="2" fontId="0" fillId="4" borderId="45" xfId="0" applyNumberForma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2" fontId="13" fillId="4" borderId="52" xfId="0" applyNumberFormat="1" applyFont="1" applyFill="1" applyBorder="1" applyAlignment="1">
      <alignment horizontal="center" vertical="center"/>
    </xf>
    <xf numFmtId="2" fontId="13" fillId="4" borderId="45" xfId="0" applyNumberFormat="1" applyFont="1" applyFill="1" applyBorder="1" applyAlignment="1">
      <alignment horizontal="center" vertical="center"/>
    </xf>
    <xf numFmtId="167" fontId="13" fillId="4" borderId="8" xfId="1" applyNumberFormat="1" applyFont="1" applyFill="1" applyBorder="1" applyAlignment="1">
      <alignment horizontal="center"/>
    </xf>
    <xf numFmtId="167" fontId="13" fillId="4" borderId="9" xfId="1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9" fontId="13" fillId="3" borderId="15" xfId="2" applyFont="1" applyFill="1" applyBorder="1" applyAlignment="1">
      <alignment horizontal="center"/>
    </xf>
    <xf numFmtId="9" fontId="13" fillId="3" borderId="16" xfId="2" applyFont="1" applyFill="1" applyBorder="1" applyAlignment="1">
      <alignment horizontal="center"/>
    </xf>
    <xf numFmtId="167" fontId="13" fillId="4" borderId="37" xfId="1" applyNumberFormat="1" applyFont="1" applyFill="1" applyBorder="1" applyAlignment="1">
      <alignment horizontal="center"/>
    </xf>
    <xf numFmtId="167" fontId="13" fillId="4" borderId="51" xfId="1" applyNumberFormat="1" applyFont="1" applyFill="1" applyBorder="1" applyAlignment="1">
      <alignment horizontal="center"/>
    </xf>
    <xf numFmtId="0" fontId="11" fillId="6" borderId="43" xfId="0" applyFont="1" applyFill="1" applyBorder="1" applyAlignment="1">
      <alignment horizontal="center" vertical="center"/>
    </xf>
    <xf numFmtId="0" fontId="11" fillId="6" borderId="44" xfId="0" applyFont="1" applyFill="1" applyBorder="1" applyAlignment="1">
      <alignment horizontal="center" vertical="center"/>
    </xf>
    <xf numFmtId="0" fontId="11" fillId="6" borderId="45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5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54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top"/>
    </xf>
    <xf numFmtId="0" fontId="10" fillId="10" borderId="3" xfId="0" applyFont="1" applyFill="1" applyBorder="1" applyAlignment="1">
      <alignment horizontal="center" vertical="top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/>
    </xf>
    <xf numFmtId="0" fontId="10" fillId="10" borderId="54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54" xfId="0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/>
    </xf>
    <xf numFmtId="1" fontId="10" fillId="2" borderId="3" xfId="0" applyNumberFormat="1" applyFont="1" applyFill="1" applyBorder="1" applyAlignment="1">
      <alignment horizontal="center"/>
    </xf>
    <xf numFmtId="9" fontId="13" fillId="3" borderId="15" xfId="2" quotePrefix="1" applyFont="1" applyFill="1" applyBorder="1" applyAlignment="1">
      <alignment horizontal="center"/>
    </xf>
    <xf numFmtId="9" fontId="13" fillId="3" borderId="16" xfId="2" quotePrefix="1" applyFont="1" applyFill="1" applyBorder="1" applyAlignment="1">
      <alignment horizontal="center"/>
    </xf>
    <xf numFmtId="167" fontId="13" fillId="3" borderId="30" xfId="1" applyNumberFormat="1" applyFont="1" applyFill="1" applyBorder="1" applyAlignment="1">
      <alignment horizontal="center" vertical="center"/>
    </xf>
    <xf numFmtId="167" fontId="13" fillId="3" borderId="16" xfId="1" applyNumberFormat="1" applyFont="1" applyFill="1" applyBorder="1" applyAlignment="1">
      <alignment horizontal="center" vertical="center"/>
    </xf>
    <xf numFmtId="43" fontId="13" fillId="4" borderId="36" xfId="1" applyNumberFormat="1" applyFont="1" applyFill="1" applyBorder="1" applyAlignment="1">
      <alignment horizontal="center"/>
    </xf>
    <xf numFmtId="43" fontId="13" fillId="4" borderId="47" xfId="1" applyNumberFormat="1" applyFont="1" applyFill="1" applyBorder="1" applyAlignment="1">
      <alignment horizontal="center"/>
    </xf>
    <xf numFmtId="43" fontId="13" fillId="4" borderId="0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</cellXfs>
  <cellStyles count="33">
    <cellStyle name="Comma" xfId="1" builtinId="3"/>
    <cellStyle name="Comma 10" xfId="31" xr:uid="{00000000-0005-0000-0000-000001000000}"/>
    <cellStyle name="Comma 2" xfId="13" xr:uid="{00000000-0005-0000-0000-000002000000}"/>
    <cellStyle name="Comma 2 2" xfId="14" xr:uid="{00000000-0005-0000-0000-000003000000}"/>
    <cellStyle name="Comma 3" xfId="3" xr:uid="{00000000-0005-0000-0000-000004000000}"/>
    <cellStyle name="Comma 3 2" xfId="11" xr:uid="{00000000-0005-0000-0000-000005000000}"/>
    <cellStyle name="Comma 3 3" xfId="8" xr:uid="{00000000-0005-0000-0000-000006000000}"/>
    <cellStyle name="Comma 4" xfId="19" xr:uid="{00000000-0005-0000-0000-000007000000}"/>
    <cellStyle name="Comma 5" xfId="20" xr:uid="{00000000-0005-0000-0000-000008000000}"/>
    <cellStyle name="Comma 5 2" xfId="25" xr:uid="{00000000-0005-0000-0000-000009000000}"/>
    <cellStyle name="Comma 5 3" xfId="29" xr:uid="{00000000-0005-0000-0000-00000A000000}"/>
    <cellStyle name="Comma 6" xfId="21" xr:uid="{00000000-0005-0000-0000-00000B000000}"/>
    <cellStyle name="Comma 6 2" xfId="26" xr:uid="{00000000-0005-0000-0000-00000C000000}"/>
    <cellStyle name="Comma 6 3" xfId="30" xr:uid="{00000000-0005-0000-0000-00000D000000}"/>
    <cellStyle name="Comma 7" xfId="6" xr:uid="{00000000-0005-0000-0000-00000E000000}"/>
    <cellStyle name="Comma 8" xfId="23" xr:uid="{00000000-0005-0000-0000-00000F000000}"/>
    <cellStyle name="Comma 9" xfId="27" xr:uid="{00000000-0005-0000-0000-000010000000}"/>
    <cellStyle name="Hyperlink" xfId="22" builtinId="8"/>
    <cellStyle name="Normal" xfId="0" builtinId="0"/>
    <cellStyle name="Normal 2" xfId="4" xr:uid="{00000000-0005-0000-0000-000013000000}"/>
    <cellStyle name="Normal 2 2" xfId="15" xr:uid="{00000000-0005-0000-0000-000014000000}"/>
    <cellStyle name="Normal 2 3" xfId="12" xr:uid="{00000000-0005-0000-0000-000015000000}"/>
    <cellStyle name="Normal 2 4" xfId="7" xr:uid="{00000000-0005-0000-0000-000016000000}"/>
    <cellStyle name="Normal 2 4 2" xfId="24" xr:uid="{00000000-0005-0000-0000-000017000000}"/>
    <cellStyle name="Normal 2 4 3" xfId="28" xr:uid="{00000000-0005-0000-0000-000018000000}"/>
    <cellStyle name="Normal 3" xfId="9" xr:uid="{00000000-0005-0000-0000-000019000000}"/>
    <cellStyle name="Normal 4" xfId="5" xr:uid="{00000000-0005-0000-0000-00001A000000}"/>
    <cellStyle name="Normal 5" xfId="32" xr:uid="{F28E9AE0-604B-4B0A-936D-E7669B8D6C12}"/>
    <cellStyle name="Percent" xfId="2" builtinId="5"/>
    <cellStyle name="Percent 2" xfId="16" xr:uid="{00000000-0005-0000-0000-00001C000000}"/>
    <cellStyle name="Percent 2 2" xfId="17" xr:uid="{00000000-0005-0000-0000-00001D000000}"/>
    <cellStyle name="Percent 3" xfId="18" xr:uid="{00000000-0005-0000-0000-00001E000000}"/>
    <cellStyle name="Percent 4" xfId="10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Summary!$W$9:$W$39</c:f>
              <c:numCache>
                <c:formatCode>_-* #,##0_-;\-* #,##0_-;_-* "-"??_-;_-@_-</c:formatCode>
                <c:ptCount val="31"/>
                <c:pt idx="0">
                  <c:v>1780.82</c:v>
                </c:pt>
                <c:pt idx="1">
                  <c:v>1580.6</c:v>
                </c:pt>
                <c:pt idx="2">
                  <c:v>1700.5500000000002</c:v>
                </c:pt>
                <c:pt idx="3">
                  <c:v>1760.49</c:v>
                </c:pt>
                <c:pt idx="4">
                  <c:v>1700.8200000000002</c:v>
                </c:pt>
                <c:pt idx="5">
                  <c:v>1600.6</c:v>
                </c:pt>
                <c:pt idx="6">
                  <c:v>1130.5500000000002</c:v>
                </c:pt>
                <c:pt idx="7">
                  <c:v>1770.49</c:v>
                </c:pt>
                <c:pt idx="8">
                  <c:v>1550.8200000000002</c:v>
                </c:pt>
                <c:pt idx="9">
                  <c:v>1700.6</c:v>
                </c:pt>
                <c:pt idx="10">
                  <c:v>1650.55</c:v>
                </c:pt>
                <c:pt idx="11">
                  <c:v>1720.49</c:v>
                </c:pt>
                <c:pt idx="12">
                  <c:v>1750.82</c:v>
                </c:pt>
                <c:pt idx="13">
                  <c:v>120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7-4F0E-8717-C1471AED2941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Summary!$Y$9:$Y$39</c:f>
              <c:numCache>
                <c:formatCode>_-* #,##0_-;\-* #,##0_-;_-* "-"??_-;_-@_-</c:formatCode>
                <c:ptCount val="31"/>
                <c:pt idx="0">
                  <c:v>1780.82</c:v>
                </c:pt>
                <c:pt idx="1">
                  <c:v>1580.6</c:v>
                </c:pt>
                <c:pt idx="2">
                  <c:v>1700.5500000000002</c:v>
                </c:pt>
                <c:pt idx="3">
                  <c:v>1760.49</c:v>
                </c:pt>
                <c:pt idx="4">
                  <c:v>1700.8200000000002</c:v>
                </c:pt>
                <c:pt idx="5">
                  <c:v>1600.6</c:v>
                </c:pt>
                <c:pt idx="6">
                  <c:v>1130.5500000000002</c:v>
                </c:pt>
                <c:pt idx="7">
                  <c:v>1770.49</c:v>
                </c:pt>
                <c:pt idx="8">
                  <c:v>1550.8200000000002</c:v>
                </c:pt>
                <c:pt idx="9">
                  <c:v>1700.6</c:v>
                </c:pt>
                <c:pt idx="10">
                  <c:v>1650.55</c:v>
                </c:pt>
                <c:pt idx="11">
                  <c:v>1720.49</c:v>
                </c:pt>
                <c:pt idx="12">
                  <c:v>1750.82</c:v>
                </c:pt>
                <c:pt idx="13">
                  <c:v>120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7-4F0E-8717-C1471AED2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4572032"/>
        <c:axId val="10457356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Summary!$X$9:$X$39</c:f>
              <c:numCache>
                <c:formatCode>_-* #,##0_-;\-* #,##0_-;_-* "-"??_-;_-@_-</c:formatCode>
                <c:ptCount val="31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7-4F0E-8717-C1471AED2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572032"/>
        <c:axId val="104573568"/>
      </c:lineChart>
      <c:catAx>
        <c:axId val="1045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573568"/>
        <c:crosses val="autoZero"/>
        <c:auto val="1"/>
        <c:lblAlgn val="ctr"/>
        <c:lblOffset val="100"/>
        <c:noMultiLvlLbl val="0"/>
      </c:catAx>
      <c:valAx>
        <c:axId val="10457356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457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Summary!$V$46:$V$50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Summary!$W$46:$W$50</c:f>
              <c:numCache>
                <c:formatCode>_-* #,##0_-;\-* #,##0_-;_-* "-"??_-;_-@_-</c:formatCode>
                <c:ptCount val="5"/>
                <c:pt idx="0">
                  <c:v>11244.1</c:v>
                </c:pt>
                <c:pt idx="1">
                  <c:v>8493.2800000000007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1-46CD-BA80-5CC7579C80C4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Summary!$V$46:$V$50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Summary!$Y$46:$Y$50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8493.2800000000007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1-46CD-BA80-5CC7579C80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141184"/>
        <c:axId val="106142720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Summary!$X$46:$X$50</c:f>
              <c:numCache>
                <c:formatCode>_-* #,##0_-;\-* #,##0_-;_-* "-"??_-;_-@_-</c:formatCode>
                <c:ptCount val="5"/>
                <c:pt idx="0">
                  <c:v>5400</c:v>
                </c:pt>
                <c:pt idx="1">
                  <c:v>12600</c:v>
                </c:pt>
                <c:pt idx="2">
                  <c:v>12600</c:v>
                </c:pt>
                <c:pt idx="3">
                  <c:v>12600</c:v>
                </c:pt>
                <c:pt idx="4">
                  <c:v>10800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1-46CD-BA80-5CC7579C80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141184"/>
        <c:axId val="106142720"/>
      </c:lineChart>
      <c:catAx>
        <c:axId val="10614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42720"/>
        <c:crosses val="autoZero"/>
        <c:auto val="1"/>
        <c:lblAlgn val="ctr"/>
        <c:lblOffset val="100"/>
        <c:noMultiLvlLbl val="0"/>
      </c:catAx>
      <c:valAx>
        <c:axId val="10614272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1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Summary!$Z$8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Summary!$Z$9:$Z$39</c:f>
              <c:numCache>
                <c:formatCode>_-* #,##0_-;\-* #,##0_-;_-* "-"??_-;_-@_-</c:formatCode>
                <c:ptCount val="31"/>
                <c:pt idx="0">
                  <c:v>1807.63</c:v>
                </c:pt>
                <c:pt idx="1">
                  <c:v>1542.88</c:v>
                </c:pt>
                <c:pt idx="2">
                  <c:v>1416.35</c:v>
                </c:pt>
                <c:pt idx="3">
                  <c:v>1717.64</c:v>
                </c:pt>
                <c:pt idx="4">
                  <c:v>1433.83</c:v>
                </c:pt>
                <c:pt idx="5">
                  <c:v>1576.066</c:v>
                </c:pt>
                <c:pt idx="6">
                  <c:v>1395.4389999999999</c:v>
                </c:pt>
                <c:pt idx="7">
                  <c:v>1254.46</c:v>
                </c:pt>
                <c:pt idx="8">
                  <c:v>1528.52</c:v>
                </c:pt>
                <c:pt idx="9">
                  <c:v>1465.0400000000002</c:v>
                </c:pt>
                <c:pt idx="10">
                  <c:v>1767.01</c:v>
                </c:pt>
                <c:pt idx="11">
                  <c:v>1788.4199999999998</c:v>
                </c:pt>
                <c:pt idx="12">
                  <c:v>1702.9099999999999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E-4C33-BC62-6F71D8F4628F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Summary!$AB$9:$AB$39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1542.88</c:v>
                </c:pt>
                <c:pt idx="2">
                  <c:v>1416.35</c:v>
                </c:pt>
                <c:pt idx="3">
                  <c:v>1717.64</c:v>
                </c:pt>
                <c:pt idx="4">
                  <c:v>1433.83</c:v>
                </c:pt>
                <c:pt idx="5">
                  <c:v>1576.066</c:v>
                </c:pt>
                <c:pt idx="6">
                  <c:v>1395.4389999999999</c:v>
                </c:pt>
                <c:pt idx="7">
                  <c:v>1254.46</c:v>
                </c:pt>
                <c:pt idx="8">
                  <c:v>1528.52</c:v>
                </c:pt>
                <c:pt idx="9">
                  <c:v>1465.0400000000002</c:v>
                </c:pt>
                <c:pt idx="10">
                  <c:v>0</c:v>
                </c:pt>
                <c:pt idx="11">
                  <c:v>0</c:v>
                </c:pt>
                <c:pt idx="12">
                  <c:v>1702.9099999999999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E-4C33-BC62-6F71D8F46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190720"/>
        <c:axId val="106192256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Summary!$AA$9:$AA$39</c:f>
              <c:numCache>
                <c:formatCode>_-* #,##0_-;\-* #,##0_-;_-* "-"??_-;_-@_-</c:formatCode>
                <c:ptCount val="31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  <c:pt idx="7">
                  <c:v>1737</c:v>
                </c:pt>
                <c:pt idx="8">
                  <c:v>1737</c:v>
                </c:pt>
                <c:pt idx="9">
                  <c:v>1737</c:v>
                </c:pt>
                <c:pt idx="10">
                  <c:v>1737</c:v>
                </c:pt>
                <c:pt idx="11">
                  <c:v>1737</c:v>
                </c:pt>
                <c:pt idx="12">
                  <c:v>1737</c:v>
                </c:pt>
                <c:pt idx="13">
                  <c:v>1737</c:v>
                </c:pt>
                <c:pt idx="14">
                  <c:v>1737</c:v>
                </c:pt>
                <c:pt idx="15">
                  <c:v>1737</c:v>
                </c:pt>
                <c:pt idx="16">
                  <c:v>1737</c:v>
                </c:pt>
                <c:pt idx="17">
                  <c:v>1737</c:v>
                </c:pt>
                <c:pt idx="18">
                  <c:v>1737</c:v>
                </c:pt>
                <c:pt idx="19">
                  <c:v>1737</c:v>
                </c:pt>
                <c:pt idx="20">
                  <c:v>1737</c:v>
                </c:pt>
                <c:pt idx="21">
                  <c:v>1737</c:v>
                </c:pt>
                <c:pt idx="22">
                  <c:v>1737</c:v>
                </c:pt>
                <c:pt idx="23">
                  <c:v>1737</c:v>
                </c:pt>
                <c:pt idx="24">
                  <c:v>1737</c:v>
                </c:pt>
                <c:pt idx="25">
                  <c:v>1737</c:v>
                </c:pt>
                <c:pt idx="26">
                  <c:v>1737</c:v>
                </c:pt>
                <c:pt idx="27">
                  <c:v>1737</c:v>
                </c:pt>
                <c:pt idx="28">
                  <c:v>1737</c:v>
                </c:pt>
                <c:pt idx="29">
                  <c:v>1737</c:v>
                </c:pt>
                <c:pt idx="30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E-4C33-BC62-6F71D8F46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190720"/>
        <c:axId val="106192256"/>
      </c:lineChart>
      <c:catAx>
        <c:axId val="10619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92256"/>
        <c:crosses val="autoZero"/>
        <c:auto val="1"/>
        <c:lblAlgn val="ctr"/>
        <c:lblOffset val="100"/>
        <c:noMultiLvlLbl val="0"/>
      </c:catAx>
      <c:valAx>
        <c:axId val="106192256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19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Summary!$Z$45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Summary!$V$46:$V$50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Summary!$Z$46:$Z$50</c:f>
              <c:numCache>
                <c:formatCode>_-* #,##0_-;\-* #,##0_-;_-* "-"??_-;_-@_-</c:formatCode>
                <c:ptCount val="5"/>
                <c:pt idx="0">
                  <c:v>10336.665000000001</c:v>
                </c:pt>
                <c:pt idx="1">
                  <c:v>8251.9000000000015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A-4597-B413-F79C7C5F8331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Summary!$V$46:$V$50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Summary!$AB$46:$AB$50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8251.9000000000015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A-4597-B413-F79C7C5F8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252544"/>
        <c:axId val="10626252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Summary!$AA$46:$AA$50</c:f>
              <c:numCache>
                <c:formatCode>_-* #,##0_-;\-* #,##0_-;_-* "-"??_-;_-@_-</c:formatCode>
                <c:ptCount val="5"/>
                <c:pt idx="0">
                  <c:v>5211</c:v>
                </c:pt>
                <c:pt idx="1">
                  <c:v>12159</c:v>
                </c:pt>
                <c:pt idx="2">
                  <c:v>12159</c:v>
                </c:pt>
                <c:pt idx="3">
                  <c:v>12159</c:v>
                </c:pt>
                <c:pt idx="4">
                  <c:v>10422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3A-4597-B413-F79C7C5F8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252544"/>
        <c:axId val="106262528"/>
      </c:lineChart>
      <c:catAx>
        <c:axId val="10625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262528"/>
        <c:crosses val="autoZero"/>
        <c:auto val="1"/>
        <c:lblAlgn val="ctr"/>
        <c:lblOffset val="100"/>
        <c:noMultiLvlLbl val="0"/>
      </c:catAx>
      <c:valAx>
        <c:axId val="10626252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25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Final Yield%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Summary!$AC$45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Summary!$V$46:$V$50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Summary!$AC$46:$AC$50</c:f>
              <c:numCache>
                <c:formatCode>0%</c:formatCode>
                <c:ptCount val="5"/>
                <c:pt idx="0">
                  <c:v>0.96767771542408909</c:v>
                </c:pt>
                <c:pt idx="1">
                  <c:v>1.0032873047868434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7-4BC3-AD5D-F762EF7E2E3E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Summary!$V$46:$V$50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Summary!$AE$46:$AE$50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7-4BC3-AD5D-F762EF7E2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3657728"/>
        <c:axId val="93684096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Summary!$AD$46:$AD$50</c:f>
              <c:numCache>
                <c:formatCode>0.0%</c:formatCode>
                <c:ptCount val="5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7-4BC3-AD5D-F762EF7E2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657728"/>
        <c:axId val="93684096"/>
      </c:lineChart>
      <c:catAx>
        <c:axId val="936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684096"/>
        <c:crosses val="autoZero"/>
        <c:auto val="1"/>
        <c:lblAlgn val="ctr"/>
        <c:lblOffset val="100"/>
        <c:noMultiLvlLbl val="0"/>
      </c:catAx>
      <c:valAx>
        <c:axId val="9368409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9365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Final Yield</a:t>
            </a:r>
            <a:r>
              <a:rPr lang="en-US" sz="1800" baseline="0"/>
              <a:t> 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Summary!$AC$8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Summary!$AC$9:$AC$39</c:f>
              <c:numCache>
                <c:formatCode>0.0%</c:formatCode>
                <c:ptCount val="31"/>
                <c:pt idx="0">
                  <c:v>1.434524544872587</c:v>
                </c:pt>
                <c:pt idx="1">
                  <c:v>1.0623054536252057</c:v>
                </c:pt>
                <c:pt idx="2">
                  <c:v>1.072682367469348</c:v>
                </c:pt>
                <c:pt idx="3">
                  <c:v>0.89698890649762286</c:v>
                </c:pt>
                <c:pt idx="4">
                  <c:v>0.90240589833139295</c:v>
                </c:pt>
                <c:pt idx="5">
                  <c:v>0.89408096963638639</c:v>
                </c:pt>
                <c:pt idx="6">
                  <c:v>1.0604917960284814</c:v>
                </c:pt>
                <c:pt idx="7">
                  <c:v>0.79890877666634663</c:v>
                </c:pt>
                <c:pt idx="8">
                  <c:v>1.0197959789014843</c:v>
                </c:pt>
                <c:pt idx="9">
                  <c:v>0.96056685875573344</c:v>
                </c:pt>
                <c:pt idx="10">
                  <c:v>1.0432946593559722</c:v>
                </c:pt>
                <c:pt idx="11">
                  <c:v>0.9075437811321192</c:v>
                </c:pt>
                <c:pt idx="12">
                  <c:v>0.95492969008807294</c:v>
                </c:pt>
                <c:pt idx="13">
                  <c:v>-2.0291666666666668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6-4709-AB5C-B413261286CB}"/>
            </c:ext>
          </c:extLst>
        </c:ser>
        <c:ser>
          <c:idx val="1"/>
          <c:order val="1"/>
          <c:tx>
            <c:strRef>
              <c:f>Summary!$AE$8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Summary!$AE$9:$AE$39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0.89698890649762286</c:v>
                </c:pt>
                <c:pt idx="4">
                  <c:v>0.90240589833139295</c:v>
                </c:pt>
                <c:pt idx="5">
                  <c:v>0.89408096963638639</c:v>
                </c:pt>
                <c:pt idx="6">
                  <c:v>0</c:v>
                </c:pt>
                <c:pt idx="7">
                  <c:v>0.79890877666634663</c:v>
                </c:pt>
                <c:pt idx="8">
                  <c:v>0</c:v>
                </c:pt>
                <c:pt idx="9">
                  <c:v>0.96056685875573344</c:v>
                </c:pt>
                <c:pt idx="10">
                  <c:v>0</c:v>
                </c:pt>
                <c:pt idx="11">
                  <c:v>0.9075437811321192</c:v>
                </c:pt>
                <c:pt idx="12">
                  <c:v>0.95492969008807294</c:v>
                </c:pt>
                <c:pt idx="13">
                  <c:v>-2.0291666666666668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6-4709-AB5C-B413261286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3711360"/>
        <c:axId val="102798080"/>
      </c:barChart>
      <c:lineChart>
        <c:grouping val="standard"/>
        <c:varyColors val="0"/>
        <c:ser>
          <c:idx val="2"/>
          <c:order val="2"/>
          <c:tx>
            <c:strRef>
              <c:f>Summary!$AD$8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Summary!$AD$9:$AD$39</c:f>
              <c:numCache>
                <c:formatCode>0.0%</c:formatCode>
                <c:ptCount val="31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0.96499999999999997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0.96499999999999997</c:v>
                </c:pt>
                <c:pt idx="21">
                  <c:v>0.96499999999999997</c:v>
                </c:pt>
                <c:pt idx="22">
                  <c:v>0.96499999999999997</c:v>
                </c:pt>
                <c:pt idx="23">
                  <c:v>0.96499999999999997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0.96499999999999997</c:v>
                </c:pt>
                <c:pt idx="30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6-4709-AB5C-B413261286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711360"/>
        <c:axId val="102798080"/>
      </c:lineChart>
      <c:catAx>
        <c:axId val="937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2798080"/>
        <c:crosses val="autoZero"/>
        <c:auto val="1"/>
        <c:lblAlgn val="ctr"/>
        <c:lblOffset val="100"/>
        <c:noMultiLvlLbl val="0"/>
      </c:catAx>
      <c:valAx>
        <c:axId val="10279808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9371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Packing Yield%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Summary!$AF$45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Summary!$V$46:$V$50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Summary!$AF$46:$AF$50</c:f>
              <c:numCache>
                <c:formatCode>0.0%</c:formatCode>
                <c:ptCount val="5"/>
                <c:pt idx="0">
                  <c:v>0.4239432235572434</c:v>
                </c:pt>
                <c:pt idx="1">
                  <c:v>1.2210824322287739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4-4C13-BAC6-1A533097CC8A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Summary!$V$46:$V$50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Summary!$AH$46:$AH$50</c:f>
              <c:numCache>
                <c:formatCode>0.0%</c:formatCode>
                <c:ptCount val="5"/>
                <c:pt idx="0">
                  <c:v>0.4239432235572434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4-4C13-BAC6-1A533097CC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388864"/>
        <c:axId val="10639884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Summary!$AG$46:$AG$50</c:f>
              <c:numCache>
                <c:formatCode>0.0%</c:formatCode>
                <c:ptCount val="5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4-4C13-BAC6-1A533097CC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88864"/>
        <c:axId val="106398848"/>
      </c:lineChart>
      <c:catAx>
        <c:axId val="1063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398848"/>
        <c:crosses val="autoZero"/>
        <c:auto val="1"/>
        <c:lblAlgn val="ctr"/>
        <c:lblOffset val="100"/>
        <c:noMultiLvlLbl val="0"/>
      </c:catAx>
      <c:valAx>
        <c:axId val="10639884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3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Yield</a:t>
            </a:r>
            <a:r>
              <a:rPr lang="en-US" sz="1800" baseline="0"/>
              <a:t> 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Summary!$AF$8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Summary!$AF$9:$AF$39</c:f>
              <c:numCache>
                <c:formatCode>0.0%</c:formatCode>
                <c:ptCount val="31"/>
                <c:pt idx="0">
                  <c:v>1.015054862366775</c:v>
                </c:pt>
                <c:pt idx="1">
                  <c:v>0.97613564469188929</c:v>
                </c:pt>
                <c:pt idx="2">
                  <c:v>0.83287759842403919</c:v>
                </c:pt>
                <c:pt idx="3">
                  <c:v>0.97566018551653233</c:v>
                </c:pt>
                <c:pt idx="4">
                  <c:v>0.84302277724862118</c:v>
                </c:pt>
                <c:pt idx="5">
                  <c:v>0.98467199800074978</c:v>
                </c:pt>
                <c:pt idx="6">
                  <c:v>1.2343010039361368</c:v>
                </c:pt>
                <c:pt idx="7">
                  <c:v>0.70853831425198677</c:v>
                </c:pt>
                <c:pt idx="8">
                  <c:v>0.98562051043963828</c:v>
                </c:pt>
                <c:pt idx="9">
                  <c:v>0.86148418205339305</c:v>
                </c:pt>
                <c:pt idx="10">
                  <c:v>1.070558298748902</c:v>
                </c:pt>
                <c:pt idx="11">
                  <c:v>1.0394829380002208</c:v>
                </c:pt>
                <c:pt idx="12">
                  <c:v>0.97263567928170791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83D-954E-0FF5936DDE4D}"/>
            </c:ext>
          </c:extLst>
        </c:ser>
        <c:ser>
          <c:idx val="1"/>
          <c:order val="1"/>
          <c:tx>
            <c:strRef>
              <c:f>Summary!$AE$8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Summary!$AH$9:$AH$39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0.83287759842403919</c:v>
                </c:pt>
                <c:pt idx="3">
                  <c:v>0</c:v>
                </c:pt>
                <c:pt idx="4">
                  <c:v>0.84302277724862118</c:v>
                </c:pt>
                <c:pt idx="5">
                  <c:v>0</c:v>
                </c:pt>
                <c:pt idx="6">
                  <c:v>0</c:v>
                </c:pt>
                <c:pt idx="7">
                  <c:v>0.70853831425198677</c:v>
                </c:pt>
                <c:pt idx="8">
                  <c:v>0</c:v>
                </c:pt>
                <c:pt idx="9">
                  <c:v>0.86148418205339305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D-483D-954E-0FF5936DD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312064"/>
        <c:axId val="106313600"/>
      </c:barChart>
      <c:lineChart>
        <c:grouping val="standard"/>
        <c:varyColors val="0"/>
        <c:ser>
          <c:idx val="2"/>
          <c:order val="2"/>
          <c:tx>
            <c:strRef>
              <c:f>Summary!$AD$8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Summary!$AG$9:$AG$39</c:f>
              <c:numCache>
                <c:formatCode>0.0%</c:formatCode>
                <c:ptCount val="31"/>
                <c:pt idx="0">
                  <c:v>0.95499999999999996</c:v>
                </c:pt>
                <c:pt idx="1">
                  <c:v>0.95499999999999996</c:v>
                </c:pt>
                <c:pt idx="2">
                  <c:v>0.95499999999999996</c:v>
                </c:pt>
                <c:pt idx="3">
                  <c:v>0.95499999999999996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0.95499999999999996</c:v>
                </c:pt>
                <c:pt idx="7">
                  <c:v>0.95499999999999996</c:v>
                </c:pt>
                <c:pt idx="8">
                  <c:v>0.95499999999999996</c:v>
                </c:pt>
                <c:pt idx="9">
                  <c:v>0.95499999999999996</c:v>
                </c:pt>
                <c:pt idx="10">
                  <c:v>0.95499999999999996</c:v>
                </c:pt>
                <c:pt idx="11">
                  <c:v>0.95499999999999996</c:v>
                </c:pt>
                <c:pt idx="12">
                  <c:v>0.95499999999999996</c:v>
                </c:pt>
                <c:pt idx="13">
                  <c:v>0.95499999999999996</c:v>
                </c:pt>
                <c:pt idx="14">
                  <c:v>0.95499999999999996</c:v>
                </c:pt>
                <c:pt idx="15">
                  <c:v>0.95499999999999996</c:v>
                </c:pt>
                <c:pt idx="16">
                  <c:v>0.95499999999999996</c:v>
                </c:pt>
                <c:pt idx="17">
                  <c:v>0.95499999999999996</c:v>
                </c:pt>
                <c:pt idx="18">
                  <c:v>0.95499999999999996</c:v>
                </c:pt>
                <c:pt idx="19">
                  <c:v>0.95499999999999996</c:v>
                </c:pt>
                <c:pt idx="20">
                  <c:v>0.95499999999999996</c:v>
                </c:pt>
                <c:pt idx="21">
                  <c:v>0.95499999999999996</c:v>
                </c:pt>
                <c:pt idx="22">
                  <c:v>0.95499999999999996</c:v>
                </c:pt>
                <c:pt idx="23">
                  <c:v>0.95499999999999996</c:v>
                </c:pt>
                <c:pt idx="24">
                  <c:v>0.95499999999999996</c:v>
                </c:pt>
                <c:pt idx="25">
                  <c:v>0.95499999999999996</c:v>
                </c:pt>
                <c:pt idx="26">
                  <c:v>0.95499999999999996</c:v>
                </c:pt>
                <c:pt idx="27">
                  <c:v>0.95499999999999996</c:v>
                </c:pt>
                <c:pt idx="28">
                  <c:v>0.95499999999999996</c:v>
                </c:pt>
                <c:pt idx="29">
                  <c:v>0.95499999999999996</c:v>
                </c:pt>
                <c:pt idx="30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DD-483D-954E-0FF5936DD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12064"/>
        <c:axId val="106313600"/>
      </c:lineChart>
      <c:catAx>
        <c:axId val="10631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313600"/>
        <c:crosses val="autoZero"/>
        <c:auto val="1"/>
        <c:lblAlgn val="ctr"/>
        <c:lblOffset val="100"/>
        <c:noMultiLvlLbl val="0"/>
      </c:catAx>
      <c:valAx>
        <c:axId val="10631360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3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</a:t>
            </a:r>
            <a:r>
              <a:rPr lang="en-US" sz="1800" baseline="0"/>
              <a:t> Melt for Week 46 (MT)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Summary!$V$60:$V$66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Summary!$W$60:$W$66</c:f>
              <c:numCache>
                <c:formatCode>_-* #,##0_-;\-* #,##0_-;_-* "-"??_-;_-@_-</c:formatCode>
                <c:ptCount val="7"/>
                <c:pt idx="0">
                  <c:v>1760.49</c:v>
                </c:pt>
                <c:pt idx="1">
                  <c:v>1700.8200000000002</c:v>
                </c:pt>
                <c:pt idx="2">
                  <c:v>1600.6</c:v>
                </c:pt>
                <c:pt idx="3">
                  <c:v>1130.5500000000002</c:v>
                </c:pt>
                <c:pt idx="4">
                  <c:v>1770.49</c:v>
                </c:pt>
                <c:pt idx="5">
                  <c:v>1550.8200000000002</c:v>
                </c:pt>
                <c:pt idx="6">
                  <c:v>1700.6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F-47F2-BA4C-E340CF930E75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Summary!$V$60:$V$66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Summary!$Y$60:$Y$66</c:f>
              <c:numCache>
                <c:formatCode>_-* #,##0_-;\-* #,##0_-;_-* "-"??_-;_-@_-</c:formatCode>
                <c:ptCount val="7"/>
                <c:pt idx="0">
                  <c:v>1760.49</c:v>
                </c:pt>
                <c:pt idx="1">
                  <c:v>1700.8200000000002</c:v>
                </c:pt>
                <c:pt idx="2">
                  <c:v>1600.6</c:v>
                </c:pt>
                <c:pt idx="3">
                  <c:v>1130.5500000000002</c:v>
                </c:pt>
                <c:pt idx="4">
                  <c:v>1770.49</c:v>
                </c:pt>
                <c:pt idx="5">
                  <c:v>1550.8200000000002</c:v>
                </c:pt>
                <c:pt idx="6">
                  <c:v>1700.6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F-47F2-BA4C-E340CF930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447232"/>
        <c:axId val="10644876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Summary!$V$60:$V$64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Summary!$X$60:$X$66</c:f>
              <c:numCache>
                <c:formatCode>_-* #,##0_-;\-* #,##0_-;_-* "-"??_-;_-@_-</c:formatCode>
                <c:ptCount val="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F-47F2-BA4C-E340CF930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447232"/>
        <c:axId val="106448768"/>
      </c:lineChart>
      <c:catAx>
        <c:axId val="10644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448768"/>
        <c:crosses val="autoZero"/>
        <c:auto val="1"/>
        <c:lblAlgn val="ctr"/>
        <c:lblOffset val="100"/>
        <c:noMultiLvlLbl val="0"/>
      </c:catAx>
      <c:valAx>
        <c:axId val="10644876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44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 for Week 46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Summary!$Z$8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Summary!$V$60:$V$66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Summary!$Z$60:$Z$66</c:f>
              <c:numCache>
                <c:formatCode>_-* #,##0_-;\-* #,##0_-;_-* "-"??_-;_-@_-</c:formatCode>
                <c:ptCount val="7"/>
                <c:pt idx="0">
                  <c:v>1717.64</c:v>
                </c:pt>
                <c:pt idx="1">
                  <c:v>1433.83</c:v>
                </c:pt>
                <c:pt idx="2">
                  <c:v>1576.066</c:v>
                </c:pt>
                <c:pt idx="3">
                  <c:v>1395.4389999999999</c:v>
                </c:pt>
                <c:pt idx="4">
                  <c:v>1254.46</c:v>
                </c:pt>
                <c:pt idx="5">
                  <c:v>1528.52</c:v>
                </c:pt>
                <c:pt idx="6">
                  <c:v>1465.0400000000002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8-4360-B9A2-9BA76423A222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Summary!$V$60:$V$66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Summary!$AB$60:$AB$66</c:f>
              <c:numCache>
                <c:formatCode>_-* #,##0_-;\-* #,##0_-;_-* "-"??_-;_-@_-</c:formatCode>
                <c:ptCount val="7"/>
                <c:pt idx="0">
                  <c:v>1717.64</c:v>
                </c:pt>
                <c:pt idx="1">
                  <c:v>1433.83</c:v>
                </c:pt>
                <c:pt idx="2">
                  <c:v>1576.066</c:v>
                </c:pt>
                <c:pt idx="3">
                  <c:v>1395.4389999999999</c:v>
                </c:pt>
                <c:pt idx="4">
                  <c:v>1254.46</c:v>
                </c:pt>
                <c:pt idx="5">
                  <c:v>1528.52</c:v>
                </c:pt>
                <c:pt idx="6">
                  <c:v>1465.0400000000002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8-4360-B9A2-9BA76423A2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492672"/>
        <c:axId val="10649420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Summary!$AA$60:$AA$66</c:f>
              <c:numCache>
                <c:formatCode>_-* #,##0_-;\-* #,##0_-;_-* "-"??_-;_-@_-</c:formatCode>
                <c:ptCount val="7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8-4360-B9A2-9BA76423A2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492672"/>
        <c:axId val="106494208"/>
      </c:lineChart>
      <c:catAx>
        <c:axId val="10649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494208"/>
        <c:crosses val="autoZero"/>
        <c:auto val="1"/>
        <c:lblAlgn val="ctr"/>
        <c:lblOffset val="100"/>
        <c:noMultiLvlLbl val="0"/>
      </c:catAx>
      <c:valAx>
        <c:axId val="10649420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49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Final Yield</a:t>
            </a:r>
            <a:r>
              <a:rPr lang="en-US" sz="1800" baseline="0"/>
              <a:t> % for Week 46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Summary!$AC$8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Summary!$V$60:$V$66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Summary!$AC$60:$AC$66</c:f>
              <c:numCache>
                <c:formatCode>0.0%</c:formatCode>
                <c:ptCount val="7"/>
                <c:pt idx="0">
                  <c:v>0.89698890649762286</c:v>
                </c:pt>
                <c:pt idx="1">
                  <c:v>0.90240589833139295</c:v>
                </c:pt>
                <c:pt idx="2">
                  <c:v>0.89408096963638639</c:v>
                </c:pt>
                <c:pt idx="3">
                  <c:v>1.0604917960284814</c:v>
                </c:pt>
                <c:pt idx="4">
                  <c:v>0.79890877666634663</c:v>
                </c:pt>
                <c:pt idx="5">
                  <c:v>1.0197959789014843</c:v>
                </c:pt>
                <c:pt idx="6">
                  <c:v>0.96056685875573344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6-4225-97B6-500592825395}"/>
            </c:ext>
          </c:extLst>
        </c:ser>
        <c:ser>
          <c:idx val="1"/>
          <c:order val="1"/>
          <c:tx>
            <c:strRef>
              <c:f>Summary!$AE$8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Summary!$V$60:$V$66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Summary!$AE$60:$AE$66</c:f>
              <c:numCache>
                <c:formatCode>0.0%</c:formatCode>
                <c:ptCount val="7"/>
                <c:pt idx="0">
                  <c:v>0.89698890649762286</c:v>
                </c:pt>
                <c:pt idx="1">
                  <c:v>0.90240589833139295</c:v>
                </c:pt>
                <c:pt idx="2">
                  <c:v>0.89408096963638639</c:v>
                </c:pt>
                <c:pt idx="3">
                  <c:v>0</c:v>
                </c:pt>
                <c:pt idx="4">
                  <c:v>0.79890877666634663</c:v>
                </c:pt>
                <c:pt idx="5">
                  <c:v>0</c:v>
                </c:pt>
                <c:pt idx="6">
                  <c:v>0.96056685875573344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6-4225-97B6-5005928253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566784"/>
        <c:axId val="106568320"/>
      </c:barChart>
      <c:lineChart>
        <c:grouping val="standard"/>
        <c:varyColors val="0"/>
        <c:ser>
          <c:idx val="2"/>
          <c:order val="2"/>
          <c:tx>
            <c:strRef>
              <c:f>Summary!$AD$8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Summary!$AD$60:$AD$66</c:f>
              <c:numCache>
                <c:formatCode>0.0%</c:formatCode>
                <c:ptCount val="7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6-4225-97B6-5005928253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566784"/>
        <c:axId val="106568320"/>
      </c:lineChart>
      <c:catAx>
        <c:axId val="10656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568320"/>
        <c:crosses val="autoZero"/>
        <c:auto val="1"/>
        <c:lblAlgn val="ctr"/>
        <c:lblOffset val="100"/>
        <c:noMultiLvlLbl val="0"/>
      </c:catAx>
      <c:valAx>
        <c:axId val="10656832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5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Yield</a:t>
            </a:r>
            <a:r>
              <a:rPr lang="en-US" sz="1800" baseline="0"/>
              <a:t> % for Week 46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Summary!$AF$59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Summary!$V$60:$V$66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Summary!$AF$60:$AF$66</c:f>
              <c:numCache>
                <c:formatCode>0.0%</c:formatCode>
                <c:ptCount val="7"/>
                <c:pt idx="0">
                  <c:v>0.97566018551653233</c:v>
                </c:pt>
                <c:pt idx="1">
                  <c:v>0.84302277724862118</c:v>
                </c:pt>
                <c:pt idx="2">
                  <c:v>0.98467199800074978</c:v>
                </c:pt>
                <c:pt idx="3">
                  <c:v>1.2343010039361368</c:v>
                </c:pt>
                <c:pt idx="4">
                  <c:v>0.70853831425198677</c:v>
                </c:pt>
                <c:pt idx="5">
                  <c:v>0.98562051043963828</c:v>
                </c:pt>
                <c:pt idx="6">
                  <c:v>0.86148418205339305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B-49F8-892D-B39CAF8C2E7D}"/>
            </c:ext>
          </c:extLst>
        </c:ser>
        <c:ser>
          <c:idx val="1"/>
          <c:order val="1"/>
          <c:tx>
            <c:strRef>
              <c:f>Summary!$AE$8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Summary!$V$60:$V$66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Summary!$AH$60:$AH$66</c:f>
              <c:numCache>
                <c:formatCode>0.0%</c:formatCode>
                <c:ptCount val="7"/>
                <c:pt idx="0">
                  <c:v>0</c:v>
                </c:pt>
                <c:pt idx="1">
                  <c:v>0.84302277724862118</c:v>
                </c:pt>
                <c:pt idx="2">
                  <c:v>0</c:v>
                </c:pt>
                <c:pt idx="3">
                  <c:v>0</c:v>
                </c:pt>
                <c:pt idx="4">
                  <c:v>0.70853831425198677</c:v>
                </c:pt>
                <c:pt idx="5">
                  <c:v>0</c:v>
                </c:pt>
                <c:pt idx="6">
                  <c:v>0.86148418205339305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B-49F8-892D-B39CAF8C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608512"/>
        <c:axId val="106610048"/>
      </c:barChart>
      <c:lineChart>
        <c:grouping val="standard"/>
        <c:varyColors val="0"/>
        <c:ser>
          <c:idx val="2"/>
          <c:order val="2"/>
          <c:tx>
            <c:strRef>
              <c:f>Summary!$AD$8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Summary!$AG$60:$AG$66</c:f>
              <c:numCache>
                <c:formatCode>0.0%</c:formatCode>
                <c:ptCount val="7"/>
                <c:pt idx="0">
                  <c:v>0.95499999999999996</c:v>
                </c:pt>
                <c:pt idx="1">
                  <c:v>0.95499999999999996</c:v>
                </c:pt>
                <c:pt idx="2">
                  <c:v>0.95499999999999996</c:v>
                </c:pt>
                <c:pt idx="3">
                  <c:v>0.95499999999999996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B-49F8-892D-B39CAF8C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608512"/>
        <c:axId val="106610048"/>
      </c:lineChart>
      <c:catAx>
        <c:axId val="10660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10048"/>
        <c:crosses val="autoZero"/>
        <c:auto val="1"/>
        <c:lblAlgn val="ctr"/>
        <c:lblOffset val="100"/>
        <c:noMultiLvlLbl val="0"/>
      </c:catAx>
      <c:valAx>
        <c:axId val="106610048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60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151988428250626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Summary!$W$9:$W$39</c:f>
              <c:numCache>
                <c:formatCode>_-* #,##0_-;\-* #,##0_-;_-* "-"??_-;_-@_-</c:formatCode>
                <c:ptCount val="31"/>
                <c:pt idx="0">
                  <c:v>1780.82</c:v>
                </c:pt>
                <c:pt idx="1">
                  <c:v>1580.6</c:v>
                </c:pt>
                <c:pt idx="2">
                  <c:v>1700.5500000000002</c:v>
                </c:pt>
                <c:pt idx="3">
                  <c:v>1760.49</c:v>
                </c:pt>
                <c:pt idx="4">
                  <c:v>1700.8200000000002</c:v>
                </c:pt>
                <c:pt idx="5">
                  <c:v>1600.6</c:v>
                </c:pt>
                <c:pt idx="6">
                  <c:v>1130.5500000000002</c:v>
                </c:pt>
                <c:pt idx="7">
                  <c:v>1770.49</c:v>
                </c:pt>
                <c:pt idx="8">
                  <c:v>1550.8200000000002</c:v>
                </c:pt>
                <c:pt idx="9">
                  <c:v>1700.6</c:v>
                </c:pt>
                <c:pt idx="10">
                  <c:v>1650.55</c:v>
                </c:pt>
                <c:pt idx="11">
                  <c:v>1720.49</c:v>
                </c:pt>
                <c:pt idx="12">
                  <c:v>1750.82</c:v>
                </c:pt>
                <c:pt idx="13">
                  <c:v>120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D-46FE-98F8-14C1A57224A4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Summary!$Y$9:$Y$39</c:f>
              <c:numCache>
                <c:formatCode>_-* #,##0_-;\-* #,##0_-;_-* "-"??_-;_-@_-</c:formatCode>
                <c:ptCount val="31"/>
                <c:pt idx="0">
                  <c:v>1780.82</c:v>
                </c:pt>
                <c:pt idx="1">
                  <c:v>1580.6</c:v>
                </c:pt>
                <c:pt idx="2">
                  <c:v>1700.5500000000002</c:v>
                </c:pt>
                <c:pt idx="3">
                  <c:v>1760.49</c:v>
                </c:pt>
                <c:pt idx="4">
                  <c:v>1700.8200000000002</c:v>
                </c:pt>
                <c:pt idx="5">
                  <c:v>1600.6</c:v>
                </c:pt>
                <c:pt idx="6">
                  <c:v>1130.5500000000002</c:v>
                </c:pt>
                <c:pt idx="7">
                  <c:v>1770.49</c:v>
                </c:pt>
                <c:pt idx="8">
                  <c:v>1550.8200000000002</c:v>
                </c:pt>
                <c:pt idx="9">
                  <c:v>1700.6</c:v>
                </c:pt>
                <c:pt idx="10">
                  <c:v>1650.55</c:v>
                </c:pt>
                <c:pt idx="11">
                  <c:v>1720.49</c:v>
                </c:pt>
                <c:pt idx="12">
                  <c:v>1750.82</c:v>
                </c:pt>
                <c:pt idx="13">
                  <c:v>120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D-46FE-98F8-14C1A5722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805888"/>
        <c:axId val="106697472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Summary!$X$9:$X$39</c:f>
              <c:numCache>
                <c:formatCode>_-* #,##0_-;\-* #,##0_-;_-* "-"??_-;_-@_-</c:formatCode>
                <c:ptCount val="31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9D-46FE-98F8-14C1A5722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05888"/>
        <c:axId val="106697472"/>
      </c:lineChart>
      <c:catAx>
        <c:axId val="10680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97472"/>
        <c:crosses val="autoZero"/>
        <c:auto val="1"/>
        <c:lblAlgn val="ctr"/>
        <c:lblOffset val="100"/>
        <c:noMultiLvlLbl val="0"/>
      </c:catAx>
      <c:valAx>
        <c:axId val="106697472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80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2873115742783792"/>
        </c:manualLayout>
      </c:layout>
      <c:barChart>
        <c:barDir val="col"/>
        <c:grouping val="clustered"/>
        <c:varyColors val="0"/>
        <c:ser>
          <c:idx val="0"/>
          <c:order val="0"/>
          <c:tx>
            <c:v>Packing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Summary!$Z$9:$Z$39</c:f>
              <c:numCache>
                <c:formatCode>_-* #,##0_-;\-* #,##0_-;_-* "-"??_-;_-@_-</c:formatCode>
                <c:ptCount val="31"/>
                <c:pt idx="0">
                  <c:v>1807.63</c:v>
                </c:pt>
                <c:pt idx="1">
                  <c:v>1542.88</c:v>
                </c:pt>
                <c:pt idx="2">
                  <c:v>1416.35</c:v>
                </c:pt>
                <c:pt idx="3">
                  <c:v>1717.64</c:v>
                </c:pt>
                <c:pt idx="4">
                  <c:v>1433.83</c:v>
                </c:pt>
                <c:pt idx="5">
                  <c:v>1576.066</c:v>
                </c:pt>
                <c:pt idx="6">
                  <c:v>1395.4389999999999</c:v>
                </c:pt>
                <c:pt idx="7">
                  <c:v>1254.46</c:v>
                </c:pt>
                <c:pt idx="8">
                  <c:v>1528.52</c:v>
                </c:pt>
                <c:pt idx="9">
                  <c:v>1465.0400000000002</c:v>
                </c:pt>
                <c:pt idx="10">
                  <c:v>1767.01</c:v>
                </c:pt>
                <c:pt idx="11">
                  <c:v>1788.4199999999998</c:v>
                </c:pt>
                <c:pt idx="12">
                  <c:v>1702.9099999999999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3-4262-AF81-2E2C90969B8B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Summary!$AB$9:$AB$39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1542.88</c:v>
                </c:pt>
                <c:pt idx="2">
                  <c:v>1416.35</c:v>
                </c:pt>
                <c:pt idx="3">
                  <c:v>1717.64</c:v>
                </c:pt>
                <c:pt idx="4">
                  <c:v>1433.83</c:v>
                </c:pt>
                <c:pt idx="5">
                  <c:v>1576.066</c:v>
                </c:pt>
                <c:pt idx="6">
                  <c:v>1395.4389999999999</c:v>
                </c:pt>
                <c:pt idx="7">
                  <c:v>1254.46</c:v>
                </c:pt>
                <c:pt idx="8">
                  <c:v>1528.52</c:v>
                </c:pt>
                <c:pt idx="9">
                  <c:v>1465.0400000000002</c:v>
                </c:pt>
                <c:pt idx="10">
                  <c:v>0</c:v>
                </c:pt>
                <c:pt idx="11">
                  <c:v>0</c:v>
                </c:pt>
                <c:pt idx="12">
                  <c:v>1702.9099999999999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3-4262-AF81-2E2C90969B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934272"/>
        <c:axId val="106936192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Summary!$AA$9:$AA$39</c:f>
              <c:numCache>
                <c:formatCode>_-* #,##0_-;\-* #,##0_-;_-* "-"??_-;_-@_-</c:formatCode>
                <c:ptCount val="31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  <c:pt idx="7">
                  <c:v>1737</c:v>
                </c:pt>
                <c:pt idx="8">
                  <c:v>1737</c:v>
                </c:pt>
                <c:pt idx="9">
                  <c:v>1737</c:v>
                </c:pt>
                <c:pt idx="10">
                  <c:v>1737</c:v>
                </c:pt>
                <c:pt idx="11">
                  <c:v>1737</c:v>
                </c:pt>
                <c:pt idx="12">
                  <c:v>1737</c:v>
                </c:pt>
                <c:pt idx="13">
                  <c:v>1737</c:v>
                </c:pt>
                <c:pt idx="14">
                  <c:v>1737</c:v>
                </c:pt>
                <c:pt idx="15">
                  <c:v>1737</c:v>
                </c:pt>
                <c:pt idx="16">
                  <c:v>1737</c:v>
                </c:pt>
                <c:pt idx="17">
                  <c:v>1737</c:v>
                </c:pt>
                <c:pt idx="18">
                  <c:v>1737</c:v>
                </c:pt>
                <c:pt idx="19">
                  <c:v>1737</c:v>
                </c:pt>
                <c:pt idx="20">
                  <c:v>1737</c:v>
                </c:pt>
                <c:pt idx="21">
                  <c:v>1737</c:v>
                </c:pt>
                <c:pt idx="22">
                  <c:v>1737</c:v>
                </c:pt>
                <c:pt idx="23">
                  <c:v>1737</c:v>
                </c:pt>
                <c:pt idx="24">
                  <c:v>1737</c:v>
                </c:pt>
                <c:pt idx="25">
                  <c:v>1737</c:v>
                </c:pt>
                <c:pt idx="26">
                  <c:v>1737</c:v>
                </c:pt>
                <c:pt idx="27">
                  <c:v>1737</c:v>
                </c:pt>
                <c:pt idx="28">
                  <c:v>1737</c:v>
                </c:pt>
                <c:pt idx="29">
                  <c:v>1737</c:v>
                </c:pt>
                <c:pt idx="30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3-4262-AF81-2E2C90969B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34272"/>
        <c:axId val="106936192"/>
      </c:lineChart>
      <c:catAx>
        <c:axId val="10693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936192"/>
        <c:crosses val="autoZero"/>
        <c:auto val="1"/>
        <c:lblAlgn val="ctr"/>
        <c:lblOffset val="100"/>
        <c:noMultiLvlLbl val="0"/>
      </c:catAx>
      <c:valAx>
        <c:axId val="106936192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93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Steam Usage (Steam/MT)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2873115742783792"/>
        </c:manualLayout>
      </c:layout>
      <c:barChart>
        <c:barDir val="col"/>
        <c:grouping val="clustered"/>
        <c:varyColors val="0"/>
        <c:ser>
          <c:idx val="0"/>
          <c:order val="0"/>
          <c:tx>
            <c:v>Steam Usage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Summary!$AC$9:$AC$39</c:f>
              <c:numCache>
                <c:formatCode>0.0%</c:formatCode>
                <c:ptCount val="31"/>
                <c:pt idx="0">
                  <c:v>1.434524544872587</c:v>
                </c:pt>
                <c:pt idx="1">
                  <c:v>1.0623054536252057</c:v>
                </c:pt>
                <c:pt idx="2">
                  <c:v>1.072682367469348</c:v>
                </c:pt>
                <c:pt idx="3">
                  <c:v>0.89698890649762286</c:v>
                </c:pt>
                <c:pt idx="4">
                  <c:v>0.90240589833139295</c:v>
                </c:pt>
                <c:pt idx="5">
                  <c:v>0.89408096963638639</c:v>
                </c:pt>
                <c:pt idx="6">
                  <c:v>1.0604917960284814</c:v>
                </c:pt>
                <c:pt idx="7">
                  <c:v>0.79890877666634663</c:v>
                </c:pt>
                <c:pt idx="8">
                  <c:v>1.0197959789014843</c:v>
                </c:pt>
                <c:pt idx="9">
                  <c:v>0.96056685875573344</c:v>
                </c:pt>
                <c:pt idx="10">
                  <c:v>1.0432946593559722</c:v>
                </c:pt>
                <c:pt idx="11">
                  <c:v>0.9075437811321192</c:v>
                </c:pt>
                <c:pt idx="12">
                  <c:v>0.95492969008807294</c:v>
                </c:pt>
                <c:pt idx="13">
                  <c:v>-2.0291666666666668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0-4407-9503-6EAAEEB7992A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Summary!$AE$9:$AE$39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0.89698890649762286</c:v>
                </c:pt>
                <c:pt idx="4">
                  <c:v>0.90240589833139295</c:v>
                </c:pt>
                <c:pt idx="5">
                  <c:v>0.89408096963638639</c:v>
                </c:pt>
                <c:pt idx="6">
                  <c:v>0</c:v>
                </c:pt>
                <c:pt idx="7">
                  <c:v>0.79890877666634663</c:v>
                </c:pt>
                <c:pt idx="8">
                  <c:v>0</c:v>
                </c:pt>
                <c:pt idx="9">
                  <c:v>0.96056685875573344</c:v>
                </c:pt>
                <c:pt idx="10">
                  <c:v>0</c:v>
                </c:pt>
                <c:pt idx="11">
                  <c:v>0.9075437811321192</c:v>
                </c:pt>
                <c:pt idx="12">
                  <c:v>0.95492969008807294</c:v>
                </c:pt>
                <c:pt idx="13">
                  <c:v>-2.0291666666666668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0-4407-9503-6EAAEEB79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8049920"/>
        <c:axId val="108051840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Summary!$V$9:$V$39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Summary!$AD$9:$AD$39</c:f>
              <c:numCache>
                <c:formatCode>0.0%</c:formatCode>
                <c:ptCount val="31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0.96499999999999997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0.96499999999999997</c:v>
                </c:pt>
                <c:pt idx="21">
                  <c:v>0.96499999999999997</c:v>
                </c:pt>
                <c:pt idx="22">
                  <c:v>0.96499999999999997</c:v>
                </c:pt>
                <c:pt idx="23">
                  <c:v>0.96499999999999997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0.96499999999999997</c:v>
                </c:pt>
                <c:pt idx="30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80-4407-9503-6EAAEEB79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049920"/>
        <c:axId val="108051840"/>
      </c:lineChart>
      <c:catAx>
        <c:axId val="10804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8051840"/>
        <c:crosses val="autoZero"/>
        <c:auto val="1"/>
        <c:lblAlgn val="ctr"/>
        <c:lblOffset val="100"/>
        <c:noMultiLvlLbl val="0"/>
      </c:catAx>
      <c:valAx>
        <c:axId val="10805184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804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133769</xdr:colOff>
      <xdr:row>31</xdr:row>
      <xdr:rowOff>9106</xdr:rowOff>
    </xdr:from>
    <xdr:to>
      <xdr:col>12</xdr:col>
      <xdr:colOff>773906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10054-C900-4420-88A0-9BB979207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166688</xdr:colOff>
      <xdr:row>3</xdr:row>
      <xdr:rowOff>0</xdr:rowOff>
    </xdr:from>
    <xdr:to>
      <xdr:col>12</xdr:col>
      <xdr:colOff>750095</xdr:colOff>
      <xdr:row>26</xdr:row>
      <xdr:rowOff>155481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E9D589-211B-4D84-A3E7-9EB77233F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133769</xdr:colOff>
      <xdr:row>31</xdr:row>
      <xdr:rowOff>9106</xdr:rowOff>
    </xdr:from>
    <xdr:to>
      <xdr:col>25</xdr:col>
      <xdr:colOff>773906</xdr:colOff>
      <xdr:row>56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08136B9-711D-466C-A692-C15B0905A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166688</xdr:colOff>
      <xdr:row>3</xdr:row>
      <xdr:rowOff>0</xdr:rowOff>
    </xdr:from>
    <xdr:to>
      <xdr:col>25</xdr:col>
      <xdr:colOff>750095</xdr:colOff>
      <xdr:row>26</xdr:row>
      <xdr:rowOff>155481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5222594-79BB-460D-B191-EF5D0EA1A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166688</xdr:colOff>
      <xdr:row>3</xdr:row>
      <xdr:rowOff>0</xdr:rowOff>
    </xdr:from>
    <xdr:to>
      <xdr:col>38</xdr:col>
      <xdr:colOff>750095</xdr:colOff>
      <xdr:row>26</xdr:row>
      <xdr:rowOff>155481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0201C72-2201-4749-A641-848711B06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133769</xdr:colOff>
      <xdr:row>31</xdr:row>
      <xdr:rowOff>9106</xdr:rowOff>
    </xdr:from>
    <xdr:to>
      <xdr:col>38</xdr:col>
      <xdr:colOff>773906</xdr:colOff>
      <xdr:row>56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5A8148-73D3-4CD0-9210-25367BB42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166688</xdr:colOff>
      <xdr:row>3</xdr:row>
      <xdr:rowOff>0</xdr:rowOff>
    </xdr:from>
    <xdr:to>
      <xdr:col>51</xdr:col>
      <xdr:colOff>750095</xdr:colOff>
      <xdr:row>26</xdr:row>
      <xdr:rowOff>155481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291C19-616F-45D5-BD3F-B64884228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133769</xdr:colOff>
      <xdr:row>31</xdr:row>
      <xdr:rowOff>9106</xdr:rowOff>
    </xdr:from>
    <xdr:to>
      <xdr:col>51</xdr:col>
      <xdr:colOff>773906</xdr:colOff>
      <xdr:row>56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21416BC-7F67-463D-B1A1-EB35CFBFD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133769</xdr:colOff>
      <xdr:row>61</xdr:row>
      <xdr:rowOff>9106</xdr:rowOff>
    </xdr:from>
    <xdr:to>
      <xdr:col>12</xdr:col>
      <xdr:colOff>773906</xdr:colOff>
      <xdr:row>86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034FBD-3FA1-4AA1-B93C-092DF2426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133769</xdr:colOff>
      <xdr:row>61</xdr:row>
      <xdr:rowOff>9106</xdr:rowOff>
    </xdr:from>
    <xdr:to>
      <xdr:col>25</xdr:col>
      <xdr:colOff>773906</xdr:colOff>
      <xdr:row>86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A6E5B4-39EF-42F8-86A5-062B943EF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133769</xdr:colOff>
      <xdr:row>61</xdr:row>
      <xdr:rowOff>9106</xdr:rowOff>
    </xdr:from>
    <xdr:to>
      <xdr:col>38</xdr:col>
      <xdr:colOff>773906</xdr:colOff>
      <xdr:row>86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2142475-A1AF-4A5B-A5BD-3A7C7D3BD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136072</xdr:colOff>
      <xdr:row>61</xdr:row>
      <xdr:rowOff>0</xdr:rowOff>
    </xdr:from>
    <xdr:to>
      <xdr:col>51</xdr:col>
      <xdr:colOff>776209</xdr:colOff>
      <xdr:row>85</xdr:row>
      <xdr:rowOff>154180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BE941B-DFB0-4FAD-A88E-C45167E42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145676</xdr:colOff>
      <xdr:row>1</xdr:row>
      <xdr:rowOff>44824</xdr:rowOff>
    </xdr:from>
    <xdr:to>
      <xdr:col>11</xdr:col>
      <xdr:colOff>526677</xdr:colOff>
      <xdr:row>25</xdr:row>
      <xdr:rowOff>33617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067412-BD39-4FFE-A66A-A4E6CD036834}"/>
            </a:ext>
          </a:extLst>
        </xdr:cNvPr>
        <xdr:cNvGrpSpPr/>
      </xdr:nvGrpSpPr>
      <xdr:grpSpPr>
        <a:xfrm>
          <a:off x="145676" y="201706"/>
          <a:ext cx="7037295" cy="3753970"/>
          <a:chOff x="313764" y="168089"/>
          <a:chExt cx="7916958" cy="375397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2C3C0BF-A832-459E-9FEA-427FC4503948}"/>
              </a:ext>
            </a:extLst>
          </xdr:cNvPr>
          <xdr:cNvGraphicFramePr>
            <a:graphicFrameLocks/>
          </xdr:cNvGraphicFramePr>
        </xdr:nvGraphicFramePr>
        <xdr:xfrm>
          <a:off x="313764" y="168089"/>
          <a:ext cx="7916958" cy="37539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399A038-5453-4E3B-9A15-5B341EB5FC20}"/>
              </a:ext>
            </a:extLst>
          </xdr:cNvPr>
          <xdr:cNvSpPr txBox="1"/>
        </xdr:nvSpPr>
        <xdr:spPr>
          <a:xfrm>
            <a:off x="6274571" y="224118"/>
            <a:ext cx="1866504" cy="30255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 b="1">
                <a:latin typeface="Arial" panose="020B0604020202020204" pitchFamily="34" charset="0"/>
                <a:cs typeface="Arial" panose="020B0604020202020204" pitchFamily="34" charset="0"/>
              </a:rPr>
              <a:t>Target = 1,645 MT/day</a:t>
            </a:r>
          </a:p>
        </xdr:txBody>
      </xdr:sp>
    </xdr:grpSp>
    <xdr:clientData/>
  </xdr:twoCellAnchor>
  <xdr:twoCellAnchor>
    <xdr:from>
      <xdr:col>12</xdr:col>
      <xdr:colOff>22412</xdr:colOff>
      <xdr:row>1</xdr:row>
      <xdr:rowOff>44822</xdr:rowOff>
    </xdr:from>
    <xdr:to>
      <xdr:col>23</xdr:col>
      <xdr:colOff>493059</xdr:colOff>
      <xdr:row>25</xdr:row>
      <xdr:rowOff>44822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ED96AD-BAC3-4178-A5C9-86E808168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515470</xdr:colOff>
      <xdr:row>1</xdr:row>
      <xdr:rowOff>96369</xdr:rowOff>
    </xdr:from>
    <xdr:to>
      <xdr:col>23</xdr:col>
      <xdr:colOff>410135</xdr:colOff>
      <xdr:row>3</xdr:row>
      <xdr:rowOff>85163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C033B72-57ED-46E8-85CA-E18844B556C0}"/>
            </a:ext>
          </a:extLst>
        </xdr:cNvPr>
        <xdr:cNvSpPr txBox="1"/>
      </xdr:nvSpPr>
      <xdr:spPr>
        <a:xfrm>
          <a:off x="12707470" y="258294"/>
          <a:ext cx="1723465" cy="31264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 b="1">
              <a:latin typeface="Arial" panose="020B0604020202020204" pitchFamily="34" charset="0"/>
              <a:cs typeface="Arial" panose="020B0604020202020204" pitchFamily="34" charset="0"/>
            </a:rPr>
            <a:t>Target = 1,588 MT/day</a:t>
          </a:r>
        </a:p>
      </xdr:txBody>
    </xdr:sp>
    <xdr:clientData/>
  </xdr:twoCellAnchor>
  <xdr:twoCellAnchor>
    <xdr:from>
      <xdr:col>0</xdr:col>
      <xdr:colOff>141195</xdr:colOff>
      <xdr:row>25</xdr:row>
      <xdr:rowOff>141193</xdr:rowOff>
    </xdr:from>
    <xdr:to>
      <xdr:col>11</xdr:col>
      <xdr:colOff>537882</xdr:colOff>
      <xdr:row>49</xdr:row>
      <xdr:rowOff>129987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7258BD-1C18-411E-A4F5-10C650FAB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11206</xdr:colOff>
      <xdr:row>26</xdr:row>
      <xdr:rowOff>47064</xdr:rowOff>
    </xdr:from>
    <xdr:to>
      <xdr:col>11</xdr:col>
      <xdr:colOff>465114</xdr:colOff>
      <xdr:row>28</xdr:row>
      <xdr:rowOff>35858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10FA97F-F0A3-44AA-AA7B-734FDB1350B8}"/>
            </a:ext>
          </a:extLst>
        </xdr:cNvPr>
        <xdr:cNvSpPr txBox="1"/>
      </xdr:nvSpPr>
      <xdr:spPr>
        <a:xfrm>
          <a:off x="6107206" y="4257114"/>
          <a:ext cx="1063508" cy="31264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 b="1">
              <a:latin typeface="Arial" panose="020B0604020202020204" pitchFamily="34" charset="0"/>
              <a:cs typeface="Arial" panose="020B0604020202020204" pitchFamily="34" charset="0"/>
            </a:rPr>
            <a:t>Target = 1.50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 Jack Fee" id="{6C5032E5-A37B-4B44-AA7F-59A52B232087}" userId="S::tan.jf@central-sugars.com.my::b96a93ff-f2be-4ac4-a539-bbca434b10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5" dT="2021-01-08T00:04:36.69" personId="{6C5032E5-A37B-4B44-AA7F-59A52B232087}" id="{14C1ED16-E95B-C14C-98FC-B11AB22016C3}">
    <text>40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Relationship Id="rId9" Type="http://schemas.openxmlformats.org/officeDocument/2006/relationships/printerSettings" Target="../printerSettings/printerSettings2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F788-1EE6-4A16-8350-EC60F1A8B853}">
  <dimension ref="B3:J203"/>
  <sheetViews>
    <sheetView zoomScaleNormal="100" workbookViewId="0">
      <selection activeCell="G8" sqref="G8"/>
    </sheetView>
  </sheetViews>
  <sheetFormatPr defaultColWidth="9.140625" defaultRowHeight="12.75" x14ac:dyDescent="0.2"/>
  <cols>
    <col min="1" max="1" width="2.7109375" style="234" customWidth="1"/>
    <col min="2" max="2" width="18" style="234" customWidth="1"/>
    <col min="3" max="3" width="24.28515625" style="234" customWidth="1"/>
    <col min="4" max="4" width="17.42578125" style="234" customWidth="1"/>
    <col min="5" max="5" width="35.7109375" style="234" customWidth="1"/>
    <col min="6" max="6" width="19.42578125" style="234" customWidth="1"/>
    <col min="7" max="7" width="40.28515625" style="234" customWidth="1"/>
    <col min="8" max="16384" width="9.140625" style="234"/>
  </cols>
  <sheetData>
    <row r="3" spans="2:6" x14ac:dyDescent="0.2">
      <c r="B3" s="233"/>
      <c r="C3" s="233" t="s">
        <v>0</v>
      </c>
      <c r="D3" s="233" t="s">
        <v>1</v>
      </c>
    </row>
    <row r="4" spans="2:6" x14ac:dyDescent="0.2">
      <c r="B4" s="233" t="s">
        <v>2</v>
      </c>
      <c r="C4" s="233" t="s">
        <v>3</v>
      </c>
      <c r="D4" s="233" t="s">
        <v>3</v>
      </c>
      <c r="E4" s="233" t="s">
        <v>4</v>
      </c>
      <c r="F4" s="233" t="s">
        <v>5</v>
      </c>
    </row>
    <row r="5" spans="2:6" x14ac:dyDescent="0.2">
      <c r="B5" s="234" t="s">
        <v>6</v>
      </c>
      <c r="C5" s="234" t="s">
        <v>7</v>
      </c>
      <c r="D5" s="234" t="s">
        <v>7</v>
      </c>
      <c r="E5" s="234" t="s">
        <v>8</v>
      </c>
      <c r="F5" s="234" t="s">
        <v>9</v>
      </c>
    </row>
    <row r="6" spans="2:6" x14ac:dyDescent="0.2">
      <c r="B6" s="234" t="s">
        <v>10</v>
      </c>
      <c r="C6" s="234" t="s">
        <v>11</v>
      </c>
      <c r="D6" s="234" t="s">
        <v>7</v>
      </c>
      <c r="E6" s="234" t="s">
        <v>12</v>
      </c>
      <c r="F6" s="234" t="s">
        <v>13</v>
      </c>
    </row>
    <row r="7" spans="2:6" x14ac:dyDescent="0.2">
      <c r="B7" s="234" t="s">
        <v>14</v>
      </c>
      <c r="C7" s="234" t="s">
        <v>15</v>
      </c>
      <c r="D7" s="234" t="s">
        <v>7</v>
      </c>
      <c r="E7" s="234" t="s">
        <v>16</v>
      </c>
    </row>
    <row r="8" spans="2:6" x14ac:dyDescent="0.2">
      <c r="B8" s="234" t="s">
        <v>17</v>
      </c>
      <c r="C8" s="234" t="s">
        <v>18</v>
      </c>
      <c r="D8" s="234" t="s">
        <v>7</v>
      </c>
      <c r="E8" s="234" t="s">
        <v>19</v>
      </c>
    </row>
    <row r="9" spans="2:6" x14ac:dyDescent="0.2">
      <c r="C9" s="234" t="s">
        <v>20</v>
      </c>
      <c r="D9" s="234" t="s">
        <v>11</v>
      </c>
      <c r="E9" s="234" t="s">
        <v>21</v>
      </c>
    </row>
    <row r="10" spans="2:6" x14ac:dyDescent="0.2">
      <c r="B10" s="234" t="s">
        <v>22</v>
      </c>
      <c r="C10" s="234" t="s">
        <v>23</v>
      </c>
      <c r="D10" s="234" t="s">
        <v>11</v>
      </c>
      <c r="E10" s="234" t="s">
        <v>24</v>
      </c>
    </row>
    <row r="11" spans="2:6" x14ac:dyDescent="0.2">
      <c r="B11" s="234" t="s">
        <v>25</v>
      </c>
      <c r="C11" s="234" t="s">
        <v>26</v>
      </c>
      <c r="D11" s="234" t="s">
        <v>11</v>
      </c>
      <c r="E11" s="234" t="s">
        <v>27</v>
      </c>
    </row>
    <row r="12" spans="2:6" x14ac:dyDescent="0.2">
      <c r="B12" s="234" t="s">
        <v>28</v>
      </c>
      <c r="C12" s="234" t="s">
        <v>29</v>
      </c>
      <c r="D12" s="234" t="s">
        <v>11</v>
      </c>
      <c r="E12" s="234" t="s">
        <v>30</v>
      </c>
    </row>
    <row r="13" spans="2:6" x14ac:dyDescent="0.2">
      <c r="C13" s="234" t="s">
        <v>31</v>
      </c>
      <c r="D13" s="234" t="s">
        <v>11</v>
      </c>
      <c r="E13" s="234" t="s">
        <v>32</v>
      </c>
    </row>
    <row r="14" spans="2:6" x14ac:dyDescent="0.2">
      <c r="C14" s="234" t="s">
        <v>33</v>
      </c>
      <c r="D14" s="234" t="s">
        <v>11</v>
      </c>
      <c r="E14" s="234" t="s">
        <v>34</v>
      </c>
    </row>
    <row r="15" spans="2:6" x14ac:dyDescent="0.2">
      <c r="D15" s="234" t="s">
        <v>11</v>
      </c>
      <c r="E15" s="234" t="s">
        <v>35</v>
      </c>
    </row>
    <row r="16" spans="2:6" x14ac:dyDescent="0.2">
      <c r="D16" s="234" t="s">
        <v>11</v>
      </c>
      <c r="E16" s="234" t="s">
        <v>36</v>
      </c>
    </row>
    <row r="17" spans="4:5" x14ac:dyDescent="0.2">
      <c r="D17" s="234" t="s">
        <v>11</v>
      </c>
      <c r="E17" s="234" t="s">
        <v>37</v>
      </c>
    </row>
    <row r="18" spans="4:5" x14ac:dyDescent="0.2">
      <c r="D18" s="234" t="s">
        <v>11</v>
      </c>
      <c r="E18" s="234" t="s">
        <v>38</v>
      </c>
    </row>
    <row r="19" spans="4:5" x14ac:dyDescent="0.2">
      <c r="D19" s="234" t="s">
        <v>11</v>
      </c>
      <c r="E19" s="234" t="s">
        <v>39</v>
      </c>
    </row>
    <row r="20" spans="4:5" x14ac:dyDescent="0.2">
      <c r="D20" s="234" t="s">
        <v>11</v>
      </c>
      <c r="E20" s="234" t="s">
        <v>40</v>
      </c>
    </row>
    <row r="21" spans="4:5" x14ac:dyDescent="0.2">
      <c r="D21" s="234" t="s">
        <v>11</v>
      </c>
      <c r="E21" s="234" t="s">
        <v>41</v>
      </c>
    </row>
    <row r="22" spans="4:5" x14ac:dyDescent="0.2">
      <c r="D22" s="234" t="s">
        <v>11</v>
      </c>
      <c r="E22" s="234" t="s">
        <v>42</v>
      </c>
    </row>
    <row r="23" spans="4:5" x14ac:dyDescent="0.2">
      <c r="D23" s="234" t="s">
        <v>11</v>
      </c>
      <c r="E23" s="234" t="s">
        <v>43</v>
      </c>
    </row>
    <row r="24" spans="4:5" x14ac:dyDescent="0.2">
      <c r="D24" s="234" t="s">
        <v>11</v>
      </c>
      <c r="E24" s="234" t="s">
        <v>44</v>
      </c>
    </row>
    <row r="25" spans="4:5" x14ac:dyDescent="0.2">
      <c r="D25" s="234" t="s">
        <v>11</v>
      </c>
      <c r="E25" s="234" t="s">
        <v>45</v>
      </c>
    </row>
    <row r="26" spans="4:5" x14ac:dyDescent="0.2">
      <c r="D26" s="234" t="s">
        <v>15</v>
      </c>
      <c r="E26" s="234" t="s">
        <v>46</v>
      </c>
    </row>
    <row r="27" spans="4:5" x14ac:dyDescent="0.2">
      <c r="D27" s="234" t="s">
        <v>15</v>
      </c>
      <c r="E27" s="234" t="s">
        <v>47</v>
      </c>
    </row>
    <row r="28" spans="4:5" x14ac:dyDescent="0.2">
      <c r="D28" s="234" t="s">
        <v>15</v>
      </c>
      <c r="E28" s="234" t="s">
        <v>48</v>
      </c>
    </row>
    <row r="29" spans="4:5" x14ac:dyDescent="0.2">
      <c r="D29" s="234" t="s">
        <v>15</v>
      </c>
      <c r="E29" s="234" t="s">
        <v>49</v>
      </c>
    </row>
    <row r="30" spans="4:5" x14ac:dyDescent="0.2">
      <c r="D30" s="234" t="s">
        <v>15</v>
      </c>
      <c r="E30" s="234" t="s">
        <v>50</v>
      </c>
    </row>
    <row r="31" spans="4:5" x14ac:dyDescent="0.2">
      <c r="D31" s="234" t="s">
        <v>15</v>
      </c>
      <c r="E31" s="234" t="s">
        <v>51</v>
      </c>
    </row>
    <row r="32" spans="4:5" x14ac:dyDescent="0.2">
      <c r="D32" s="234" t="s">
        <v>15</v>
      </c>
      <c r="E32" s="234" t="s">
        <v>52</v>
      </c>
    </row>
    <row r="33" spans="4:10" x14ac:dyDescent="0.2">
      <c r="D33" s="234" t="s">
        <v>15</v>
      </c>
      <c r="E33" s="234" t="s">
        <v>53</v>
      </c>
    </row>
    <row r="34" spans="4:10" x14ac:dyDescent="0.2">
      <c r="D34" s="234" t="s">
        <v>15</v>
      </c>
      <c r="E34" s="234" t="s">
        <v>54</v>
      </c>
    </row>
    <row r="35" spans="4:10" x14ac:dyDescent="0.2">
      <c r="D35" s="234" t="s">
        <v>15</v>
      </c>
      <c r="E35" s="234" t="s">
        <v>55</v>
      </c>
    </row>
    <row r="36" spans="4:10" x14ac:dyDescent="0.2">
      <c r="D36" s="234" t="s">
        <v>15</v>
      </c>
      <c r="E36" s="234" t="s">
        <v>56</v>
      </c>
    </row>
    <row r="37" spans="4:10" x14ac:dyDescent="0.2">
      <c r="D37" s="234" t="s">
        <v>15</v>
      </c>
      <c r="E37" s="234" t="s">
        <v>57</v>
      </c>
    </row>
    <row r="38" spans="4:10" x14ac:dyDescent="0.2">
      <c r="D38" s="234" t="s">
        <v>15</v>
      </c>
      <c r="E38" s="234" t="s">
        <v>58</v>
      </c>
    </row>
    <row r="39" spans="4:10" x14ac:dyDescent="0.2">
      <c r="D39" s="234" t="s">
        <v>15</v>
      </c>
      <c r="E39" s="234" t="s">
        <v>59</v>
      </c>
    </row>
    <row r="40" spans="4:10" x14ac:dyDescent="0.2">
      <c r="D40" s="234" t="s">
        <v>15</v>
      </c>
      <c r="E40" s="234" t="s">
        <v>60</v>
      </c>
    </row>
    <row r="41" spans="4:10" x14ac:dyDescent="0.2">
      <c r="D41" s="234" t="s">
        <v>15</v>
      </c>
      <c r="E41" s="234" t="s">
        <v>61</v>
      </c>
    </row>
    <row r="42" spans="4:10" x14ac:dyDescent="0.2">
      <c r="D42" s="234" t="s">
        <v>15</v>
      </c>
      <c r="E42" s="234" t="s">
        <v>62</v>
      </c>
    </row>
    <row r="43" spans="4:10" x14ac:dyDescent="0.2">
      <c r="D43" s="234" t="s">
        <v>15</v>
      </c>
      <c r="E43" s="234" t="s">
        <v>63</v>
      </c>
    </row>
    <row r="44" spans="4:10" x14ac:dyDescent="0.2">
      <c r="D44" s="234" t="s">
        <v>15</v>
      </c>
      <c r="E44" s="234" t="s">
        <v>64</v>
      </c>
    </row>
    <row r="45" spans="4:10" ht="15" x14ac:dyDescent="0.25">
      <c r="D45" s="234" t="s">
        <v>15</v>
      </c>
      <c r="E45" s="234" t="s">
        <v>41</v>
      </c>
      <c r="J45" s="235"/>
    </row>
    <row r="46" spans="4:10" ht="15" x14ac:dyDescent="0.25">
      <c r="D46" s="234" t="s">
        <v>15</v>
      </c>
      <c r="E46" s="234" t="s">
        <v>65</v>
      </c>
      <c r="J46" s="235"/>
    </row>
    <row r="47" spans="4:10" ht="15" x14ac:dyDescent="0.25">
      <c r="D47" s="234" t="s">
        <v>15</v>
      </c>
      <c r="E47" s="234" t="s">
        <v>66</v>
      </c>
      <c r="J47" s="235"/>
    </row>
    <row r="48" spans="4:10" ht="15" x14ac:dyDescent="0.25">
      <c r="D48" s="234" t="s">
        <v>15</v>
      </c>
      <c r="E48" s="234" t="s">
        <v>67</v>
      </c>
      <c r="J48" s="235"/>
    </row>
    <row r="49" spans="4:10" ht="15" x14ac:dyDescent="0.25">
      <c r="D49" s="234" t="s">
        <v>15</v>
      </c>
      <c r="E49" s="234" t="s">
        <v>68</v>
      </c>
      <c r="J49" s="235"/>
    </row>
    <row r="50" spans="4:10" ht="15" x14ac:dyDescent="0.25">
      <c r="D50" s="234" t="s">
        <v>15</v>
      </c>
      <c r="E50" s="234" t="s">
        <v>69</v>
      </c>
      <c r="J50" s="235"/>
    </row>
    <row r="51" spans="4:10" x14ac:dyDescent="0.2">
      <c r="D51" s="234" t="s">
        <v>15</v>
      </c>
      <c r="E51" s="234" t="s">
        <v>70</v>
      </c>
    </row>
    <row r="52" spans="4:10" x14ac:dyDescent="0.2">
      <c r="D52" s="234" t="s">
        <v>15</v>
      </c>
      <c r="E52" s="234" t="s">
        <v>71</v>
      </c>
    </row>
    <row r="53" spans="4:10" x14ac:dyDescent="0.2">
      <c r="D53" s="234" t="s">
        <v>18</v>
      </c>
      <c r="E53" s="234" t="s">
        <v>72</v>
      </c>
    </row>
    <row r="54" spans="4:10" x14ac:dyDescent="0.2">
      <c r="D54" s="234" t="s">
        <v>18</v>
      </c>
      <c r="E54" s="234" t="s">
        <v>73</v>
      </c>
    </row>
    <row r="55" spans="4:10" x14ac:dyDescent="0.2">
      <c r="D55" s="234" t="s">
        <v>18</v>
      </c>
      <c r="E55" s="234" t="s">
        <v>74</v>
      </c>
    </row>
    <row r="56" spans="4:10" x14ac:dyDescent="0.2">
      <c r="D56" s="234" t="s">
        <v>18</v>
      </c>
      <c r="E56" s="234" t="s">
        <v>75</v>
      </c>
    </row>
    <row r="57" spans="4:10" x14ac:dyDescent="0.2">
      <c r="D57" s="234" t="s">
        <v>18</v>
      </c>
      <c r="E57" s="234" t="s">
        <v>76</v>
      </c>
    </row>
    <row r="58" spans="4:10" x14ac:dyDescent="0.2">
      <c r="D58" s="234" t="s">
        <v>18</v>
      </c>
      <c r="E58" s="234" t="s">
        <v>77</v>
      </c>
    </row>
    <row r="59" spans="4:10" x14ac:dyDescent="0.2">
      <c r="D59" s="234" t="s">
        <v>18</v>
      </c>
      <c r="E59" s="234" t="s">
        <v>78</v>
      </c>
    </row>
    <row r="60" spans="4:10" x14ac:dyDescent="0.2">
      <c r="D60" s="234" t="s">
        <v>18</v>
      </c>
      <c r="E60" s="234" t="s">
        <v>79</v>
      </c>
    </row>
    <row r="61" spans="4:10" x14ac:dyDescent="0.2">
      <c r="D61" s="234" t="s">
        <v>18</v>
      </c>
      <c r="E61" s="234" t="s">
        <v>80</v>
      </c>
    </row>
    <row r="62" spans="4:10" x14ac:dyDescent="0.2">
      <c r="D62" s="234" t="s">
        <v>18</v>
      </c>
      <c r="E62" s="234" t="s">
        <v>81</v>
      </c>
    </row>
    <row r="63" spans="4:10" x14ac:dyDescent="0.2">
      <c r="D63" s="234" t="s">
        <v>18</v>
      </c>
      <c r="E63" s="234" t="s">
        <v>82</v>
      </c>
    </row>
    <row r="64" spans="4:10" x14ac:dyDescent="0.2">
      <c r="D64" s="234" t="s">
        <v>18</v>
      </c>
      <c r="E64" s="234" t="s">
        <v>83</v>
      </c>
    </row>
    <row r="65" spans="4:5" x14ac:dyDescent="0.2">
      <c r="D65" s="234" t="s">
        <v>18</v>
      </c>
      <c r="E65" s="234" t="s">
        <v>84</v>
      </c>
    </row>
    <row r="66" spans="4:5" x14ac:dyDescent="0.2">
      <c r="D66" s="234" t="s">
        <v>18</v>
      </c>
      <c r="E66" s="234" t="s">
        <v>85</v>
      </c>
    </row>
    <row r="67" spans="4:5" x14ac:dyDescent="0.2">
      <c r="D67" s="234" t="s">
        <v>18</v>
      </c>
      <c r="E67" s="234" t="s">
        <v>86</v>
      </c>
    </row>
    <row r="68" spans="4:5" x14ac:dyDescent="0.2">
      <c r="D68" s="234" t="s">
        <v>18</v>
      </c>
      <c r="E68" s="234" t="s">
        <v>87</v>
      </c>
    </row>
    <row r="69" spans="4:5" x14ac:dyDescent="0.2">
      <c r="D69" s="234" t="s">
        <v>18</v>
      </c>
      <c r="E69" s="234" t="s">
        <v>88</v>
      </c>
    </row>
    <row r="70" spans="4:5" x14ac:dyDescent="0.2">
      <c r="D70" s="234" t="s">
        <v>18</v>
      </c>
      <c r="E70" s="234" t="s">
        <v>89</v>
      </c>
    </row>
    <row r="71" spans="4:5" x14ac:dyDescent="0.2">
      <c r="D71" s="234" t="s">
        <v>18</v>
      </c>
      <c r="E71" s="234" t="s">
        <v>90</v>
      </c>
    </row>
    <row r="72" spans="4:5" x14ac:dyDescent="0.2">
      <c r="D72" s="234" t="s">
        <v>18</v>
      </c>
      <c r="E72" s="234" t="s">
        <v>91</v>
      </c>
    </row>
    <row r="73" spans="4:5" x14ac:dyDescent="0.2">
      <c r="D73" s="234" t="s">
        <v>18</v>
      </c>
      <c r="E73" s="234" t="s">
        <v>92</v>
      </c>
    </row>
    <row r="74" spans="4:5" x14ac:dyDescent="0.2">
      <c r="D74" s="234" t="s">
        <v>20</v>
      </c>
      <c r="E74" s="234" t="s">
        <v>93</v>
      </c>
    </row>
    <row r="75" spans="4:5" x14ac:dyDescent="0.2">
      <c r="D75" s="234" t="s">
        <v>20</v>
      </c>
      <c r="E75" s="234" t="s">
        <v>94</v>
      </c>
    </row>
    <row r="76" spans="4:5" x14ac:dyDescent="0.2">
      <c r="D76" s="234" t="s">
        <v>20</v>
      </c>
      <c r="E76" s="234" t="s">
        <v>95</v>
      </c>
    </row>
    <row r="77" spans="4:5" x14ac:dyDescent="0.2">
      <c r="D77" s="234" t="s">
        <v>20</v>
      </c>
      <c r="E77" s="234" t="s">
        <v>96</v>
      </c>
    </row>
    <row r="78" spans="4:5" x14ac:dyDescent="0.2">
      <c r="D78" s="234" t="s">
        <v>20</v>
      </c>
      <c r="E78" s="234" t="s">
        <v>97</v>
      </c>
    </row>
    <row r="79" spans="4:5" x14ac:dyDescent="0.2">
      <c r="D79" s="234" t="s">
        <v>20</v>
      </c>
      <c r="E79" s="234" t="s">
        <v>98</v>
      </c>
    </row>
    <row r="80" spans="4:5" x14ac:dyDescent="0.2">
      <c r="D80" s="234" t="s">
        <v>20</v>
      </c>
      <c r="E80" s="234" t="s">
        <v>99</v>
      </c>
    </row>
    <row r="81" spans="4:5" x14ac:dyDescent="0.2">
      <c r="D81" s="234" t="s">
        <v>20</v>
      </c>
      <c r="E81" s="234" t="s">
        <v>100</v>
      </c>
    </row>
    <row r="82" spans="4:5" x14ac:dyDescent="0.2">
      <c r="D82" s="234" t="s">
        <v>20</v>
      </c>
      <c r="E82" s="234" t="s">
        <v>101</v>
      </c>
    </row>
    <row r="83" spans="4:5" x14ac:dyDescent="0.2">
      <c r="D83" s="234" t="s">
        <v>20</v>
      </c>
      <c r="E83" s="234" t="s">
        <v>102</v>
      </c>
    </row>
    <row r="84" spans="4:5" x14ac:dyDescent="0.2">
      <c r="D84" s="234" t="s">
        <v>20</v>
      </c>
      <c r="E84" s="234" t="s">
        <v>103</v>
      </c>
    </row>
    <row r="85" spans="4:5" x14ac:dyDescent="0.2">
      <c r="D85" s="234" t="s">
        <v>20</v>
      </c>
      <c r="E85" s="234" t="s">
        <v>104</v>
      </c>
    </row>
    <row r="86" spans="4:5" x14ac:dyDescent="0.2">
      <c r="D86" s="234" t="s">
        <v>20</v>
      </c>
      <c r="E86" s="234" t="s">
        <v>105</v>
      </c>
    </row>
    <row r="87" spans="4:5" x14ac:dyDescent="0.2">
      <c r="D87" s="234" t="s">
        <v>20</v>
      </c>
      <c r="E87" s="234" t="s">
        <v>106</v>
      </c>
    </row>
    <row r="88" spans="4:5" x14ac:dyDescent="0.2">
      <c r="D88" s="234" t="s">
        <v>20</v>
      </c>
      <c r="E88" s="234" t="s">
        <v>107</v>
      </c>
    </row>
    <row r="89" spans="4:5" x14ac:dyDescent="0.2">
      <c r="D89" s="234" t="s">
        <v>20</v>
      </c>
      <c r="E89" s="234" t="s">
        <v>108</v>
      </c>
    </row>
    <row r="90" spans="4:5" x14ac:dyDescent="0.2">
      <c r="D90" s="234" t="s">
        <v>20</v>
      </c>
      <c r="E90" s="234" t="s">
        <v>109</v>
      </c>
    </row>
    <row r="91" spans="4:5" x14ac:dyDescent="0.2">
      <c r="D91" s="234" t="s">
        <v>20</v>
      </c>
      <c r="E91" s="234" t="s">
        <v>110</v>
      </c>
    </row>
    <row r="92" spans="4:5" x14ac:dyDescent="0.2">
      <c r="D92" s="234" t="s">
        <v>20</v>
      </c>
      <c r="E92" s="234" t="s">
        <v>111</v>
      </c>
    </row>
    <row r="93" spans="4:5" x14ac:dyDescent="0.2">
      <c r="D93" s="234" t="s">
        <v>20</v>
      </c>
      <c r="E93" s="234" t="s">
        <v>112</v>
      </c>
    </row>
    <row r="94" spans="4:5" x14ac:dyDescent="0.2">
      <c r="D94" s="234" t="s">
        <v>23</v>
      </c>
      <c r="E94" s="234" t="s">
        <v>113</v>
      </c>
    </row>
    <row r="95" spans="4:5" x14ac:dyDescent="0.2">
      <c r="D95" s="234" t="s">
        <v>23</v>
      </c>
      <c r="E95" s="234" t="s">
        <v>114</v>
      </c>
    </row>
    <row r="96" spans="4:5" x14ac:dyDescent="0.2">
      <c r="D96" s="234" t="s">
        <v>23</v>
      </c>
      <c r="E96" s="234" t="s">
        <v>115</v>
      </c>
    </row>
    <row r="97" spans="4:5" x14ac:dyDescent="0.2">
      <c r="D97" s="234" t="s">
        <v>23</v>
      </c>
      <c r="E97" s="234" t="s">
        <v>116</v>
      </c>
    </row>
    <row r="98" spans="4:5" x14ac:dyDescent="0.2">
      <c r="D98" s="234" t="s">
        <v>23</v>
      </c>
      <c r="E98" s="234" t="s">
        <v>117</v>
      </c>
    </row>
    <row r="99" spans="4:5" x14ac:dyDescent="0.2">
      <c r="D99" s="234" t="s">
        <v>23</v>
      </c>
      <c r="E99" s="234" t="s">
        <v>97</v>
      </c>
    </row>
    <row r="100" spans="4:5" x14ac:dyDescent="0.2">
      <c r="D100" s="234" t="s">
        <v>23</v>
      </c>
      <c r="E100" s="234" t="s">
        <v>99</v>
      </c>
    </row>
    <row r="101" spans="4:5" x14ac:dyDescent="0.2">
      <c r="D101" s="234" t="s">
        <v>23</v>
      </c>
      <c r="E101" s="234" t="s">
        <v>100</v>
      </c>
    </row>
    <row r="102" spans="4:5" x14ac:dyDescent="0.2">
      <c r="D102" s="234" t="s">
        <v>23</v>
      </c>
      <c r="E102" s="234" t="s">
        <v>118</v>
      </c>
    </row>
    <row r="103" spans="4:5" x14ac:dyDescent="0.2">
      <c r="D103" s="234" t="s">
        <v>23</v>
      </c>
      <c r="E103" s="234" t="s">
        <v>119</v>
      </c>
    </row>
    <row r="104" spans="4:5" x14ac:dyDescent="0.2">
      <c r="D104" s="234" t="s">
        <v>23</v>
      </c>
      <c r="E104" s="234" t="s">
        <v>120</v>
      </c>
    </row>
    <row r="105" spans="4:5" x14ac:dyDescent="0.2">
      <c r="D105" s="234" t="s">
        <v>23</v>
      </c>
      <c r="E105" s="234" t="s">
        <v>106</v>
      </c>
    </row>
    <row r="106" spans="4:5" x14ac:dyDescent="0.2">
      <c r="D106" s="234" t="s">
        <v>23</v>
      </c>
      <c r="E106" s="234" t="s">
        <v>107</v>
      </c>
    </row>
    <row r="107" spans="4:5" x14ac:dyDescent="0.2">
      <c r="D107" s="234" t="s">
        <v>23</v>
      </c>
      <c r="E107" s="234" t="s">
        <v>108</v>
      </c>
    </row>
    <row r="108" spans="4:5" x14ac:dyDescent="0.2">
      <c r="D108" s="234" t="s">
        <v>23</v>
      </c>
      <c r="E108" s="234" t="s">
        <v>109</v>
      </c>
    </row>
    <row r="109" spans="4:5" x14ac:dyDescent="0.2">
      <c r="D109" s="234" t="s">
        <v>23</v>
      </c>
      <c r="E109" s="234" t="s">
        <v>110</v>
      </c>
    </row>
    <row r="110" spans="4:5" x14ac:dyDescent="0.2">
      <c r="D110" s="234" t="s">
        <v>23</v>
      </c>
      <c r="E110" s="234" t="s">
        <v>111</v>
      </c>
    </row>
    <row r="111" spans="4:5" x14ac:dyDescent="0.2">
      <c r="D111" s="234" t="s">
        <v>23</v>
      </c>
      <c r="E111" s="234" t="s">
        <v>112</v>
      </c>
    </row>
    <row r="112" spans="4:5" x14ac:dyDescent="0.2">
      <c r="D112" s="234" t="s">
        <v>26</v>
      </c>
      <c r="E112" s="234" t="s">
        <v>8</v>
      </c>
    </row>
    <row r="113" spans="4:5" x14ac:dyDescent="0.2">
      <c r="D113" s="234" t="s">
        <v>26</v>
      </c>
      <c r="E113" s="234" t="s">
        <v>121</v>
      </c>
    </row>
    <row r="114" spans="4:5" x14ac:dyDescent="0.2">
      <c r="D114" s="234" t="s">
        <v>26</v>
      </c>
      <c r="E114" s="234" t="s">
        <v>96</v>
      </c>
    </row>
    <row r="115" spans="4:5" x14ac:dyDescent="0.2">
      <c r="D115" s="234" t="s">
        <v>26</v>
      </c>
      <c r="E115" s="234" t="s">
        <v>97</v>
      </c>
    </row>
    <row r="116" spans="4:5" x14ac:dyDescent="0.2">
      <c r="D116" s="234" t="s">
        <v>26</v>
      </c>
      <c r="E116" s="234" t="s">
        <v>122</v>
      </c>
    </row>
    <row r="117" spans="4:5" x14ac:dyDescent="0.2">
      <c r="D117" s="234" t="s">
        <v>26</v>
      </c>
      <c r="E117" s="234" t="s">
        <v>123</v>
      </c>
    </row>
    <row r="118" spans="4:5" x14ac:dyDescent="0.2">
      <c r="D118" s="234" t="s">
        <v>26</v>
      </c>
      <c r="E118" s="234" t="s">
        <v>41</v>
      </c>
    </row>
    <row r="119" spans="4:5" x14ac:dyDescent="0.2">
      <c r="D119" s="234" t="s">
        <v>26</v>
      </c>
      <c r="E119" s="234" t="s">
        <v>124</v>
      </c>
    </row>
    <row r="120" spans="4:5" x14ac:dyDescent="0.2">
      <c r="D120" s="234" t="s">
        <v>26</v>
      </c>
      <c r="E120" s="234" t="s">
        <v>106</v>
      </c>
    </row>
    <row r="121" spans="4:5" x14ac:dyDescent="0.2">
      <c r="D121" s="234" t="s">
        <v>26</v>
      </c>
      <c r="E121" s="234" t="s">
        <v>107</v>
      </c>
    </row>
    <row r="122" spans="4:5" x14ac:dyDescent="0.2">
      <c r="D122" s="234" t="s">
        <v>26</v>
      </c>
      <c r="E122" s="234" t="s">
        <v>108</v>
      </c>
    </row>
    <row r="123" spans="4:5" x14ac:dyDescent="0.2">
      <c r="D123" s="234" t="s">
        <v>26</v>
      </c>
      <c r="E123" s="234" t="s">
        <v>110</v>
      </c>
    </row>
    <row r="124" spans="4:5" x14ac:dyDescent="0.2">
      <c r="D124" s="234" t="s">
        <v>26</v>
      </c>
      <c r="E124" s="234" t="s">
        <v>111</v>
      </c>
    </row>
    <row r="125" spans="4:5" x14ac:dyDescent="0.2">
      <c r="D125" s="234" t="s">
        <v>26</v>
      </c>
      <c r="E125" s="234" t="s">
        <v>112</v>
      </c>
    </row>
    <row r="126" spans="4:5" x14ac:dyDescent="0.2">
      <c r="D126" s="234" t="s">
        <v>29</v>
      </c>
      <c r="E126" s="234" t="s">
        <v>8</v>
      </c>
    </row>
    <row r="127" spans="4:5" x14ac:dyDescent="0.2">
      <c r="D127" s="234" t="s">
        <v>29</v>
      </c>
      <c r="E127" s="234" t="s">
        <v>125</v>
      </c>
    </row>
    <row r="128" spans="4:5" x14ac:dyDescent="0.2">
      <c r="D128" s="234" t="s">
        <v>29</v>
      </c>
      <c r="E128" s="234" t="s">
        <v>126</v>
      </c>
    </row>
    <row r="129" spans="4:5" x14ac:dyDescent="0.2">
      <c r="D129" s="234" t="s">
        <v>29</v>
      </c>
      <c r="E129" s="234" t="s">
        <v>96</v>
      </c>
    </row>
    <row r="130" spans="4:5" x14ac:dyDescent="0.2">
      <c r="D130" s="234" t="s">
        <v>29</v>
      </c>
      <c r="E130" s="234" t="s">
        <v>127</v>
      </c>
    </row>
    <row r="131" spans="4:5" x14ac:dyDescent="0.2">
      <c r="D131" s="234" t="s">
        <v>29</v>
      </c>
      <c r="E131" s="234" t="s">
        <v>128</v>
      </c>
    </row>
    <row r="132" spans="4:5" x14ac:dyDescent="0.2">
      <c r="D132" s="234" t="s">
        <v>29</v>
      </c>
      <c r="E132" s="234" t="s">
        <v>129</v>
      </c>
    </row>
    <row r="133" spans="4:5" x14ac:dyDescent="0.2">
      <c r="D133" s="234" t="s">
        <v>29</v>
      </c>
      <c r="E133" s="234" t="s">
        <v>130</v>
      </c>
    </row>
    <row r="134" spans="4:5" x14ac:dyDescent="0.2">
      <c r="D134" s="234" t="s">
        <v>29</v>
      </c>
      <c r="E134" s="234" t="s">
        <v>131</v>
      </c>
    </row>
    <row r="135" spans="4:5" x14ac:dyDescent="0.2">
      <c r="D135" s="234" t="s">
        <v>29</v>
      </c>
      <c r="E135" s="234" t="s">
        <v>132</v>
      </c>
    </row>
    <row r="136" spans="4:5" x14ac:dyDescent="0.2">
      <c r="D136" s="234" t="s">
        <v>29</v>
      </c>
      <c r="E136" s="234" t="s">
        <v>133</v>
      </c>
    </row>
    <row r="137" spans="4:5" x14ac:dyDescent="0.2">
      <c r="D137" s="234" t="s">
        <v>29</v>
      </c>
      <c r="E137" s="234" t="s">
        <v>97</v>
      </c>
    </row>
    <row r="138" spans="4:5" x14ac:dyDescent="0.2">
      <c r="D138" s="234" t="s">
        <v>29</v>
      </c>
      <c r="E138" s="234" t="s">
        <v>134</v>
      </c>
    </row>
    <row r="139" spans="4:5" x14ac:dyDescent="0.2">
      <c r="D139" s="234" t="s">
        <v>29</v>
      </c>
      <c r="E139" s="234" t="s">
        <v>135</v>
      </c>
    </row>
    <row r="140" spans="4:5" x14ac:dyDescent="0.2">
      <c r="D140" s="234" t="s">
        <v>29</v>
      </c>
      <c r="E140" s="234" t="s">
        <v>136</v>
      </c>
    </row>
    <row r="141" spans="4:5" x14ac:dyDescent="0.2">
      <c r="D141" s="234" t="s">
        <v>29</v>
      </c>
      <c r="E141" s="234" t="s">
        <v>137</v>
      </c>
    </row>
    <row r="142" spans="4:5" x14ac:dyDescent="0.2">
      <c r="D142" s="234" t="s">
        <v>29</v>
      </c>
      <c r="E142" s="234" t="s">
        <v>138</v>
      </c>
    </row>
    <row r="143" spans="4:5" x14ac:dyDescent="0.2">
      <c r="D143" s="234" t="s">
        <v>29</v>
      </c>
      <c r="E143" s="234" t="s">
        <v>139</v>
      </c>
    </row>
    <row r="144" spans="4:5" x14ac:dyDescent="0.2">
      <c r="D144" s="234" t="s">
        <v>29</v>
      </c>
      <c r="E144" s="234" t="s">
        <v>41</v>
      </c>
    </row>
    <row r="145" spans="4:5" x14ac:dyDescent="0.2">
      <c r="D145" s="234" t="s">
        <v>29</v>
      </c>
      <c r="E145" s="234" t="s">
        <v>140</v>
      </c>
    </row>
    <row r="146" spans="4:5" x14ac:dyDescent="0.2">
      <c r="D146" s="234" t="s">
        <v>29</v>
      </c>
      <c r="E146" s="234" t="s">
        <v>106</v>
      </c>
    </row>
    <row r="147" spans="4:5" x14ac:dyDescent="0.2">
      <c r="D147" s="234" t="s">
        <v>29</v>
      </c>
      <c r="E147" s="234" t="s">
        <v>107</v>
      </c>
    </row>
    <row r="148" spans="4:5" x14ac:dyDescent="0.2">
      <c r="D148" s="234" t="s">
        <v>29</v>
      </c>
      <c r="E148" s="234" t="s">
        <v>108</v>
      </c>
    </row>
    <row r="149" spans="4:5" x14ac:dyDescent="0.2">
      <c r="D149" s="234" t="s">
        <v>29</v>
      </c>
      <c r="E149" s="234" t="s">
        <v>109</v>
      </c>
    </row>
    <row r="150" spans="4:5" x14ac:dyDescent="0.2">
      <c r="D150" s="234" t="s">
        <v>29</v>
      </c>
      <c r="E150" s="234" t="s">
        <v>141</v>
      </c>
    </row>
    <row r="151" spans="4:5" x14ac:dyDescent="0.2">
      <c r="D151" s="234" t="s">
        <v>29</v>
      </c>
      <c r="E151" s="234" t="s">
        <v>142</v>
      </c>
    </row>
    <row r="152" spans="4:5" x14ac:dyDescent="0.2">
      <c r="D152" s="234" t="s">
        <v>29</v>
      </c>
      <c r="E152" s="234" t="s">
        <v>111</v>
      </c>
    </row>
    <row r="153" spans="4:5" x14ac:dyDescent="0.2">
      <c r="D153" s="234" t="s">
        <v>29</v>
      </c>
      <c r="E153" s="234" t="s">
        <v>112</v>
      </c>
    </row>
    <row r="154" spans="4:5" x14ac:dyDescent="0.2">
      <c r="D154" s="234" t="s">
        <v>31</v>
      </c>
      <c r="E154" s="234" t="s">
        <v>30</v>
      </c>
    </row>
    <row r="155" spans="4:5" x14ac:dyDescent="0.2">
      <c r="D155" s="234" t="s">
        <v>31</v>
      </c>
      <c r="E155" s="234" t="s">
        <v>143</v>
      </c>
    </row>
    <row r="156" spans="4:5" x14ac:dyDescent="0.2">
      <c r="D156" s="234" t="s">
        <v>31</v>
      </c>
      <c r="E156" s="234" t="s">
        <v>144</v>
      </c>
    </row>
    <row r="157" spans="4:5" x14ac:dyDescent="0.2">
      <c r="D157" s="234" t="s">
        <v>31</v>
      </c>
      <c r="E157" s="234" t="s">
        <v>145</v>
      </c>
    </row>
    <row r="158" spans="4:5" x14ac:dyDescent="0.2">
      <c r="D158" s="234" t="s">
        <v>31</v>
      </c>
      <c r="E158" s="234" t="s">
        <v>146</v>
      </c>
    </row>
    <row r="159" spans="4:5" x14ac:dyDescent="0.2">
      <c r="D159" s="234" t="s">
        <v>31</v>
      </c>
      <c r="E159" s="234" t="s">
        <v>147</v>
      </c>
    </row>
    <row r="160" spans="4:5" x14ac:dyDescent="0.2">
      <c r="D160" s="234" t="s">
        <v>31</v>
      </c>
      <c r="E160" s="234" t="s">
        <v>148</v>
      </c>
    </row>
    <row r="161" spans="4:5" x14ac:dyDescent="0.2">
      <c r="D161" s="234" t="s">
        <v>31</v>
      </c>
      <c r="E161" s="234" t="s">
        <v>149</v>
      </c>
    </row>
    <row r="162" spans="4:5" x14ac:dyDescent="0.2">
      <c r="D162" s="234" t="s">
        <v>31</v>
      </c>
      <c r="E162" s="234" t="s">
        <v>150</v>
      </c>
    </row>
    <row r="163" spans="4:5" x14ac:dyDescent="0.2">
      <c r="D163" s="234" t="s">
        <v>31</v>
      </c>
      <c r="E163" s="234" t="s">
        <v>83</v>
      </c>
    </row>
    <row r="164" spans="4:5" x14ac:dyDescent="0.2">
      <c r="D164" s="234" t="s">
        <v>31</v>
      </c>
      <c r="E164" s="234" t="s">
        <v>151</v>
      </c>
    </row>
    <row r="165" spans="4:5" x14ac:dyDescent="0.2">
      <c r="D165" s="234" t="s">
        <v>31</v>
      </c>
      <c r="E165" s="234" t="s">
        <v>152</v>
      </c>
    </row>
    <row r="166" spans="4:5" x14ac:dyDescent="0.2">
      <c r="D166" s="234" t="s">
        <v>31</v>
      </c>
      <c r="E166" s="234" t="s">
        <v>96</v>
      </c>
    </row>
    <row r="167" spans="4:5" x14ac:dyDescent="0.2">
      <c r="D167" s="234" t="s">
        <v>31</v>
      </c>
      <c r="E167" s="234" t="s">
        <v>97</v>
      </c>
    </row>
    <row r="168" spans="4:5" x14ac:dyDescent="0.2">
      <c r="D168" s="234" t="s">
        <v>31</v>
      </c>
      <c r="E168" s="234" t="s">
        <v>153</v>
      </c>
    </row>
    <row r="169" spans="4:5" x14ac:dyDescent="0.2">
      <c r="D169" s="234" t="s">
        <v>31</v>
      </c>
      <c r="E169" s="234" t="s">
        <v>154</v>
      </c>
    </row>
    <row r="170" spans="4:5" x14ac:dyDescent="0.2">
      <c r="D170" s="234" t="s">
        <v>31</v>
      </c>
      <c r="E170" s="234" t="s">
        <v>155</v>
      </c>
    </row>
    <row r="171" spans="4:5" x14ac:dyDescent="0.2">
      <c r="D171" s="234" t="s">
        <v>31</v>
      </c>
      <c r="E171" s="234" t="s">
        <v>156</v>
      </c>
    </row>
    <row r="172" spans="4:5" x14ac:dyDescent="0.2">
      <c r="D172" s="234" t="s">
        <v>31</v>
      </c>
      <c r="E172" s="234" t="s">
        <v>157</v>
      </c>
    </row>
    <row r="173" spans="4:5" x14ac:dyDescent="0.2">
      <c r="D173" s="234" t="s">
        <v>31</v>
      </c>
      <c r="E173" s="234" t="s">
        <v>158</v>
      </c>
    </row>
    <row r="174" spans="4:5" x14ac:dyDescent="0.2">
      <c r="D174" s="234" t="s">
        <v>31</v>
      </c>
      <c r="E174" s="234" t="s">
        <v>159</v>
      </c>
    </row>
    <row r="175" spans="4:5" x14ac:dyDescent="0.2">
      <c r="D175" s="234" t="s">
        <v>31</v>
      </c>
      <c r="E175" s="234" t="s">
        <v>160</v>
      </c>
    </row>
    <row r="176" spans="4:5" x14ac:dyDescent="0.2">
      <c r="D176" s="234" t="s">
        <v>31</v>
      </c>
      <c r="E176" s="234" t="s">
        <v>161</v>
      </c>
    </row>
    <row r="177" spans="4:5" x14ac:dyDescent="0.2">
      <c r="D177" s="234" t="s">
        <v>31</v>
      </c>
      <c r="E177" s="234" t="s">
        <v>36</v>
      </c>
    </row>
    <row r="178" spans="4:5" x14ac:dyDescent="0.2">
      <c r="D178" s="234" t="s">
        <v>31</v>
      </c>
      <c r="E178" s="234" t="s">
        <v>162</v>
      </c>
    </row>
    <row r="179" spans="4:5" x14ac:dyDescent="0.2">
      <c r="D179" s="234" t="s">
        <v>31</v>
      </c>
      <c r="E179" s="234" t="s">
        <v>163</v>
      </c>
    </row>
    <row r="180" spans="4:5" x14ac:dyDescent="0.2">
      <c r="D180" s="234" t="s">
        <v>31</v>
      </c>
      <c r="E180" s="234" t="s">
        <v>88</v>
      </c>
    </row>
    <row r="181" spans="4:5" x14ac:dyDescent="0.2">
      <c r="D181" s="234" t="s">
        <v>31</v>
      </c>
      <c r="E181" s="234" t="s">
        <v>164</v>
      </c>
    </row>
    <row r="182" spans="4:5" x14ac:dyDescent="0.2">
      <c r="D182" s="234" t="s">
        <v>31</v>
      </c>
      <c r="E182" s="234" t="s">
        <v>165</v>
      </c>
    </row>
    <row r="183" spans="4:5" x14ac:dyDescent="0.2">
      <c r="D183" s="234" t="s">
        <v>31</v>
      </c>
      <c r="E183" s="234" t="s">
        <v>166</v>
      </c>
    </row>
    <row r="184" spans="4:5" x14ac:dyDescent="0.2">
      <c r="D184" s="234" t="s">
        <v>31</v>
      </c>
      <c r="E184" s="234" t="s">
        <v>167</v>
      </c>
    </row>
    <row r="185" spans="4:5" x14ac:dyDescent="0.2">
      <c r="D185" s="234" t="s">
        <v>31</v>
      </c>
      <c r="E185" s="234" t="s">
        <v>168</v>
      </c>
    </row>
    <row r="186" spans="4:5" x14ac:dyDescent="0.2">
      <c r="D186" s="234" t="s">
        <v>31</v>
      </c>
      <c r="E186" s="234" t="s">
        <v>43</v>
      </c>
    </row>
    <row r="187" spans="4:5" x14ac:dyDescent="0.2">
      <c r="D187" s="234" t="s">
        <v>31</v>
      </c>
      <c r="E187" s="234" t="s">
        <v>169</v>
      </c>
    </row>
    <row r="188" spans="4:5" x14ac:dyDescent="0.2">
      <c r="D188" s="234" t="s">
        <v>31</v>
      </c>
      <c r="E188" s="234" t="s">
        <v>170</v>
      </c>
    </row>
    <row r="189" spans="4:5" x14ac:dyDescent="0.2">
      <c r="D189" s="234" t="s">
        <v>31</v>
      </c>
      <c r="E189" s="234" t="s">
        <v>112</v>
      </c>
    </row>
    <row r="190" spans="4:5" x14ac:dyDescent="0.2">
      <c r="D190" s="234" t="s">
        <v>33</v>
      </c>
      <c r="E190" s="234" t="s">
        <v>171</v>
      </c>
    </row>
    <row r="191" spans="4:5" x14ac:dyDescent="0.2">
      <c r="D191" s="234" t="s">
        <v>33</v>
      </c>
      <c r="E191" s="234" t="s">
        <v>172</v>
      </c>
    </row>
    <row r="192" spans="4:5" x14ac:dyDescent="0.2">
      <c r="D192" s="234" t="s">
        <v>33</v>
      </c>
      <c r="E192" s="234" t="s">
        <v>173</v>
      </c>
    </row>
    <row r="193" spans="4:5" x14ac:dyDescent="0.2">
      <c r="D193" s="234" t="s">
        <v>33</v>
      </c>
      <c r="E193" s="234" t="s">
        <v>174</v>
      </c>
    </row>
    <row r="194" spans="4:5" x14ac:dyDescent="0.2">
      <c r="D194" s="234" t="s">
        <v>33</v>
      </c>
      <c r="E194" s="234" t="s">
        <v>175</v>
      </c>
    </row>
    <row r="195" spans="4:5" x14ac:dyDescent="0.2">
      <c r="D195" s="234" t="s">
        <v>33</v>
      </c>
      <c r="E195" s="234" t="s">
        <v>176</v>
      </c>
    </row>
    <row r="196" spans="4:5" x14ac:dyDescent="0.2">
      <c r="D196" s="234" t="s">
        <v>33</v>
      </c>
      <c r="E196" s="234" t="s">
        <v>177</v>
      </c>
    </row>
    <row r="197" spans="4:5" x14ac:dyDescent="0.2">
      <c r="D197" s="234" t="s">
        <v>33</v>
      </c>
      <c r="E197" s="234" t="s">
        <v>178</v>
      </c>
    </row>
    <row r="198" spans="4:5" x14ac:dyDescent="0.2">
      <c r="D198" s="234" t="s">
        <v>33</v>
      </c>
      <c r="E198" s="234" t="s">
        <v>179</v>
      </c>
    </row>
    <row r="199" spans="4:5" x14ac:dyDescent="0.2">
      <c r="D199" s="234" t="s">
        <v>33</v>
      </c>
      <c r="E199" s="234" t="s">
        <v>180</v>
      </c>
    </row>
    <row r="200" spans="4:5" x14ac:dyDescent="0.2">
      <c r="D200" s="234" t="s">
        <v>33</v>
      </c>
      <c r="E200" s="234" t="s">
        <v>181</v>
      </c>
    </row>
    <row r="201" spans="4:5" x14ac:dyDescent="0.2">
      <c r="D201" s="234" t="s">
        <v>33</v>
      </c>
      <c r="E201" s="234" t="s">
        <v>36</v>
      </c>
    </row>
    <row r="202" spans="4:5" x14ac:dyDescent="0.2">
      <c r="D202" s="234" t="s">
        <v>33</v>
      </c>
      <c r="E202" s="234" t="s">
        <v>182</v>
      </c>
    </row>
    <row r="203" spans="4:5" x14ac:dyDescent="0.2">
      <c r="D203" s="234" t="s">
        <v>33</v>
      </c>
      <c r="E203" s="234" t="s">
        <v>183</v>
      </c>
    </row>
  </sheetData>
  <customSheetViews>
    <customSheetView guid="{C5333697-7BE7-4020-97A4-B735E526926D}" state="hidden">
      <selection activeCell="G8" sqref="G8"/>
      <pageMargins left="0" right="0" top="0" bottom="0" header="0" footer="0"/>
    </customSheetView>
    <customSheetView guid="{9C22FFE9-00CF-47D0-BD99-D84A00825140}" state="hidden">
      <selection activeCell="G8" sqref="G8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102"/>
  <sheetViews>
    <sheetView zoomScale="85" zoomScaleNormal="85" zoomScaleSheetLayoutView="100" workbookViewId="0">
      <selection activeCell="F16" sqref="F16:F18"/>
    </sheetView>
  </sheetViews>
  <sheetFormatPr defaultColWidth="9.140625" defaultRowHeight="12.75" outlineLevelCol="1" x14ac:dyDescent="0.2"/>
  <cols>
    <col min="1" max="1" width="1.85546875" style="3" customWidth="1"/>
    <col min="2" max="2" width="8.140625" style="4" customWidth="1"/>
    <col min="3" max="3" width="11.28515625" style="4" customWidth="1"/>
    <col min="4" max="4" width="10.140625" style="3" customWidth="1"/>
    <col min="5" max="5" width="10" style="3" customWidth="1"/>
    <col min="6" max="6" width="15.28515625" style="3" customWidth="1"/>
    <col min="7" max="7" width="10.7109375" style="3" customWidth="1"/>
    <col min="8" max="8" width="10.42578125" style="3" customWidth="1"/>
    <col min="9" max="9" width="10.7109375" style="3" bestFit="1" customWidth="1"/>
    <col min="10" max="10" width="11.42578125" style="3" customWidth="1"/>
    <col min="11" max="11" width="10.42578125" style="3" bestFit="1" customWidth="1"/>
    <col min="12" max="12" width="11.42578125" style="3" bestFit="1" customWidth="1"/>
    <col min="13" max="16" width="11.5703125" style="3" customWidth="1"/>
    <col min="17" max="17" width="10" style="3" customWidth="1"/>
    <col min="18" max="18" width="9.28515625" style="3" customWidth="1"/>
    <col min="19" max="19" width="10.140625" style="3" customWidth="1"/>
    <col min="20" max="20" width="11.5703125" style="3" customWidth="1"/>
    <col min="21" max="21" width="7.7109375" style="3" customWidth="1" outlineLevel="1"/>
    <col min="22" max="22" width="10.5703125" style="3" customWidth="1" outlineLevel="1"/>
    <col min="23" max="26" width="9.140625" style="3" customWidth="1" outlineLevel="1"/>
    <col min="27" max="27" width="9.85546875" style="3" customWidth="1" outlineLevel="1"/>
    <col min="28" max="28" width="9.140625" style="3" customWidth="1" outlineLevel="1"/>
    <col min="29" max="29" width="12.28515625" style="3" customWidth="1" outlineLevel="1"/>
    <col min="30" max="31" width="9.140625" style="3" customWidth="1" outlineLevel="1"/>
    <col min="32" max="32" width="12.28515625" style="3" customWidth="1" outlineLevel="1"/>
    <col min="33" max="34" width="9.140625" style="3" customWidth="1" outlineLevel="1"/>
    <col min="35" max="16384" width="9.140625" style="3"/>
  </cols>
  <sheetData>
    <row r="1" spans="2:34" ht="9.75" customHeight="1" x14ac:dyDescent="0.2">
      <c r="B1" s="245"/>
      <c r="C1" s="245"/>
      <c r="L1" s="119"/>
    </row>
    <row r="2" spans="2:34" ht="17.25" customHeight="1" x14ac:dyDescent="0.2">
      <c r="B2" s="245"/>
      <c r="C2" s="152" t="s">
        <v>184</v>
      </c>
      <c r="H2" s="119">
        <v>275.7</v>
      </c>
      <c r="I2" s="199">
        <f ca="1">SUM(D9:D12)</f>
        <v>6822.46</v>
      </c>
      <c r="J2" s="240">
        <f ca="1">H2/I2</f>
        <v>4.0410643668119708E-2</v>
      </c>
      <c r="K2" s="119"/>
    </row>
    <row r="3" spans="2:34" ht="9.75" customHeight="1" thickBot="1" x14ac:dyDescent="0.25">
      <c r="B3" s="245"/>
      <c r="C3" s="245"/>
    </row>
    <row r="4" spans="2:34" ht="18" customHeight="1" thickBot="1" x14ac:dyDescent="0.25">
      <c r="B4" s="245"/>
      <c r="C4" s="167" t="s">
        <v>185</v>
      </c>
      <c r="D4" s="169">
        <f ca="1">SUM(D9:D39)</f>
        <v>21518.2</v>
      </c>
      <c r="E4" s="169"/>
      <c r="F4" s="169">
        <f ca="1">SUM(F9:F39)</f>
        <v>20742.195</v>
      </c>
      <c r="G4" s="169">
        <f ca="1">SUM(G9:G39)</f>
        <v>20396.195</v>
      </c>
      <c r="H4" s="169">
        <f t="shared" ref="H4:I4" ca="1" si="0">SUM(H9:H39)</f>
        <v>2602.1099999999997</v>
      </c>
      <c r="I4" s="169">
        <f t="shared" ca="1" si="0"/>
        <v>1650</v>
      </c>
      <c r="J4" s="169">
        <f>SUM(J9:J39)</f>
        <v>346</v>
      </c>
      <c r="K4" s="169">
        <f ca="1">SUM(K9:K39)</f>
        <v>4387.7</v>
      </c>
      <c r="L4" s="146">
        <f ca="1">SUM(L9:L39)</f>
        <v>0</v>
      </c>
      <c r="M4" s="221">
        <f ca="1">IF(ISERROR(G4/D4),"",(G4/D4))</f>
        <v>0.94785785985816651</v>
      </c>
      <c r="N4" s="231">
        <f ca="1">IF(ISERROR((F4-J4+K4+L4)/D4),"",((F4-J4+K4+L4)/D4))</f>
        <v>1.1517643204357242</v>
      </c>
      <c r="O4" s="146">
        <f ca="1">SUM(O9:O39)</f>
        <v>17752.845066666665</v>
      </c>
      <c r="P4" s="197">
        <f t="shared" ref="P4:T4" ca="1" si="1">SUM(P9:P39)</f>
        <v>11.089639836992992</v>
      </c>
      <c r="Q4" s="146">
        <f ca="1">SUM(Q9:Q39)</f>
        <v>53258.535199999998</v>
      </c>
      <c r="R4" s="146">
        <f t="shared" ca="1" si="1"/>
        <v>33.268919510978975</v>
      </c>
      <c r="S4" s="146">
        <f t="shared" ca="1" si="1"/>
        <v>30.791055701360683</v>
      </c>
      <c r="T4" s="146">
        <f t="shared" ca="1" si="1"/>
        <v>832.06990951059811</v>
      </c>
      <c r="V4" s="147" t="s">
        <v>186</v>
      </c>
      <c r="X4" s="175">
        <v>54000</v>
      </c>
      <c r="Y4" s="6"/>
      <c r="Z4" s="6"/>
      <c r="AA4" s="175">
        <f>X4*0.965</f>
        <v>52110</v>
      </c>
      <c r="AB4" s="6"/>
      <c r="AC4" s="6"/>
      <c r="AD4" s="6"/>
      <c r="AE4" s="6"/>
      <c r="AF4" s="6"/>
      <c r="AG4" s="6"/>
      <c r="AH4" s="6"/>
    </row>
    <row r="5" spans="2:34" ht="18" customHeight="1" thickBot="1" x14ac:dyDescent="0.25">
      <c r="B5" s="245"/>
      <c r="C5" s="168" t="s">
        <v>187</v>
      </c>
      <c r="D5" s="217">
        <f ca="1">IFERROR((AVERAGEIF(D9:D39,"&lt;&gt;0")),"")</f>
        <v>1537.0142857142857</v>
      </c>
      <c r="E5" s="217" t="str">
        <f t="shared" ref="E5:K5" si="2">IFERROR((AVERAGEIF(E9:E39,"&lt;&gt;0")),"")</f>
        <v/>
      </c>
      <c r="F5" s="217">
        <f t="shared" ca="1" si="2"/>
        <v>1595.5534615384615</v>
      </c>
      <c r="G5" s="217">
        <f t="shared" ref="G5" ca="1" si="3">IFERROR((AVERAGEIF(G9:G39,"&lt;&gt;0")),"")</f>
        <v>1568.938076923077</v>
      </c>
      <c r="H5" s="217">
        <f t="shared" ca="1" si="2"/>
        <v>236.55545454545452</v>
      </c>
      <c r="I5" s="217">
        <f t="shared" ca="1" si="2"/>
        <v>126.92307692307692</v>
      </c>
      <c r="J5" s="217">
        <f t="shared" si="2"/>
        <v>69.2</v>
      </c>
      <c r="K5" s="217">
        <f t="shared" ca="1" si="2"/>
        <v>365.64166666666665</v>
      </c>
      <c r="L5" s="217" t="str">
        <f ca="1">IFERROR((AVERAGEIF(L9:L39,"&lt;&gt;0")),"")</f>
        <v/>
      </c>
      <c r="M5" s="220">
        <f ca="1">IF(ISERROR(G5/D5),"",(G5/D5))</f>
        <v>1.0207700029241795</v>
      </c>
      <c r="N5" s="231" t="str">
        <f ca="1">IF(ISERROR((F5-J5+K5+L5)/D5),"",((F5-J5+K5+L5)/D5))</f>
        <v/>
      </c>
      <c r="O5" s="217">
        <f t="shared" ref="O5:T5" ca="1" si="4">IFERROR((AVERAGEIF(O9:O39,"&lt;&gt;0")),"")</f>
        <v>2219.1056333333331</v>
      </c>
      <c r="P5" s="198">
        <f t="shared" ca="1" si="4"/>
        <v>1.386204979624124</v>
      </c>
      <c r="Q5" s="217">
        <f t="shared" ca="1" si="4"/>
        <v>6657.3168999999998</v>
      </c>
      <c r="R5" s="198">
        <f t="shared" ca="1" si="4"/>
        <v>4.1586149388723719</v>
      </c>
      <c r="S5" s="198">
        <f t="shared" ca="1" si="4"/>
        <v>3.8488819626700854</v>
      </c>
      <c r="T5" s="217">
        <f t="shared" ca="1" si="4"/>
        <v>118.86712993008544</v>
      </c>
      <c r="V5" s="147" t="s">
        <v>188</v>
      </c>
      <c r="X5" s="149">
        <f>X4/$C$52</f>
        <v>1800</v>
      </c>
      <c r="AA5" s="149">
        <f>AA4/$C$52</f>
        <v>1737</v>
      </c>
      <c r="AD5" s="218">
        <f>AA4/X4</f>
        <v>0.96499999999999997</v>
      </c>
      <c r="AG5" s="218">
        <v>0.95499999999999996</v>
      </c>
    </row>
    <row r="6" spans="2:34" ht="18" customHeight="1" x14ac:dyDescent="0.2">
      <c r="B6" s="245"/>
      <c r="C6" s="257"/>
      <c r="D6" s="258">
        <v>1080.49</v>
      </c>
      <c r="E6" s="258"/>
      <c r="F6" s="258"/>
      <c r="G6" s="258"/>
      <c r="H6" s="258"/>
      <c r="I6" s="258"/>
      <c r="J6" s="258"/>
      <c r="K6" s="258"/>
      <c r="L6" s="258"/>
      <c r="M6" s="259"/>
      <c r="N6" s="259"/>
      <c r="O6" s="258"/>
      <c r="P6" s="260"/>
      <c r="Q6" s="258"/>
      <c r="R6" s="260"/>
      <c r="S6" s="260"/>
      <c r="T6" s="258"/>
      <c r="V6" s="147"/>
      <c r="X6" s="261"/>
      <c r="AA6" s="261"/>
      <c r="AD6" s="262"/>
      <c r="AG6" s="262"/>
    </row>
    <row r="7" spans="2:34" ht="9.75" customHeight="1" x14ac:dyDescent="0.2">
      <c r="B7" s="245"/>
      <c r="C7" s="245"/>
      <c r="R7" s="199"/>
      <c r="S7" s="199"/>
    </row>
    <row r="8" spans="2:34" s="120" customFormat="1" ht="49.5" customHeight="1" x14ac:dyDescent="0.2">
      <c r="B8" s="122" t="s">
        <v>189</v>
      </c>
      <c r="C8" s="122" t="s">
        <v>190</v>
      </c>
      <c r="D8" s="122" t="s">
        <v>191</v>
      </c>
      <c r="E8" s="122" t="s">
        <v>192</v>
      </c>
      <c r="F8" s="122" t="s">
        <v>193</v>
      </c>
      <c r="G8" s="122" t="s">
        <v>194</v>
      </c>
      <c r="H8" s="122" t="s">
        <v>195</v>
      </c>
      <c r="I8" s="122" t="s">
        <v>196</v>
      </c>
      <c r="J8" s="122" t="s">
        <v>197</v>
      </c>
      <c r="K8" s="122" t="s">
        <v>198</v>
      </c>
      <c r="L8" s="122" t="s">
        <v>199</v>
      </c>
      <c r="M8" s="144" t="s">
        <v>200</v>
      </c>
      <c r="N8" s="144" t="s">
        <v>201</v>
      </c>
      <c r="O8" s="122" t="s">
        <v>202</v>
      </c>
      <c r="P8" s="122" t="s">
        <v>203</v>
      </c>
      <c r="Q8" s="122" t="s">
        <v>204</v>
      </c>
      <c r="R8" s="122" t="s">
        <v>205</v>
      </c>
      <c r="S8" s="122" t="s">
        <v>206</v>
      </c>
      <c r="T8" s="122" t="s">
        <v>207</v>
      </c>
      <c r="V8" s="122" t="s">
        <v>190</v>
      </c>
      <c r="W8" s="122" t="s">
        <v>208</v>
      </c>
      <c r="X8" s="122" t="s">
        <v>209</v>
      </c>
      <c r="Y8" s="126" t="s">
        <v>210</v>
      </c>
      <c r="Z8" s="122" t="s">
        <v>211</v>
      </c>
      <c r="AA8" s="122" t="s">
        <v>209</v>
      </c>
      <c r="AB8" s="126" t="s">
        <v>210</v>
      </c>
      <c r="AC8" s="122" t="s">
        <v>212</v>
      </c>
      <c r="AD8" s="122" t="s">
        <v>209</v>
      </c>
      <c r="AE8" s="126" t="s">
        <v>210</v>
      </c>
      <c r="AF8" s="122" t="s">
        <v>213</v>
      </c>
      <c r="AG8" s="122" t="s">
        <v>209</v>
      </c>
      <c r="AH8" s="126" t="s">
        <v>210</v>
      </c>
    </row>
    <row r="9" spans="2:34" x14ac:dyDescent="0.2">
      <c r="B9" s="117" t="s">
        <v>214</v>
      </c>
      <c r="C9" s="117">
        <v>1</v>
      </c>
      <c r="D9" s="121">
        <f ca="1">IF(ISERROR(INDIRECT("'"&amp;C9&amp;"'!H19")),"",(INDIRECT("'"&amp;C9&amp;"'!H19")))</f>
        <v>1780.82</v>
      </c>
      <c r="E9" s="121"/>
      <c r="F9" s="121">
        <f ca="1">IF(ISERROR(INDIRECT("'"&amp;C9&amp;"'!K41")),"",(INDIRECT("'"&amp;C9&amp;"'!K41")))</f>
        <v>1807.63</v>
      </c>
      <c r="G9" s="121">
        <f ca="1">IF(ISERROR(F9-J9),"",(F9-J9))</f>
        <v>1807.63</v>
      </c>
      <c r="H9" s="121">
        <f t="shared" ref="H9:H36" ca="1" si="5">IF(ISERROR(INDIRECT("'"&amp;C9&amp;"'!K38")),"",(INDIRECT("'"&amp;C9&amp;"'!K38")))</f>
        <v>0</v>
      </c>
      <c r="I9" s="121">
        <f ca="1">IF(ISERROR(INDIRECT("'"&amp;C9&amp;"'!K39")),"",(INDIRECT("'"&amp;C9&amp;"'!K39")))</f>
        <v>135</v>
      </c>
      <c r="J9" s="121"/>
      <c r="K9" s="121">
        <f ca="1">IF(ISERROR(INDIRECT("'"&amp;C9&amp;"'!D54")),"",(INDIRECT("'"&amp;C9&amp;"'!D54")))</f>
        <v>0</v>
      </c>
      <c r="L9" s="121">
        <f t="shared" ref="L9:L39" ca="1" si="6">IF(ISERROR(INDIRECT("'"&amp;C9&amp;"'!J11")),"",(INDIRECT("'"&amp;C9&amp;"'!J11")))</f>
        <v>0</v>
      </c>
      <c r="M9" s="219">
        <f t="shared" ref="M9:M39" ca="1" si="7">IF(ISERROR((G9)/D9),"",(G9/D9))</f>
        <v>1.015054862366775</v>
      </c>
      <c r="N9" s="219">
        <f ca="1">IF(ISERROR((F9-J9+L9+747-K9)/D9),"",((F9-J9+L9+747-K9)/D9))</f>
        <v>1.434524544872587</v>
      </c>
      <c r="O9" s="121">
        <f t="shared" ref="O9:O39" ca="1" si="8">IF(ISERROR(INDIRECT("'"&amp;C9&amp;"'!M58")),"",(INDIRECT("'"&amp;C9&amp;"'!M58")))</f>
        <v>0</v>
      </c>
      <c r="P9" s="196">
        <f t="shared" ref="P9:P39" ca="1" si="9">IF(ISERROR(O9/D9),"",(O9/D9))</f>
        <v>0</v>
      </c>
      <c r="Q9" s="121">
        <f t="shared" ref="Q9:Q39" ca="1" si="10">IF(ISERROR(INDIRECT("'"&amp;C9&amp;"'!L58")),"",(INDIRECT("'"&amp;C9&amp;"'!L58")))</f>
        <v>0</v>
      </c>
      <c r="R9" s="196">
        <f t="shared" ref="R9:R39" ca="1" si="11">IF(ISERROR(Q9/D9),"",(Q9/D9))</f>
        <v>0</v>
      </c>
      <c r="S9" s="196">
        <f t="shared" ref="S9:S39" ca="1" si="12">IF(ISERROR(INDIRECT("'"&amp;C9&amp;"'!H59")),"",(INDIRECT("'"&amp;C9&amp;"'!H59")))</f>
        <v>0</v>
      </c>
      <c r="T9" s="121">
        <f t="shared" ref="T9:T39" ca="1" si="13">IF(ISERROR(INDIRECT("'"&amp;C9&amp;"'!C59")),"",(INDIRECT("'"&amp;C9&amp;"'!C59")))</f>
        <v>0</v>
      </c>
      <c r="U9" s="119">
        <f ca="1">F9-I9</f>
        <v>1672.63</v>
      </c>
      <c r="V9" s="117">
        <v>1</v>
      </c>
      <c r="W9" s="121">
        <f t="shared" ref="W9:W39" ca="1" si="14">D9</f>
        <v>1780.82</v>
      </c>
      <c r="X9" s="125">
        <f>$X$5</f>
        <v>1800</v>
      </c>
      <c r="Y9" s="132">
        <f ca="1">IF(W9&lt;X9,W9,"")</f>
        <v>1780.82</v>
      </c>
      <c r="Z9" s="125">
        <f ca="1">G9</f>
        <v>1807.63</v>
      </c>
      <c r="AA9" s="125">
        <f>$AA$5</f>
        <v>1737</v>
      </c>
      <c r="AB9" s="132" t="str">
        <f ca="1">IF(Z9&lt;AA9,Z9,"")</f>
        <v/>
      </c>
      <c r="AC9" s="142">
        <f t="shared" ref="AC9:AC39" ca="1" si="15">N9</f>
        <v>1.434524544872587</v>
      </c>
      <c r="AD9" s="191">
        <f>$AD$5</f>
        <v>0.96499999999999997</v>
      </c>
      <c r="AE9" s="191" t="str">
        <f ca="1">IF(AC9&gt;AD9,"",AC9)</f>
        <v/>
      </c>
      <c r="AF9" s="142">
        <f ca="1">M9</f>
        <v>1.015054862366775</v>
      </c>
      <c r="AG9" s="191">
        <f>$AG$5</f>
        <v>0.95499999999999996</v>
      </c>
      <c r="AH9" s="191" t="str">
        <f ca="1">IF(AF9&gt;AG9,"",AF9)</f>
        <v/>
      </c>
    </row>
    <row r="10" spans="2:34" x14ac:dyDescent="0.2">
      <c r="B10" s="117" t="s">
        <v>215</v>
      </c>
      <c r="C10" s="117">
        <v>2</v>
      </c>
      <c r="D10" s="121">
        <f t="shared" ref="D10:D39" ca="1" si="16">IF(ISERROR(INDIRECT("'"&amp;C10&amp;"'!H19")),"",(INDIRECT("'"&amp;C10&amp;"'!H19")))</f>
        <v>1580.6</v>
      </c>
      <c r="E10" s="121"/>
      <c r="F10" s="121">
        <f t="shared" ref="F10:F39" ca="1" si="17">IF(ISERROR(INDIRECT("'"&amp;C10&amp;"'!K41")),"",(INDIRECT("'"&amp;C10&amp;"'!K41")))</f>
        <v>1542.88</v>
      </c>
      <c r="G10" s="121">
        <f t="shared" ref="G10:G39" ca="1" si="18">IF(ISERROR(F10-J10),"",(F10-J10))</f>
        <v>1542.88</v>
      </c>
      <c r="H10" s="121">
        <f t="shared" ca="1" si="5"/>
        <v>0</v>
      </c>
      <c r="I10" s="121">
        <f t="shared" ref="I10:I39" ca="1" si="19">IF(ISERROR(INDIRECT("'"&amp;C10&amp;"'!K39")),"",(INDIRECT("'"&amp;C10&amp;"'!K39")))</f>
        <v>165</v>
      </c>
      <c r="J10" s="121"/>
      <c r="K10" s="121">
        <f t="shared" ref="K10:K38" ca="1" si="20">IF(ISERROR(INDIRECT("'"&amp;C10&amp;"'!D54")),"",(INDIRECT("'"&amp;C10&amp;"'!D54")))</f>
        <v>136.19999999999999</v>
      </c>
      <c r="L10" s="121">
        <f t="shared" ca="1" si="6"/>
        <v>0</v>
      </c>
      <c r="M10" s="219">
        <f t="shared" ca="1" si="7"/>
        <v>0.97613564469188929</v>
      </c>
      <c r="N10" s="219">
        <f t="shared" ref="N10:N39" ca="1" si="21">IF(ISERROR((F10-J10+L10+(K10-K9))/D10),"",((F10-J10+L10+(K10-K9))/D10))</f>
        <v>1.0623054536252057</v>
      </c>
      <c r="O10" s="121">
        <f t="shared" ca="1" si="8"/>
        <v>0</v>
      </c>
      <c r="P10" s="196">
        <f t="shared" ca="1" si="9"/>
        <v>0</v>
      </c>
      <c r="Q10" s="121">
        <f t="shared" ca="1" si="10"/>
        <v>0</v>
      </c>
      <c r="R10" s="196">
        <f t="shared" ca="1" si="11"/>
        <v>0</v>
      </c>
      <c r="S10" s="196">
        <f t="shared" ca="1" si="12"/>
        <v>0</v>
      </c>
      <c r="T10" s="121">
        <f t="shared" ca="1" si="13"/>
        <v>0</v>
      </c>
      <c r="U10" s="119">
        <f ca="1">F10-I10</f>
        <v>1377.88</v>
      </c>
      <c r="V10" s="117">
        <v>2</v>
      </c>
      <c r="W10" s="121">
        <f t="shared" ca="1" si="14"/>
        <v>1580.6</v>
      </c>
      <c r="X10" s="125">
        <f t="shared" ref="X10:X39" si="22">$X$5</f>
        <v>1800</v>
      </c>
      <c r="Y10" s="132">
        <f t="shared" ref="Y10:Y39" ca="1" si="23">IF(W10&lt;X10,W10,"")</f>
        <v>1580.6</v>
      </c>
      <c r="Z10" s="125">
        <f t="shared" ref="Z10:Z39" ca="1" si="24">G10</f>
        <v>1542.88</v>
      </c>
      <c r="AA10" s="125">
        <f t="shared" ref="AA10:AA39" si="25">$AA$5</f>
        <v>1737</v>
      </c>
      <c r="AB10" s="132">
        <f t="shared" ref="AB10:AB39" ca="1" si="26">IF(Z10&lt;AA10,Z10,"")</f>
        <v>1542.88</v>
      </c>
      <c r="AC10" s="142">
        <f t="shared" ca="1" si="15"/>
        <v>1.0623054536252057</v>
      </c>
      <c r="AD10" s="191">
        <f t="shared" ref="AD10:AD39" si="27">$AD$5</f>
        <v>0.96499999999999997</v>
      </c>
      <c r="AE10" s="191" t="str">
        <f t="shared" ref="AE10:AE39" ca="1" si="28">IF(AC10&gt;AD10,"",AC10)</f>
        <v/>
      </c>
      <c r="AF10" s="142">
        <f t="shared" ref="AF10:AF39" ca="1" si="29">M10</f>
        <v>0.97613564469188929</v>
      </c>
      <c r="AG10" s="191">
        <f t="shared" ref="AG10:AG39" si="30">$AG$5</f>
        <v>0.95499999999999996</v>
      </c>
      <c r="AH10" s="191" t="str">
        <f t="shared" ref="AH10:AH39" ca="1" si="31">IF(AF10&gt;AG10,"",AF10)</f>
        <v/>
      </c>
    </row>
    <row r="11" spans="2:34" x14ac:dyDescent="0.2">
      <c r="B11" s="117" t="s">
        <v>215</v>
      </c>
      <c r="C11" s="117">
        <v>3</v>
      </c>
      <c r="D11" s="121">
        <f t="shared" ca="1" si="16"/>
        <v>1700.5500000000002</v>
      </c>
      <c r="E11" s="121"/>
      <c r="F11" s="121">
        <f t="shared" ca="1" si="17"/>
        <v>1416.35</v>
      </c>
      <c r="G11" s="121">
        <f t="shared" ca="1" si="18"/>
        <v>1416.35</v>
      </c>
      <c r="H11" s="121">
        <f t="shared" ca="1" si="5"/>
        <v>25.47</v>
      </c>
      <c r="I11" s="121">
        <f t="shared" ca="1" si="19"/>
        <v>105</v>
      </c>
      <c r="J11" s="121"/>
      <c r="K11" s="121">
        <f t="shared" ca="1" si="20"/>
        <v>544</v>
      </c>
      <c r="L11" s="121">
        <f t="shared" ca="1" si="6"/>
        <v>0</v>
      </c>
      <c r="M11" s="219">
        <f t="shared" ca="1" si="7"/>
        <v>0.83287759842403919</v>
      </c>
      <c r="N11" s="219">
        <f t="shared" ca="1" si="21"/>
        <v>1.072682367469348</v>
      </c>
      <c r="O11" s="121">
        <f t="shared" ca="1" si="8"/>
        <v>0</v>
      </c>
      <c r="P11" s="196">
        <f t="shared" ca="1" si="9"/>
        <v>0</v>
      </c>
      <c r="Q11" s="121">
        <f t="shared" ca="1" si="10"/>
        <v>0</v>
      </c>
      <c r="R11" s="196">
        <f t="shared" ca="1" si="11"/>
        <v>0</v>
      </c>
      <c r="S11" s="196">
        <f t="shared" ca="1" si="12"/>
        <v>0</v>
      </c>
      <c r="T11" s="121">
        <f t="shared" ca="1" si="13"/>
        <v>0</v>
      </c>
      <c r="U11" s="119">
        <f ca="1">F11-I11</f>
        <v>1311.35</v>
      </c>
      <c r="V11" s="117">
        <v>3</v>
      </c>
      <c r="W11" s="121">
        <f t="shared" ca="1" si="14"/>
        <v>1700.5500000000002</v>
      </c>
      <c r="X11" s="125">
        <f t="shared" si="22"/>
        <v>1800</v>
      </c>
      <c r="Y11" s="132">
        <f t="shared" ca="1" si="23"/>
        <v>1700.5500000000002</v>
      </c>
      <c r="Z11" s="125">
        <f t="shared" ca="1" si="24"/>
        <v>1416.35</v>
      </c>
      <c r="AA11" s="125">
        <f t="shared" si="25"/>
        <v>1737</v>
      </c>
      <c r="AB11" s="132">
        <f t="shared" ca="1" si="26"/>
        <v>1416.35</v>
      </c>
      <c r="AC11" s="142">
        <f t="shared" ca="1" si="15"/>
        <v>1.072682367469348</v>
      </c>
      <c r="AD11" s="191">
        <f t="shared" si="27"/>
        <v>0.96499999999999997</v>
      </c>
      <c r="AE11" s="191" t="str">
        <f t="shared" ca="1" si="28"/>
        <v/>
      </c>
      <c r="AF11" s="142">
        <f t="shared" ca="1" si="29"/>
        <v>0.83287759842403919</v>
      </c>
      <c r="AG11" s="191">
        <f t="shared" si="30"/>
        <v>0.95499999999999996</v>
      </c>
      <c r="AH11" s="191">
        <f t="shared" ca="1" si="31"/>
        <v>0.83287759842403919</v>
      </c>
    </row>
    <row r="12" spans="2:34" x14ac:dyDescent="0.2">
      <c r="B12" s="117" t="s">
        <v>215</v>
      </c>
      <c r="C12" s="117">
        <v>4</v>
      </c>
      <c r="D12" s="121">
        <f t="shared" ca="1" si="16"/>
        <v>1760.49</v>
      </c>
      <c r="E12" s="121"/>
      <c r="F12" s="121">
        <f t="shared" ca="1" si="17"/>
        <v>1717.64</v>
      </c>
      <c r="G12" s="121">
        <f t="shared" ca="1" si="18"/>
        <v>1717.64</v>
      </c>
      <c r="H12" s="121">
        <f t="shared" ca="1" si="5"/>
        <v>252.3</v>
      </c>
      <c r="I12" s="121">
        <f t="shared" ca="1" si="19"/>
        <v>150</v>
      </c>
      <c r="J12" s="121"/>
      <c r="K12" s="121">
        <f t="shared" ca="1" si="20"/>
        <v>405.5</v>
      </c>
      <c r="L12" s="121">
        <f t="shared" ca="1" si="6"/>
        <v>0</v>
      </c>
      <c r="M12" s="219">
        <f t="shared" ca="1" si="7"/>
        <v>0.97566018551653233</v>
      </c>
      <c r="N12" s="219">
        <f t="shared" ca="1" si="21"/>
        <v>0.89698890649762286</v>
      </c>
      <c r="O12" s="121">
        <f t="shared" ca="1" si="8"/>
        <v>2182.3733333333334</v>
      </c>
      <c r="P12" s="196">
        <f t="shared" ca="1" si="9"/>
        <v>1.2396397215169261</v>
      </c>
      <c r="Q12" s="121">
        <f t="shared" ca="1" si="10"/>
        <v>6547.12</v>
      </c>
      <c r="R12" s="196">
        <f t="shared" ca="1" si="11"/>
        <v>3.7189191645507784</v>
      </c>
      <c r="S12" s="196">
        <f t="shared" ca="1" si="12"/>
        <v>3.4018937909332059</v>
      </c>
      <c r="T12" s="121">
        <f t="shared" ca="1" si="13"/>
        <v>108.21419036745452</v>
      </c>
      <c r="V12" s="117">
        <v>4</v>
      </c>
      <c r="W12" s="121">
        <f t="shared" ca="1" si="14"/>
        <v>1760.49</v>
      </c>
      <c r="X12" s="125">
        <f t="shared" si="22"/>
        <v>1800</v>
      </c>
      <c r="Y12" s="132">
        <f t="shared" ca="1" si="23"/>
        <v>1760.49</v>
      </c>
      <c r="Z12" s="125">
        <f t="shared" ca="1" si="24"/>
        <v>1717.64</v>
      </c>
      <c r="AA12" s="125">
        <f t="shared" si="25"/>
        <v>1737</v>
      </c>
      <c r="AB12" s="132">
        <f t="shared" ca="1" si="26"/>
        <v>1717.64</v>
      </c>
      <c r="AC12" s="142">
        <f t="shared" ca="1" si="15"/>
        <v>0.89698890649762286</v>
      </c>
      <c r="AD12" s="191">
        <f t="shared" si="27"/>
        <v>0.96499999999999997</v>
      </c>
      <c r="AE12" s="191">
        <f t="shared" ca="1" si="28"/>
        <v>0.89698890649762286</v>
      </c>
      <c r="AF12" s="142">
        <f t="shared" ca="1" si="29"/>
        <v>0.97566018551653233</v>
      </c>
      <c r="AG12" s="191">
        <f t="shared" si="30"/>
        <v>0.95499999999999996</v>
      </c>
      <c r="AH12" s="191" t="str">
        <f t="shared" ca="1" si="31"/>
        <v/>
      </c>
    </row>
    <row r="13" spans="2:34" x14ac:dyDescent="0.2">
      <c r="B13" s="117" t="s">
        <v>215</v>
      </c>
      <c r="C13" s="117">
        <v>5</v>
      </c>
      <c r="D13" s="121">
        <f t="shared" ca="1" si="16"/>
        <v>1700.8200000000002</v>
      </c>
      <c r="E13" s="121"/>
      <c r="F13" s="121">
        <f t="shared" ca="1" si="17"/>
        <v>1433.83</v>
      </c>
      <c r="G13" s="121">
        <f t="shared" ca="1" si="18"/>
        <v>1433.83</v>
      </c>
      <c r="H13" s="121">
        <f t="shared" ca="1" si="5"/>
        <v>273.33</v>
      </c>
      <c r="I13" s="121">
        <f t="shared" ca="1" si="19"/>
        <v>165</v>
      </c>
      <c r="J13" s="121"/>
      <c r="K13" s="121">
        <f t="shared" ca="1" si="20"/>
        <v>506.5</v>
      </c>
      <c r="L13" s="121">
        <f t="shared" ca="1" si="6"/>
        <v>0</v>
      </c>
      <c r="M13" s="219">
        <f t="shared" ca="1" si="7"/>
        <v>0.84302277724862118</v>
      </c>
      <c r="N13" s="219">
        <f t="shared" ca="1" si="21"/>
        <v>0.90240589833139295</v>
      </c>
      <c r="O13" s="121">
        <f t="shared" ca="1" si="8"/>
        <v>2216.7366666666667</v>
      </c>
      <c r="P13" s="196">
        <f t="shared" ca="1" si="9"/>
        <v>1.3033340780721454</v>
      </c>
      <c r="Q13" s="121">
        <f t="shared" ca="1" si="10"/>
        <v>6650.21</v>
      </c>
      <c r="R13" s="196">
        <f t="shared" ca="1" si="11"/>
        <v>3.9100022342164364</v>
      </c>
      <c r="S13" s="196">
        <f t="shared" ca="1" si="12"/>
        <v>3.3848379017179946</v>
      </c>
      <c r="T13" s="121">
        <f t="shared" ca="1" si="13"/>
        <v>0</v>
      </c>
      <c r="V13" s="117">
        <v>5</v>
      </c>
      <c r="W13" s="121">
        <f t="shared" ca="1" si="14"/>
        <v>1700.8200000000002</v>
      </c>
      <c r="X13" s="125">
        <f t="shared" si="22"/>
        <v>1800</v>
      </c>
      <c r="Y13" s="132">
        <f t="shared" ca="1" si="23"/>
        <v>1700.8200000000002</v>
      </c>
      <c r="Z13" s="125">
        <f t="shared" ca="1" si="24"/>
        <v>1433.83</v>
      </c>
      <c r="AA13" s="125">
        <f t="shared" si="25"/>
        <v>1737</v>
      </c>
      <c r="AB13" s="132">
        <f t="shared" ca="1" si="26"/>
        <v>1433.83</v>
      </c>
      <c r="AC13" s="142">
        <f t="shared" ca="1" si="15"/>
        <v>0.90240589833139295</v>
      </c>
      <c r="AD13" s="191">
        <f t="shared" si="27"/>
        <v>0.96499999999999997</v>
      </c>
      <c r="AE13" s="191">
        <f t="shared" ca="1" si="28"/>
        <v>0.90240589833139295</v>
      </c>
      <c r="AF13" s="142">
        <f t="shared" ca="1" si="29"/>
        <v>0.84302277724862118</v>
      </c>
      <c r="AG13" s="191">
        <f t="shared" si="30"/>
        <v>0.95499999999999996</v>
      </c>
      <c r="AH13" s="191">
        <f t="shared" ca="1" si="31"/>
        <v>0.84302277724862118</v>
      </c>
    </row>
    <row r="14" spans="2:34" x14ac:dyDescent="0.2">
      <c r="B14" s="117" t="s">
        <v>215</v>
      </c>
      <c r="C14" s="117">
        <v>6</v>
      </c>
      <c r="D14" s="121">
        <f t="shared" ca="1" si="16"/>
        <v>1600.6</v>
      </c>
      <c r="E14" s="121"/>
      <c r="F14" s="121">
        <f t="shared" ca="1" si="17"/>
        <v>1576.066</v>
      </c>
      <c r="G14" s="121">
        <f t="shared" ca="1" si="18"/>
        <v>1576.066</v>
      </c>
      <c r="H14" s="121">
        <f t="shared" ca="1" si="5"/>
        <v>199.47</v>
      </c>
      <c r="I14" s="121">
        <f t="shared" ca="1" si="19"/>
        <v>150</v>
      </c>
      <c r="J14" s="121"/>
      <c r="K14" s="121">
        <f t="shared" ca="1" si="20"/>
        <v>361.5</v>
      </c>
      <c r="L14" s="121">
        <f t="shared" ca="1" si="6"/>
        <v>0</v>
      </c>
      <c r="M14" s="219">
        <f t="shared" ca="1" si="7"/>
        <v>0.98467199800074978</v>
      </c>
      <c r="N14" s="219">
        <f t="shared" ca="1" si="21"/>
        <v>0.89408096963638639</v>
      </c>
      <c r="O14" s="121">
        <f t="shared" ca="1" si="8"/>
        <v>2208.8266666666664</v>
      </c>
      <c r="P14" s="196">
        <f t="shared" ca="1" si="9"/>
        <v>1.3799991669790495</v>
      </c>
      <c r="Q14" s="121">
        <f t="shared" ca="1" si="10"/>
        <v>6626.48</v>
      </c>
      <c r="R14" s="196">
        <f t="shared" ca="1" si="11"/>
        <v>4.1399975009371488</v>
      </c>
      <c r="S14" s="196">
        <f t="shared" ca="1" si="12"/>
        <v>3.8085717855804075</v>
      </c>
      <c r="T14" s="121">
        <f t="shared" ca="1" si="13"/>
        <v>117.60589778832939</v>
      </c>
      <c r="V14" s="117">
        <v>6</v>
      </c>
      <c r="W14" s="121">
        <f t="shared" ca="1" si="14"/>
        <v>1600.6</v>
      </c>
      <c r="X14" s="125">
        <f t="shared" si="22"/>
        <v>1800</v>
      </c>
      <c r="Y14" s="132">
        <f t="shared" ca="1" si="23"/>
        <v>1600.6</v>
      </c>
      <c r="Z14" s="125">
        <f t="shared" ca="1" si="24"/>
        <v>1576.066</v>
      </c>
      <c r="AA14" s="125">
        <f t="shared" si="25"/>
        <v>1737</v>
      </c>
      <c r="AB14" s="132">
        <f t="shared" ca="1" si="26"/>
        <v>1576.066</v>
      </c>
      <c r="AC14" s="142">
        <f t="shared" ca="1" si="15"/>
        <v>0.89408096963638639</v>
      </c>
      <c r="AD14" s="191">
        <f t="shared" si="27"/>
        <v>0.96499999999999997</v>
      </c>
      <c r="AE14" s="191">
        <f t="shared" ca="1" si="28"/>
        <v>0.89408096963638639</v>
      </c>
      <c r="AF14" s="142">
        <f t="shared" ca="1" si="29"/>
        <v>0.98467199800074978</v>
      </c>
      <c r="AG14" s="191">
        <f t="shared" si="30"/>
        <v>0.95499999999999996</v>
      </c>
      <c r="AH14" s="191" t="str">
        <f t="shared" ca="1" si="31"/>
        <v/>
      </c>
    </row>
    <row r="15" spans="2:34" x14ac:dyDescent="0.2">
      <c r="B15" s="117" t="s">
        <v>215</v>
      </c>
      <c r="C15" s="117">
        <v>7</v>
      </c>
      <c r="D15" s="121">
        <f t="shared" ca="1" si="16"/>
        <v>1130.5500000000002</v>
      </c>
      <c r="E15" s="121"/>
      <c r="F15" s="121">
        <f t="shared" ca="1" si="17"/>
        <v>1395.4389999999999</v>
      </c>
      <c r="G15" s="121">
        <f t="shared" ca="1" si="18"/>
        <v>1395.4389999999999</v>
      </c>
      <c r="H15" s="121">
        <f t="shared" ca="1" si="5"/>
        <v>376.92</v>
      </c>
      <c r="I15" s="121">
        <f t="shared" ca="1" si="19"/>
        <v>90</v>
      </c>
      <c r="J15" s="121"/>
      <c r="K15" s="121">
        <f t="shared" ca="1" si="20"/>
        <v>165</v>
      </c>
      <c r="L15" s="121">
        <f t="shared" ca="1" si="6"/>
        <v>0</v>
      </c>
      <c r="M15" s="219">
        <f t="shared" ca="1" si="7"/>
        <v>1.2343010039361368</v>
      </c>
      <c r="N15" s="219">
        <f t="shared" ca="1" si="21"/>
        <v>1.0604917960284814</v>
      </c>
      <c r="O15" s="121">
        <f t="shared" ca="1" si="8"/>
        <v>2110.36</v>
      </c>
      <c r="P15" s="196">
        <f t="shared" ca="1" si="9"/>
        <v>1.8666666666666665</v>
      </c>
      <c r="Q15" s="121">
        <f t="shared" ca="1" si="10"/>
        <v>6331.08</v>
      </c>
      <c r="R15" s="196">
        <f t="shared" ca="1" si="11"/>
        <v>5.5999999999999988</v>
      </c>
      <c r="S15" s="196">
        <f t="shared" ca="1" si="12"/>
        <v>5.513245765335455</v>
      </c>
      <c r="T15" s="121">
        <f t="shared" ca="1" si="13"/>
        <v>161.77966476493739</v>
      </c>
      <c r="V15" s="117">
        <v>7</v>
      </c>
      <c r="W15" s="121">
        <f t="shared" ca="1" si="14"/>
        <v>1130.5500000000002</v>
      </c>
      <c r="X15" s="125">
        <f t="shared" si="22"/>
        <v>1800</v>
      </c>
      <c r="Y15" s="132">
        <f t="shared" ca="1" si="23"/>
        <v>1130.5500000000002</v>
      </c>
      <c r="Z15" s="125">
        <f t="shared" ca="1" si="24"/>
        <v>1395.4389999999999</v>
      </c>
      <c r="AA15" s="125">
        <f t="shared" si="25"/>
        <v>1737</v>
      </c>
      <c r="AB15" s="132">
        <f t="shared" ca="1" si="26"/>
        <v>1395.4389999999999</v>
      </c>
      <c r="AC15" s="142">
        <f t="shared" ca="1" si="15"/>
        <v>1.0604917960284814</v>
      </c>
      <c r="AD15" s="191">
        <f t="shared" si="27"/>
        <v>0.96499999999999997</v>
      </c>
      <c r="AE15" s="191" t="str">
        <f t="shared" ca="1" si="28"/>
        <v/>
      </c>
      <c r="AF15" s="142">
        <f t="shared" ca="1" si="29"/>
        <v>1.2343010039361368</v>
      </c>
      <c r="AG15" s="191">
        <f t="shared" si="30"/>
        <v>0.95499999999999996</v>
      </c>
      <c r="AH15" s="191" t="str">
        <f t="shared" ca="1" si="31"/>
        <v/>
      </c>
    </row>
    <row r="16" spans="2:34" x14ac:dyDescent="0.2">
      <c r="B16" s="117" t="s">
        <v>215</v>
      </c>
      <c r="C16" s="117">
        <v>8</v>
      </c>
      <c r="D16" s="121">
        <f t="shared" ca="1" si="16"/>
        <v>1770.49</v>
      </c>
      <c r="E16" s="121"/>
      <c r="F16" s="121">
        <f t="shared" ca="1" si="17"/>
        <v>1254.46</v>
      </c>
      <c r="G16" s="121">
        <f ca="1">IF(ISERROR(F16-J16),"",(F16-J16))</f>
        <v>1254.46</v>
      </c>
      <c r="H16" s="121">
        <f t="shared" ca="1" si="5"/>
        <v>195</v>
      </c>
      <c r="I16" s="121">
        <f t="shared" ca="1" si="19"/>
        <v>75</v>
      </c>
      <c r="J16" s="121"/>
      <c r="K16" s="121">
        <f t="shared" ca="1" si="20"/>
        <v>325</v>
      </c>
      <c r="L16" s="121">
        <f t="shared" ca="1" si="6"/>
        <v>0</v>
      </c>
      <c r="M16" s="219">
        <f t="shared" ca="1" si="7"/>
        <v>0.70853831425198677</v>
      </c>
      <c r="N16" s="219">
        <f t="shared" ca="1" si="21"/>
        <v>0.79890877666634663</v>
      </c>
      <c r="O16" s="121">
        <f t="shared" ca="1" si="8"/>
        <v>0</v>
      </c>
      <c r="P16" s="196">
        <f t="shared" ca="1" si="9"/>
        <v>0</v>
      </c>
      <c r="Q16" s="121">
        <f t="shared" ca="1" si="10"/>
        <v>0</v>
      </c>
      <c r="R16" s="196">
        <f t="shared" ca="1" si="11"/>
        <v>0</v>
      </c>
      <c r="S16" s="196">
        <f t="shared" ca="1" si="12"/>
        <v>0</v>
      </c>
      <c r="T16" s="121">
        <f t="shared" ca="1" si="13"/>
        <v>0</v>
      </c>
      <c r="V16" s="117">
        <v>8</v>
      </c>
      <c r="W16" s="121">
        <f t="shared" ca="1" si="14"/>
        <v>1770.49</v>
      </c>
      <c r="X16" s="125">
        <f t="shared" si="22"/>
        <v>1800</v>
      </c>
      <c r="Y16" s="132">
        <f t="shared" ca="1" si="23"/>
        <v>1770.49</v>
      </c>
      <c r="Z16" s="125">
        <f t="shared" ca="1" si="24"/>
        <v>1254.46</v>
      </c>
      <c r="AA16" s="125">
        <f t="shared" si="25"/>
        <v>1737</v>
      </c>
      <c r="AB16" s="132">
        <f t="shared" ca="1" si="26"/>
        <v>1254.46</v>
      </c>
      <c r="AC16" s="142">
        <f t="shared" ca="1" si="15"/>
        <v>0.79890877666634663</v>
      </c>
      <c r="AD16" s="191">
        <f t="shared" si="27"/>
        <v>0.96499999999999997</v>
      </c>
      <c r="AE16" s="191">
        <f t="shared" ca="1" si="28"/>
        <v>0.79890877666634663</v>
      </c>
      <c r="AF16" s="142">
        <f t="shared" ca="1" si="29"/>
        <v>0.70853831425198677</v>
      </c>
      <c r="AG16" s="191">
        <f t="shared" si="30"/>
        <v>0.95499999999999996</v>
      </c>
      <c r="AH16" s="191">
        <f t="shared" ca="1" si="31"/>
        <v>0.70853831425198677</v>
      </c>
    </row>
    <row r="17" spans="2:34" x14ac:dyDescent="0.2">
      <c r="B17" s="117" t="s">
        <v>216</v>
      </c>
      <c r="C17" s="117">
        <v>9</v>
      </c>
      <c r="D17" s="121">
        <f t="shared" ca="1" si="16"/>
        <v>1550.8200000000002</v>
      </c>
      <c r="E17" s="121"/>
      <c r="F17" s="121">
        <f t="shared" ca="1" si="17"/>
        <v>1633.52</v>
      </c>
      <c r="G17" s="121">
        <f t="shared" ca="1" si="18"/>
        <v>1528.52</v>
      </c>
      <c r="H17" s="121">
        <f t="shared" ref="H17:H39" ca="1" si="32">IF(ISERROR(INDIRECT("'"&amp;C17&amp;"'!K38")),"",(INDIRECT("'"&amp;C17&amp;"'!K38")))</f>
        <v>165</v>
      </c>
      <c r="I17" s="121">
        <f t="shared" ca="1" si="19"/>
        <v>165</v>
      </c>
      <c r="J17" s="121">
        <v>105</v>
      </c>
      <c r="K17" s="121">
        <f t="shared" ca="1" si="20"/>
        <v>378</v>
      </c>
      <c r="L17" s="121">
        <f t="shared" ca="1" si="6"/>
        <v>0</v>
      </c>
      <c r="M17" s="219">
        <f t="shared" ca="1" si="7"/>
        <v>0.98562051043963828</v>
      </c>
      <c r="N17" s="219">
        <f t="shared" ca="1" si="21"/>
        <v>1.0197959789014843</v>
      </c>
      <c r="O17" s="121">
        <f t="shared" ca="1" si="8"/>
        <v>0</v>
      </c>
      <c r="P17" s="196">
        <f t="shared" ca="1" si="9"/>
        <v>0</v>
      </c>
      <c r="Q17" s="121">
        <f t="shared" ca="1" si="10"/>
        <v>0</v>
      </c>
      <c r="R17" s="196">
        <f t="shared" ca="1" si="11"/>
        <v>0</v>
      </c>
      <c r="S17" s="196">
        <f t="shared" ca="1" si="12"/>
        <v>0</v>
      </c>
      <c r="T17" s="121">
        <f t="shared" ca="1" si="13"/>
        <v>0</v>
      </c>
      <c r="V17" s="117">
        <v>9</v>
      </c>
      <c r="W17" s="121">
        <f t="shared" ca="1" si="14"/>
        <v>1550.8200000000002</v>
      </c>
      <c r="X17" s="125">
        <f t="shared" si="22"/>
        <v>1800</v>
      </c>
      <c r="Y17" s="132">
        <f t="shared" ca="1" si="23"/>
        <v>1550.8200000000002</v>
      </c>
      <c r="Z17" s="125">
        <f t="shared" ca="1" si="24"/>
        <v>1528.52</v>
      </c>
      <c r="AA17" s="125">
        <f t="shared" si="25"/>
        <v>1737</v>
      </c>
      <c r="AB17" s="132">
        <f t="shared" ca="1" si="26"/>
        <v>1528.52</v>
      </c>
      <c r="AC17" s="142">
        <f t="shared" ca="1" si="15"/>
        <v>1.0197959789014843</v>
      </c>
      <c r="AD17" s="191">
        <f t="shared" si="27"/>
        <v>0.96499999999999997</v>
      </c>
      <c r="AE17" s="191" t="str">
        <f t="shared" ca="1" si="28"/>
        <v/>
      </c>
      <c r="AF17" s="142">
        <f t="shared" ca="1" si="29"/>
        <v>0.98562051043963828</v>
      </c>
      <c r="AG17" s="191">
        <f t="shared" si="30"/>
        <v>0.95499999999999996</v>
      </c>
      <c r="AH17" s="191" t="str">
        <f t="shared" ca="1" si="31"/>
        <v/>
      </c>
    </row>
    <row r="18" spans="2:34" x14ac:dyDescent="0.2">
      <c r="B18" s="117" t="s">
        <v>216</v>
      </c>
      <c r="C18" s="117">
        <v>10</v>
      </c>
      <c r="D18" s="121">
        <f t="shared" ca="1" si="16"/>
        <v>1700.6</v>
      </c>
      <c r="E18" s="121"/>
      <c r="F18" s="121">
        <f t="shared" ca="1" si="17"/>
        <v>1539.0400000000002</v>
      </c>
      <c r="G18" s="121">
        <f t="shared" ca="1" si="18"/>
        <v>1465.0400000000002</v>
      </c>
      <c r="H18" s="121">
        <f t="shared" ca="1" si="5"/>
        <v>86.88</v>
      </c>
      <c r="I18" s="121">
        <f t="shared" ca="1" si="19"/>
        <v>150</v>
      </c>
      <c r="J18" s="121">
        <v>74</v>
      </c>
      <c r="K18" s="121">
        <f t="shared" ca="1" si="20"/>
        <v>546.5</v>
      </c>
      <c r="L18" s="121">
        <f t="shared" ca="1" si="6"/>
        <v>0</v>
      </c>
      <c r="M18" s="219">
        <f t="shared" ca="1" si="7"/>
        <v>0.86148418205339305</v>
      </c>
      <c r="N18" s="219">
        <f t="shared" ca="1" si="21"/>
        <v>0.96056685875573344</v>
      </c>
      <c r="O18" s="121">
        <f t="shared" ca="1" si="8"/>
        <v>2210.7799999999997</v>
      </c>
      <c r="P18" s="196">
        <f t="shared" ca="1" si="9"/>
        <v>1.2999999999999998</v>
      </c>
      <c r="Q18" s="121">
        <f t="shared" ca="1" si="10"/>
        <v>6632.3399999999992</v>
      </c>
      <c r="R18" s="196">
        <f t="shared" ca="1" si="11"/>
        <v>3.9</v>
      </c>
      <c r="S18" s="196">
        <f t="shared" ca="1" si="12"/>
        <v>3.6357756086087267</v>
      </c>
      <c r="T18" s="121">
        <f t="shared" ca="1" si="13"/>
        <v>109.40844407856052</v>
      </c>
      <c r="V18" s="117">
        <v>10</v>
      </c>
      <c r="W18" s="121">
        <f t="shared" ca="1" si="14"/>
        <v>1700.6</v>
      </c>
      <c r="X18" s="125">
        <f t="shared" si="22"/>
        <v>1800</v>
      </c>
      <c r="Y18" s="132">
        <f t="shared" ca="1" si="23"/>
        <v>1700.6</v>
      </c>
      <c r="Z18" s="125">
        <f t="shared" ca="1" si="24"/>
        <v>1465.0400000000002</v>
      </c>
      <c r="AA18" s="125">
        <f t="shared" si="25"/>
        <v>1737</v>
      </c>
      <c r="AB18" s="132">
        <f t="shared" ca="1" si="26"/>
        <v>1465.0400000000002</v>
      </c>
      <c r="AC18" s="142">
        <f t="shared" ca="1" si="15"/>
        <v>0.96056685875573344</v>
      </c>
      <c r="AD18" s="191">
        <f t="shared" si="27"/>
        <v>0.96499999999999997</v>
      </c>
      <c r="AE18" s="191">
        <f t="shared" ca="1" si="28"/>
        <v>0.96056685875573344</v>
      </c>
      <c r="AF18" s="142">
        <f t="shared" ca="1" si="29"/>
        <v>0.86148418205339305</v>
      </c>
      <c r="AG18" s="191">
        <f t="shared" si="30"/>
        <v>0.95499999999999996</v>
      </c>
      <c r="AH18" s="191">
        <f t="shared" ca="1" si="31"/>
        <v>0.86148418205339305</v>
      </c>
    </row>
    <row r="19" spans="2:34" x14ac:dyDescent="0.2">
      <c r="B19" s="117" t="s">
        <v>216</v>
      </c>
      <c r="C19" s="117">
        <v>11</v>
      </c>
      <c r="D19" s="121">
        <f t="shared" ca="1" si="16"/>
        <v>1650.55</v>
      </c>
      <c r="E19" s="121"/>
      <c r="F19" s="121">
        <f t="shared" ca="1" si="17"/>
        <v>1816.01</v>
      </c>
      <c r="G19" s="121">
        <f t="shared" ca="1" si="18"/>
        <v>1767.01</v>
      </c>
      <c r="H19" s="121">
        <f t="shared" ca="1" si="5"/>
        <v>277.20999999999998</v>
      </c>
      <c r="I19" s="121">
        <f t="shared" ca="1" si="19"/>
        <v>120</v>
      </c>
      <c r="J19" s="121">
        <v>49</v>
      </c>
      <c r="K19" s="121">
        <f t="shared" ca="1" si="20"/>
        <v>501.5</v>
      </c>
      <c r="L19" s="121">
        <f t="shared" ca="1" si="6"/>
        <v>0</v>
      </c>
      <c r="M19" s="219">
        <f t="shared" ca="1" si="7"/>
        <v>1.070558298748902</v>
      </c>
      <c r="N19" s="219">
        <f t="shared" ca="1" si="21"/>
        <v>1.0432946593559722</v>
      </c>
      <c r="O19" s="121">
        <f t="shared" ca="1" si="8"/>
        <v>2294.2633333333333</v>
      </c>
      <c r="P19" s="196">
        <f t="shared" ca="1" si="9"/>
        <v>1.3899992931649046</v>
      </c>
      <c r="Q19" s="121">
        <f t="shared" ca="1" si="10"/>
        <v>6882.79</v>
      </c>
      <c r="R19" s="196">
        <f t="shared" ca="1" si="11"/>
        <v>4.1699978794947139</v>
      </c>
      <c r="S19" s="196">
        <f t="shared" ca="1" si="12"/>
        <v>3.7950986034958047</v>
      </c>
      <c r="T19" s="121">
        <f t="shared" ca="1" si="13"/>
        <v>114.11953591227167</v>
      </c>
      <c r="V19" s="117">
        <v>11</v>
      </c>
      <c r="W19" s="121">
        <f t="shared" ca="1" si="14"/>
        <v>1650.55</v>
      </c>
      <c r="X19" s="125">
        <f t="shared" si="22"/>
        <v>1800</v>
      </c>
      <c r="Y19" s="132">
        <f t="shared" ca="1" si="23"/>
        <v>1650.55</v>
      </c>
      <c r="Z19" s="125">
        <f t="shared" ca="1" si="24"/>
        <v>1767.01</v>
      </c>
      <c r="AA19" s="125">
        <f t="shared" si="25"/>
        <v>1737</v>
      </c>
      <c r="AB19" s="132" t="str">
        <f t="shared" ca="1" si="26"/>
        <v/>
      </c>
      <c r="AC19" s="142">
        <f t="shared" ca="1" si="15"/>
        <v>1.0432946593559722</v>
      </c>
      <c r="AD19" s="191">
        <f t="shared" si="27"/>
        <v>0.96499999999999997</v>
      </c>
      <c r="AE19" s="191" t="str">
        <f t="shared" ca="1" si="28"/>
        <v/>
      </c>
      <c r="AF19" s="142">
        <f t="shared" ca="1" si="29"/>
        <v>1.070558298748902</v>
      </c>
      <c r="AG19" s="191">
        <f t="shared" si="30"/>
        <v>0.95499999999999996</v>
      </c>
      <c r="AH19" s="191" t="str">
        <f t="shared" ca="1" si="31"/>
        <v/>
      </c>
    </row>
    <row r="20" spans="2:34" x14ac:dyDescent="0.2">
      <c r="B20" s="117" t="s">
        <v>216</v>
      </c>
      <c r="C20" s="117">
        <v>12</v>
      </c>
      <c r="D20" s="121">
        <f t="shared" ca="1" si="16"/>
        <v>1720.49</v>
      </c>
      <c r="E20" s="121"/>
      <c r="F20" s="121">
        <f t="shared" ca="1" si="17"/>
        <v>1868.4199999999998</v>
      </c>
      <c r="G20" s="121">
        <f t="shared" ca="1" si="18"/>
        <v>1788.4199999999998</v>
      </c>
      <c r="H20" s="121">
        <f t="shared" ca="1" si="5"/>
        <v>330.14</v>
      </c>
      <c r="I20" s="121">
        <f t="shared" ca="1" si="19"/>
        <v>135</v>
      </c>
      <c r="J20" s="121">
        <v>80</v>
      </c>
      <c r="K20" s="121">
        <f t="shared" ca="1" si="20"/>
        <v>274.5</v>
      </c>
      <c r="L20" s="121">
        <f t="shared" ca="1" si="6"/>
        <v>0</v>
      </c>
      <c r="M20" s="219">
        <f t="shared" ca="1" si="7"/>
        <v>1.0394829380002208</v>
      </c>
      <c r="N20" s="219">
        <f t="shared" ca="1" si="21"/>
        <v>0.9075437811321192</v>
      </c>
      <c r="O20" s="121">
        <f t="shared" ca="1" si="8"/>
        <v>2276.7833333333333</v>
      </c>
      <c r="P20" s="196">
        <f t="shared" ca="1" si="9"/>
        <v>1.3233342439266333</v>
      </c>
      <c r="Q20" s="121">
        <f t="shared" ca="1" si="10"/>
        <v>6830.35</v>
      </c>
      <c r="R20" s="196">
        <f t="shared" ca="1" si="11"/>
        <v>3.9700027317799003</v>
      </c>
      <c r="S20" s="196">
        <f t="shared" ca="1" si="12"/>
        <v>3.6367546454789044</v>
      </c>
      <c r="T20" s="121">
        <f t="shared" ca="1" si="13"/>
        <v>110.45109242134508</v>
      </c>
      <c r="V20" s="117">
        <v>12</v>
      </c>
      <c r="W20" s="121">
        <f t="shared" ca="1" si="14"/>
        <v>1720.49</v>
      </c>
      <c r="X20" s="125">
        <f t="shared" si="22"/>
        <v>1800</v>
      </c>
      <c r="Y20" s="132">
        <f t="shared" ca="1" si="23"/>
        <v>1720.49</v>
      </c>
      <c r="Z20" s="125">
        <f t="shared" ca="1" si="24"/>
        <v>1788.4199999999998</v>
      </c>
      <c r="AA20" s="125">
        <f t="shared" si="25"/>
        <v>1737</v>
      </c>
      <c r="AB20" s="132" t="str">
        <f t="shared" ca="1" si="26"/>
        <v/>
      </c>
      <c r="AC20" s="142">
        <f t="shared" ca="1" si="15"/>
        <v>0.9075437811321192</v>
      </c>
      <c r="AD20" s="191">
        <f t="shared" si="27"/>
        <v>0.96499999999999997</v>
      </c>
      <c r="AE20" s="191">
        <f t="shared" ca="1" si="28"/>
        <v>0.9075437811321192</v>
      </c>
      <c r="AF20" s="142">
        <f t="shared" ca="1" si="29"/>
        <v>1.0394829380002208</v>
      </c>
      <c r="AG20" s="191">
        <f t="shared" si="30"/>
        <v>0.95499999999999996</v>
      </c>
      <c r="AH20" s="191" t="str">
        <f t="shared" ca="1" si="31"/>
        <v/>
      </c>
    </row>
    <row r="21" spans="2:34" x14ac:dyDescent="0.2">
      <c r="B21" s="117" t="s">
        <v>216</v>
      </c>
      <c r="C21" s="117">
        <v>13</v>
      </c>
      <c r="D21" s="121">
        <f t="shared" ca="1" si="16"/>
        <v>1750.82</v>
      </c>
      <c r="E21" s="121"/>
      <c r="F21" s="121">
        <f t="shared" ca="1" si="17"/>
        <v>1740.9099999999999</v>
      </c>
      <c r="G21" s="121">
        <f t="shared" ca="1" si="18"/>
        <v>1702.9099999999999</v>
      </c>
      <c r="H21" s="121">
        <f t="shared" ca="1" si="5"/>
        <v>420.39</v>
      </c>
      <c r="I21" s="121">
        <f t="shared" ca="1" si="19"/>
        <v>45</v>
      </c>
      <c r="J21" s="121">
        <v>38</v>
      </c>
      <c r="K21" s="121">
        <f t="shared" ca="1" si="20"/>
        <v>243.5</v>
      </c>
      <c r="L21" s="121">
        <f t="shared" ca="1" si="6"/>
        <v>0</v>
      </c>
      <c r="M21" s="219">
        <f t="shared" ca="1" si="7"/>
        <v>0.97263567928170791</v>
      </c>
      <c r="N21" s="219">
        <f t="shared" ca="1" si="21"/>
        <v>0.95492969008807294</v>
      </c>
      <c r="O21" s="121">
        <f t="shared" ca="1" si="8"/>
        <v>2252.7217333333333</v>
      </c>
      <c r="P21" s="196">
        <f t="shared" ca="1" si="9"/>
        <v>1.2866666666666666</v>
      </c>
      <c r="Q21" s="121">
        <f t="shared" ca="1" si="10"/>
        <v>6758.1651999999995</v>
      </c>
      <c r="R21" s="196">
        <f t="shared" ca="1" si="11"/>
        <v>3.86</v>
      </c>
      <c r="S21" s="196">
        <f t="shared" ca="1" si="12"/>
        <v>3.6148776002101872</v>
      </c>
      <c r="T21" s="121">
        <f t="shared" ca="1" si="13"/>
        <v>110.49108417769959</v>
      </c>
      <c r="V21" s="117">
        <v>13</v>
      </c>
      <c r="W21" s="121">
        <f t="shared" ca="1" si="14"/>
        <v>1750.82</v>
      </c>
      <c r="X21" s="125">
        <f t="shared" si="22"/>
        <v>1800</v>
      </c>
      <c r="Y21" s="132">
        <f t="shared" ca="1" si="23"/>
        <v>1750.82</v>
      </c>
      <c r="Z21" s="125">
        <f t="shared" ca="1" si="24"/>
        <v>1702.9099999999999</v>
      </c>
      <c r="AA21" s="125">
        <f t="shared" si="25"/>
        <v>1737</v>
      </c>
      <c r="AB21" s="132">
        <f t="shared" ca="1" si="26"/>
        <v>1702.9099999999999</v>
      </c>
      <c r="AC21" s="142">
        <f t="shared" ca="1" si="15"/>
        <v>0.95492969008807294</v>
      </c>
      <c r="AD21" s="191">
        <f t="shared" si="27"/>
        <v>0.96499999999999997</v>
      </c>
      <c r="AE21" s="191">
        <f t="shared" ca="1" si="28"/>
        <v>0.95492969008807294</v>
      </c>
      <c r="AF21" s="142">
        <f t="shared" ca="1" si="29"/>
        <v>0.97263567928170791</v>
      </c>
      <c r="AG21" s="191">
        <f t="shared" si="30"/>
        <v>0.95499999999999996</v>
      </c>
      <c r="AH21" s="191" t="str">
        <f t="shared" ca="1" si="31"/>
        <v/>
      </c>
    </row>
    <row r="22" spans="2:34" x14ac:dyDescent="0.2">
      <c r="B22" s="117" t="s">
        <v>216</v>
      </c>
      <c r="C22" s="117">
        <v>14</v>
      </c>
      <c r="D22" s="121">
        <f t="shared" ca="1" si="16"/>
        <v>120</v>
      </c>
      <c r="E22" s="121"/>
      <c r="F22" s="121">
        <f t="shared" ca="1" si="17"/>
        <v>0</v>
      </c>
      <c r="G22" s="121">
        <f t="shared" ca="1" si="18"/>
        <v>0</v>
      </c>
      <c r="H22" s="121">
        <f t="shared" ca="1" si="5"/>
        <v>0</v>
      </c>
      <c r="I22" s="121">
        <f t="shared" ca="1" si="19"/>
        <v>0</v>
      </c>
      <c r="J22" s="121"/>
      <c r="K22" s="121">
        <f t="shared" ca="1" si="20"/>
        <v>0</v>
      </c>
      <c r="L22" s="121">
        <f t="shared" ca="1" si="6"/>
        <v>0</v>
      </c>
      <c r="M22" s="219">
        <f t="shared" ca="1" si="7"/>
        <v>0</v>
      </c>
      <c r="N22" s="219">
        <f t="shared" ca="1" si="21"/>
        <v>-2.0291666666666668</v>
      </c>
      <c r="O22" s="121">
        <f t="shared" ca="1" si="8"/>
        <v>0</v>
      </c>
      <c r="P22" s="196">
        <f ca="1">IF(ISERROR(O22/D22),"",(O22/D22))</f>
        <v>0</v>
      </c>
      <c r="Q22" s="121">
        <f t="shared" ca="1" si="10"/>
        <v>0</v>
      </c>
      <c r="R22" s="196">
        <f t="shared" ca="1" si="11"/>
        <v>0</v>
      </c>
      <c r="S22" s="196">
        <f t="shared" ca="1" si="12"/>
        <v>0</v>
      </c>
      <c r="T22" s="121">
        <f t="shared" ca="1" si="13"/>
        <v>0</v>
      </c>
      <c r="V22" s="117">
        <v>14</v>
      </c>
      <c r="W22" s="121">
        <f t="shared" ca="1" si="14"/>
        <v>120</v>
      </c>
      <c r="X22" s="125">
        <f t="shared" si="22"/>
        <v>1800</v>
      </c>
      <c r="Y22" s="132">
        <f t="shared" ca="1" si="23"/>
        <v>120</v>
      </c>
      <c r="Z22" s="125">
        <f t="shared" ca="1" si="24"/>
        <v>0</v>
      </c>
      <c r="AA22" s="125">
        <f t="shared" si="25"/>
        <v>1737</v>
      </c>
      <c r="AB22" s="132">
        <f t="shared" ca="1" si="26"/>
        <v>0</v>
      </c>
      <c r="AC22" s="142">
        <f t="shared" ca="1" si="15"/>
        <v>-2.0291666666666668</v>
      </c>
      <c r="AD22" s="191">
        <f t="shared" si="27"/>
        <v>0.96499999999999997</v>
      </c>
      <c r="AE22" s="191">
        <f t="shared" ca="1" si="28"/>
        <v>-2.0291666666666668</v>
      </c>
      <c r="AF22" s="142">
        <f t="shared" ca="1" si="29"/>
        <v>0</v>
      </c>
      <c r="AG22" s="191">
        <f t="shared" si="30"/>
        <v>0.95499999999999996</v>
      </c>
      <c r="AH22" s="191">
        <f t="shared" ca="1" si="31"/>
        <v>0</v>
      </c>
    </row>
    <row r="23" spans="2:34" x14ac:dyDescent="0.2">
      <c r="B23" s="117" t="s">
        <v>216</v>
      </c>
      <c r="C23" s="117">
        <v>15</v>
      </c>
      <c r="D23" s="121">
        <f t="shared" ca="1" si="16"/>
        <v>0</v>
      </c>
      <c r="E23" s="121"/>
      <c r="F23" s="121">
        <f t="shared" ca="1" si="17"/>
        <v>0</v>
      </c>
      <c r="G23" s="121">
        <f t="shared" ca="1" si="18"/>
        <v>0</v>
      </c>
      <c r="H23" s="121">
        <f t="shared" ca="1" si="5"/>
        <v>0</v>
      </c>
      <c r="I23" s="121">
        <f t="shared" ca="1" si="19"/>
        <v>0</v>
      </c>
      <c r="J23" s="121"/>
      <c r="K23" s="121">
        <f t="shared" ca="1" si="20"/>
        <v>0</v>
      </c>
      <c r="L23" s="121">
        <f t="shared" ca="1" si="6"/>
        <v>0</v>
      </c>
      <c r="M23" s="219" t="str">
        <f t="shared" ca="1" si="7"/>
        <v/>
      </c>
      <c r="N23" s="219" t="str">
        <f t="shared" ca="1" si="21"/>
        <v/>
      </c>
      <c r="O23" s="121">
        <f t="shared" ca="1" si="8"/>
        <v>0</v>
      </c>
      <c r="P23" s="196" t="str">
        <f t="shared" ca="1" si="9"/>
        <v/>
      </c>
      <c r="Q23" s="121">
        <f t="shared" ca="1" si="10"/>
        <v>0</v>
      </c>
      <c r="R23" s="196" t="str">
        <f t="shared" ca="1" si="11"/>
        <v/>
      </c>
      <c r="S23" s="196" t="str">
        <f t="shared" ca="1" si="12"/>
        <v/>
      </c>
      <c r="T23" s="121" t="str">
        <f t="shared" ca="1" si="13"/>
        <v/>
      </c>
      <c r="V23" s="117">
        <v>15</v>
      </c>
      <c r="W23" s="121">
        <f t="shared" ca="1" si="14"/>
        <v>0</v>
      </c>
      <c r="X23" s="125">
        <f t="shared" si="22"/>
        <v>1800</v>
      </c>
      <c r="Y23" s="132">
        <f t="shared" ca="1" si="23"/>
        <v>0</v>
      </c>
      <c r="Z23" s="125">
        <f t="shared" ca="1" si="24"/>
        <v>0</v>
      </c>
      <c r="AA23" s="125">
        <f t="shared" si="25"/>
        <v>1737</v>
      </c>
      <c r="AB23" s="132">
        <f t="shared" ca="1" si="26"/>
        <v>0</v>
      </c>
      <c r="AC23" s="142" t="str">
        <f t="shared" ca="1" si="15"/>
        <v/>
      </c>
      <c r="AD23" s="191">
        <f t="shared" si="27"/>
        <v>0.96499999999999997</v>
      </c>
      <c r="AE23" s="191" t="str">
        <f t="shared" ca="1" si="28"/>
        <v/>
      </c>
      <c r="AF23" s="142" t="str">
        <f t="shared" ca="1" si="29"/>
        <v/>
      </c>
      <c r="AG23" s="191">
        <f t="shared" si="30"/>
        <v>0.95499999999999996</v>
      </c>
      <c r="AH23" s="191" t="str">
        <f t="shared" ca="1" si="31"/>
        <v/>
      </c>
    </row>
    <row r="24" spans="2:34" x14ac:dyDescent="0.2">
      <c r="B24" s="117" t="s">
        <v>217</v>
      </c>
      <c r="C24" s="117">
        <v>16</v>
      </c>
      <c r="D24" s="121">
        <f t="shared" ca="1" si="16"/>
        <v>0</v>
      </c>
      <c r="E24" s="121"/>
      <c r="F24" s="121">
        <f t="shared" ca="1" si="17"/>
        <v>0</v>
      </c>
      <c r="G24" s="121">
        <f t="shared" ca="1" si="18"/>
        <v>0</v>
      </c>
      <c r="H24" s="121">
        <f t="shared" ca="1" si="5"/>
        <v>0</v>
      </c>
      <c r="I24" s="121">
        <f t="shared" ca="1" si="19"/>
        <v>0</v>
      </c>
      <c r="J24" s="121"/>
      <c r="K24" s="121">
        <f t="shared" ca="1" si="20"/>
        <v>0</v>
      </c>
      <c r="L24" s="121">
        <f t="shared" ca="1" si="6"/>
        <v>0</v>
      </c>
      <c r="M24" s="219" t="str">
        <f t="shared" ca="1" si="7"/>
        <v/>
      </c>
      <c r="N24" s="219" t="str">
        <f t="shared" ca="1" si="21"/>
        <v/>
      </c>
      <c r="O24" s="121">
        <f t="shared" ca="1" si="8"/>
        <v>0</v>
      </c>
      <c r="P24" s="196" t="str">
        <f t="shared" ca="1" si="9"/>
        <v/>
      </c>
      <c r="Q24" s="121">
        <f t="shared" ca="1" si="10"/>
        <v>0</v>
      </c>
      <c r="R24" s="196" t="str">
        <f t="shared" ca="1" si="11"/>
        <v/>
      </c>
      <c r="S24" s="196" t="str">
        <f t="shared" ca="1" si="12"/>
        <v/>
      </c>
      <c r="T24" s="121" t="str">
        <f t="shared" ca="1" si="13"/>
        <v/>
      </c>
      <c r="V24" s="117">
        <v>16</v>
      </c>
      <c r="W24" s="121">
        <f t="shared" ca="1" si="14"/>
        <v>0</v>
      </c>
      <c r="X24" s="125">
        <f t="shared" si="22"/>
        <v>1800</v>
      </c>
      <c r="Y24" s="132">
        <f t="shared" ca="1" si="23"/>
        <v>0</v>
      </c>
      <c r="Z24" s="125">
        <f t="shared" ca="1" si="24"/>
        <v>0</v>
      </c>
      <c r="AA24" s="125">
        <f t="shared" si="25"/>
        <v>1737</v>
      </c>
      <c r="AB24" s="132">
        <f t="shared" ca="1" si="26"/>
        <v>0</v>
      </c>
      <c r="AC24" s="142" t="str">
        <f t="shared" ca="1" si="15"/>
        <v/>
      </c>
      <c r="AD24" s="191">
        <f t="shared" si="27"/>
        <v>0.96499999999999997</v>
      </c>
      <c r="AE24" s="191" t="str">
        <f t="shared" ca="1" si="28"/>
        <v/>
      </c>
      <c r="AF24" s="142" t="str">
        <f t="shared" ca="1" si="29"/>
        <v/>
      </c>
      <c r="AG24" s="191">
        <f t="shared" si="30"/>
        <v>0.95499999999999996</v>
      </c>
      <c r="AH24" s="191" t="str">
        <f t="shared" ca="1" si="31"/>
        <v/>
      </c>
    </row>
    <row r="25" spans="2:34" x14ac:dyDescent="0.2">
      <c r="B25" s="117" t="s">
        <v>217</v>
      </c>
      <c r="C25" s="117">
        <v>17</v>
      </c>
      <c r="D25" s="121">
        <f t="shared" ca="1" si="16"/>
        <v>0</v>
      </c>
      <c r="E25" s="121"/>
      <c r="F25" s="121">
        <f t="shared" ca="1" si="17"/>
        <v>0</v>
      </c>
      <c r="G25" s="121">
        <f t="shared" ca="1" si="18"/>
        <v>0</v>
      </c>
      <c r="H25" s="121">
        <f t="shared" ca="1" si="5"/>
        <v>0</v>
      </c>
      <c r="I25" s="121">
        <f t="shared" ca="1" si="19"/>
        <v>0</v>
      </c>
      <c r="J25" s="121"/>
      <c r="K25" s="121">
        <f t="shared" ca="1" si="20"/>
        <v>0</v>
      </c>
      <c r="L25" s="121">
        <f t="shared" ca="1" si="6"/>
        <v>0</v>
      </c>
      <c r="M25" s="219" t="str">
        <f t="shared" ca="1" si="7"/>
        <v/>
      </c>
      <c r="N25" s="219" t="str">
        <f t="shared" ca="1" si="21"/>
        <v/>
      </c>
      <c r="O25" s="121">
        <f t="shared" ca="1" si="8"/>
        <v>0</v>
      </c>
      <c r="P25" s="196" t="str">
        <f t="shared" ca="1" si="9"/>
        <v/>
      </c>
      <c r="Q25" s="121">
        <f t="shared" ca="1" si="10"/>
        <v>0</v>
      </c>
      <c r="R25" s="196" t="str">
        <f t="shared" ca="1" si="11"/>
        <v/>
      </c>
      <c r="S25" s="196" t="str">
        <f t="shared" ca="1" si="12"/>
        <v/>
      </c>
      <c r="T25" s="121" t="str">
        <f t="shared" ca="1" si="13"/>
        <v/>
      </c>
      <c r="V25" s="117">
        <v>17</v>
      </c>
      <c r="W25" s="121">
        <f t="shared" ca="1" si="14"/>
        <v>0</v>
      </c>
      <c r="X25" s="125">
        <f t="shared" si="22"/>
        <v>1800</v>
      </c>
      <c r="Y25" s="132">
        <f t="shared" ca="1" si="23"/>
        <v>0</v>
      </c>
      <c r="Z25" s="125">
        <f t="shared" ca="1" si="24"/>
        <v>0</v>
      </c>
      <c r="AA25" s="125">
        <f t="shared" si="25"/>
        <v>1737</v>
      </c>
      <c r="AB25" s="132">
        <f t="shared" ca="1" si="26"/>
        <v>0</v>
      </c>
      <c r="AC25" s="142" t="str">
        <f t="shared" ca="1" si="15"/>
        <v/>
      </c>
      <c r="AD25" s="191">
        <f t="shared" si="27"/>
        <v>0.96499999999999997</v>
      </c>
      <c r="AE25" s="191" t="str">
        <f t="shared" ca="1" si="28"/>
        <v/>
      </c>
      <c r="AF25" s="142" t="str">
        <f t="shared" ca="1" si="29"/>
        <v/>
      </c>
      <c r="AG25" s="191">
        <f t="shared" si="30"/>
        <v>0.95499999999999996</v>
      </c>
      <c r="AH25" s="191" t="str">
        <f t="shared" ca="1" si="31"/>
        <v/>
      </c>
    </row>
    <row r="26" spans="2:34" x14ac:dyDescent="0.2">
      <c r="B26" s="117" t="s">
        <v>217</v>
      </c>
      <c r="C26" s="117">
        <v>18</v>
      </c>
      <c r="D26" s="121">
        <f t="shared" ca="1" si="16"/>
        <v>0</v>
      </c>
      <c r="E26" s="121"/>
      <c r="F26" s="121">
        <f t="shared" ca="1" si="17"/>
        <v>0</v>
      </c>
      <c r="G26" s="121">
        <f t="shared" ca="1" si="18"/>
        <v>0</v>
      </c>
      <c r="H26" s="121">
        <f t="shared" ca="1" si="5"/>
        <v>0</v>
      </c>
      <c r="I26" s="121">
        <f t="shared" ca="1" si="19"/>
        <v>0</v>
      </c>
      <c r="J26" s="121"/>
      <c r="K26" s="121">
        <f t="shared" ca="1" si="20"/>
        <v>0</v>
      </c>
      <c r="L26" s="121">
        <f t="shared" ca="1" si="6"/>
        <v>0</v>
      </c>
      <c r="M26" s="219" t="str">
        <f t="shared" ca="1" si="7"/>
        <v/>
      </c>
      <c r="N26" s="219" t="str">
        <f t="shared" ca="1" si="21"/>
        <v/>
      </c>
      <c r="O26" s="121">
        <f t="shared" ca="1" si="8"/>
        <v>0</v>
      </c>
      <c r="P26" s="196" t="str">
        <f t="shared" ca="1" si="9"/>
        <v/>
      </c>
      <c r="Q26" s="121">
        <f t="shared" ca="1" si="10"/>
        <v>0</v>
      </c>
      <c r="R26" s="196" t="str">
        <f t="shared" ca="1" si="11"/>
        <v/>
      </c>
      <c r="S26" s="196" t="str">
        <f t="shared" ca="1" si="12"/>
        <v/>
      </c>
      <c r="T26" s="121" t="str">
        <f t="shared" ca="1" si="13"/>
        <v/>
      </c>
      <c r="V26" s="117">
        <v>18</v>
      </c>
      <c r="W26" s="121">
        <f t="shared" ca="1" si="14"/>
        <v>0</v>
      </c>
      <c r="X26" s="125">
        <f t="shared" si="22"/>
        <v>1800</v>
      </c>
      <c r="Y26" s="132">
        <f t="shared" ca="1" si="23"/>
        <v>0</v>
      </c>
      <c r="Z26" s="125">
        <f t="shared" ca="1" si="24"/>
        <v>0</v>
      </c>
      <c r="AA26" s="125">
        <f t="shared" si="25"/>
        <v>1737</v>
      </c>
      <c r="AB26" s="132">
        <f t="shared" ca="1" si="26"/>
        <v>0</v>
      </c>
      <c r="AC26" s="142" t="str">
        <f t="shared" ca="1" si="15"/>
        <v/>
      </c>
      <c r="AD26" s="191">
        <f t="shared" si="27"/>
        <v>0.96499999999999997</v>
      </c>
      <c r="AE26" s="191" t="str">
        <f t="shared" ca="1" si="28"/>
        <v/>
      </c>
      <c r="AF26" s="142" t="str">
        <f t="shared" ca="1" si="29"/>
        <v/>
      </c>
      <c r="AG26" s="191">
        <f t="shared" si="30"/>
        <v>0.95499999999999996</v>
      </c>
      <c r="AH26" s="191" t="str">
        <f t="shared" ca="1" si="31"/>
        <v/>
      </c>
    </row>
    <row r="27" spans="2:34" x14ac:dyDescent="0.2">
      <c r="B27" s="117" t="s">
        <v>217</v>
      </c>
      <c r="C27" s="117">
        <v>19</v>
      </c>
      <c r="D27" s="121">
        <f t="shared" ca="1" si="16"/>
        <v>0</v>
      </c>
      <c r="E27" s="121"/>
      <c r="F27" s="121">
        <f t="shared" ca="1" si="17"/>
        <v>0</v>
      </c>
      <c r="G27" s="121">
        <f t="shared" ca="1" si="18"/>
        <v>0</v>
      </c>
      <c r="H27" s="121">
        <f t="shared" ca="1" si="5"/>
        <v>0</v>
      </c>
      <c r="I27" s="121">
        <f t="shared" ca="1" si="19"/>
        <v>0</v>
      </c>
      <c r="J27" s="121"/>
      <c r="K27" s="121">
        <f t="shared" ca="1" si="20"/>
        <v>0</v>
      </c>
      <c r="L27" s="121">
        <f t="shared" ca="1" si="6"/>
        <v>0</v>
      </c>
      <c r="M27" s="219" t="str">
        <f t="shared" ca="1" si="7"/>
        <v/>
      </c>
      <c r="N27" s="219" t="str">
        <f t="shared" ca="1" si="21"/>
        <v/>
      </c>
      <c r="O27" s="121">
        <f t="shared" ca="1" si="8"/>
        <v>0</v>
      </c>
      <c r="P27" s="196" t="str">
        <f t="shared" ca="1" si="9"/>
        <v/>
      </c>
      <c r="Q27" s="121">
        <f t="shared" ca="1" si="10"/>
        <v>0</v>
      </c>
      <c r="R27" s="196" t="str">
        <f t="shared" ca="1" si="11"/>
        <v/>
      </c>
      <c r="S27" s="196" t="str">
        <f t="shared" ca="1" si="12"/>
        <v/>
      </c>
      <c r="T27" s="121" t="str">
        <f t="shared" ca="1" si="13"/>
        <v/>
      </c>
      <c r="V27" s="117">
        <v>19</v>
      </c>
      <c r="W27" s="121">
        <f t="shared" ca="1" si="14"/>
        <v>0</v>
      </c>
      <c r="X27" s="125">
        <f t="shared" si="22"/>
        <v>1800</v>
      </c>
      <c r="Y27" s="132">
        <f t="shared" ca="1" si="23"/>
        <v>0</v>
      </c>
      <c r="Z27" s="125">
        <f t="shared" ca="1" si="24"/>
        <v>0</v>
      </c>
      <c r="AA27" s="125">
        <f t="shared" si="25"/>
        <v>1737</v>
      </c>
      <c r="AB27" s="132">
        <f t="shared" ca="1" si="26"/>
        <v>0</v>
      </c>
      <c r="AC27" s="142" t="str">
        <f t="shared" ca="1" si="15"/>
        <v/>
      </c>
      <c r="AD27" s="191">
        <f t="shared" si="27"/>
        <v>0.96499999999999997</v>
      </c>
      <c r="AE27" s="191" t="str">
        <f t="shared" ca="1" si="28"/>
        <v/>
      </c>
      <c r="AF27" s="142" t="str">
        <f t="shared" ca="1" si="29"/>
        <v/>
      </c>
      <c r="AG27" s="191">
        <f t="shared" si="30"/>
        <v>0.95499999999999996</v>
      </c>
      <c r="AH27" s="191" t="str">
        <f t="shared" ca="1" si="31"/>
        <v/>
      </c>
    </row>
    <row r="28" spans="2:34" x14ac:dyDescent="0.2">
      <c r="B28" s="117" t="s">
        <v>217</v>
      </c>
      <c r="C28" s="117">
        <v>20</v>
      </c>
      <c r="D28" s="121">
        <f t="shared" ca="1" si="16"/>
        <v>0</v>
      </c>
      <c r="E28" s="121"/>
      <c r="F28" s="121">
        <f t="shared" ca="1" si="17"/>
        <v>0</v>
      </c>
      <c r="G28" s="121">
        <f t="shared" ca="1" si="18"/>
        <v>0</v>
      </c>
      <c r="H28" s="121">
        <f t="shared" ca="1" si="5"/>
        <v>0</v>
      </c>
      <c r="I28" s="121">
        <f t="shared" ca="1" si="19"/>
        <v>0</v>
      </c>
      <c r="J28" s="121"/>
      <c r="K28" s="121">
        <f t="shared" ca="1" si="20"/>
        <v>0</v>
      </c>
      <c r="L28" s="121">
        <f t="shared" ca="1" si="6"/>
        <v>0</v>
      </c>
      <c r="M28" s="219" t="str">
        <f t="shared" ca="1" si="7"/>
        <v/>
      </c>
      <c r="N28" s="219" t="str">
        <f t="shared" ca="1" si="21"/>
        <v/>
      </c>
      <c r="O28" s="121">
        <f t="shared" ca="1" si="8"/>
        <v>0</v>
      </c>
      <c r="P28" s="196" t="str">
        <f t="shared" ca="1" si="9"/>
        <v/>
      </c>
      <c r="Q28" s="121">
        <f t="shared" ca="1" si="10"/>
        <v>0</v>
      </c>
      <c r="R28" s="196" t="str">
        <f t="shared" ca="1" si="11"/>
        <v/>
      </c>
      <c r="S28" s="196" t="str">
        <f t="shared" ca="1" si="12"/>
        <v/>
      </c>
      <c r="T28" s="121" t="str">
        <f t="shared" ca="1" si="13"/>
        <v/>
      </c>
      <c r="V28" s="117">
        <v>20</v>
      </c>
      <c r="W28" s="121">
        <f t="shared" ca="1" si="14"/>
        <v>0</v>
      </c>
      <c r="X28" s="125">
        <f t="shared" si="22"/>
        <v>1800</v>
      </c>
      <c r="Y28" s="132">
        <f t="shared" ca="1" si="23"/>
        <v>0</v>
      </c>
      <c r="Z28" s="125">
        <f t="shared" ca="1" si="24"/>
        <v>0</v>
      </c>
      <c r="AA28" s="125">
        <f t="shared" si="25"/>
        <v>1737</v>
      </c>
      <c r="AB28" s="132">
        <f t="shared" ca="1" si="26"/>
        <v>0</v>
      </c>
      <c r="AC28" s="142" t="str">
        <f t="shared" ca="1" si="15"/>
        <v/>
      </c>
      <c r="AD28" s="191">
        <f t="shared" si="27"/>
        <v>0.96499999999999997</v>
      </c>
      <c r="AE28" s="191" t="str">
        <f t="shared" ca="1" si="28"/>
        <v/>
      </c>
      <c r="AF28" s="142" t="str">
        <f t="shared" ca="1" si="29"/>
        <v/>
      </c>
      <c r="AG28" s="191">
        <f t="shared" si="30"/>
        <v>0.95499999999999996</v>
      </c>
      <c r="AH28" s="191" t="str">
        <f t="shared" ca="1" si="31"/>
        <v/>
      </c>
    </row>
    <row r="29" spans="2:34" x14ac:dyDescent="0.2">
      <c r="B29" s="117" t="s">
        <v>217</v>
      </c>
      <c r="C29" s="117">
        <v>21</v>
      </c>
      <c r="D29" s="121">
        <f t="shared" ca="1" si="16"/>
        <v>0</v>
      </c>
      <c r="E29" s="121"/>
      <c r="F29" s="121">
        <f t="shared" ca="1" si="17"/>
        <v>0</v>
      </c>
      <c r="G29" s="121">
        <f t="shared" ca="1" si="18"/>
        <v>0</v>
      </c>
      <c r="H29" s="121">
        <f t="shared" ca="1" si="5"/>
        <v>0</v>
      </c>
      <c r="I29" s="121">
        <f t="shared" ca="1" si="19"/>
        <v>0</v>
      </c>
      <c r="J29" s="121"/>
      <c r="K29" s="121">
        <f t="shared" ca="1" si="20"/>
        <v>0</v>
      </c>
      <c r="L29" s="121">
        <f t="shared" ca="1" si="6"/>
        <v>0</v>
      </c>
      <c r="M29" s="219" t="str">
        <f t="shared" ca="1" si="7"/>
        <v/>
      </c>
      <c r="N29" s="219" t="str">
        <f t="shared" ca="1" si="21"/>
        <v/>
      </c>
      <c r="O29" s="121">
        <f t="shared" ca="1" si="8"/>
        <v>0</v>
      </c>
      <c r="P29" s="196" t="str">
        <f t="shared" ca="1" si="9"/>
        <v/>
      </c>
      <c r="Q29" s="121">
        <f t="shared" ca="1" si="10"/>
        <v>0</v>
      </c>
      <c r="R29" s="196" t="str">
        <f t="shared" ca="1" si="11"/>
        <v/>
      </c>
      <c r="S29" s="196" t="str">
        <f t="shared" ca="1" si="12"/>
        <v/>
      </c>
      <c r="T29" s="121" t="str">
        <f t="shared" ca="1" si="13"/>
        <v/>
      </c>
      <c r="V29" s="117">
        <v>21</v>
      </c>
      <c r="W29" s="121">
        <f t="shared" ca="1" si="14"/>
        <v>0</v>
      </c>
      <c r="X29" s="125">
        <f t="shared" si="22"/>
        <v>1800</v>
      </c>
      <c r="Y29" s="132">
        <f t="shared" ca="1" si="23"/>
        <v>0</v>
      </c>
      <c r="Z29" s="125">
        <f t="shared" ca="1" si="24"/>
        <v>0</v>
      </c>
      <c r="AA29" s="125">
        <f t="shared" si="25"/>
        <v>1737</v>
      </c>
      <c r="AB29" s="132">
        <f t="shared" ca="1" si="26"/>
        <v>0</v>
      </c>
      <c r="AC29" s="142" t="str">
        <f t="shared" ca="1" si="15"/>
        <v/>
      </c>
      <c r="AD29" s="191">
        <f t="shared" si="27"/>
        <v>0.96499999999999997</v>
      </c>
      <c r="AE29" s="191" t="str">
        <f t="shared" ca="1" si="28"/>
        <v/>
      </c>
      <c r="AF29" s="142" t="str">
        <f t="shared" ca="1" si="29"/>
        <v/>
      </c>
      <c r="AG29" s="191">
        <f t="shared" si="30"/>
        <v>0.95499999999999996</v>
      </c>
      <c r="AH29" s="191" t="str">
        <f t="shared" ca="1" si="31"/>
        <v/>
      </c>
    </row>
    <row r="30" spans="2:34" x14ac:dyDescent="0.2">
      <c r="B30" s="117" t="s">
        <v>217</v>
      </c>
      <c r="C30" s="117">
        <v>22</v>
      </c>
      <c r="D30" s="121">
        <f t="shared" ca="1" si="16"/>
        <v>0</v>
      </c>
      <c r="E30" s="121"/>
      <c r="F30" s="121">
        <f t="shared" ca="1" si="17"/>
        <v>0</v>
      </c>
      <c r="G30" s="121">
        <f t="shared" ca="1" si="18"/>
        <v>0</v>
      </c>
      <c r="H30" s="121">
        <f t="shared" ca="1" si="5"/>
        <v>0</v>
      </c>
      <c r="I30" s="121">
        <f t="shared" ca="1" si="19"/>
        <v>0</v>
      </c>
      <c r="J30" s="121"/>
      <c r="K30" s="121">
        <f t="shared" ca="1" si="20"/>
        <v>0</v>
      </c>
      <c r="L30" s="121">
        <f t="shared" ca="1" si="6"/>
        <v>0</v>
      </c>
      <c r="M30" s="219" t="str">
        <f t="shared" ca="1" si="7"/>
        <v/>
      </c>
      <c r="N30" s="219" t="str">
        <f t="shared" ca="1" si="21"/>
        <v/>
      </c>
      <c r="O30" s="121">
        <f t="shared" ca="1" si="8"/>
        <v>0</v>
      </c>
      <c r="P30" s="196" t="str">
        <f t="shared" ca="1" si="9"/>
        <v/>
      </c>
      <c r="Q30" s="121">
        <f t="shared" ca="1" si="10"/>
        <v>0</v>
      </c>
      <c r="R30" s="196" t="str">
        <f t="shared" ca="1" si="11"/>
        <v/>
      </c>
      <c r="S30" s="196" t="str">
        <f t="shared" ca="1" si="12"/>
        <v/>
      </c>
      <c r="T30" s="121" t="str">
        <f t="shared" ca="1" si="13"/>
        <v/>
      </c>
      <c r="V30" s="117">
        <v>22</v>
      </c>
      <c r="W30" s="121">
        <f t="shared" ca="1" si="14"/>
        <v>0</v>
      </c>
      <c r="X30" s="125">
        <f t="shared" si="22"/>
        <v>1800</v>
      </c>
      <c r="Y30" s="132">
        <f t="shared" ca="1" si="23"/>
        <v>0</v>
      </c>
      <c r="Z30" s="125">
        <f t="shared" ca="1" si="24"/>
        <v>0</v>
      </c>
      <c r="AA30" s="125">
        <f t="shared" si="25"/>
        <v>1737</v>
      </c>
      <c r="AB30" s="132">
        <f t="shared" ca="1" si="26"/>
        <v>0</v>
      </c>
      <c r="AC30" s="142" t="str">
        <f t="shared" ca="1" si="15"/>
        <v/>
      </c>
      <c r="AD30" s="191">
        <f t="shared" si="27"/>
        <v>0.96499999999999997</v>
      </c>
      <c r="AE30" s="191" t="str">
        <f t="shared" ca="1" si="28"/>
        <v/>
      </c>
      <c r="AF30" s="142" t="str">
        <f t="shared" ca="1" si="29"/>
        <v/>
      </c>
      <c r="AG30" s="191">
        <f t="shared" si="30"/>
        <v>0.95499999999999996</v>
      </c>
      <c r="AH30" s="191" t="str">
        <f t="shared" ca="1" si="31"/>
        <v/>
      </c>
    </row>
    <row r="31" spans="2:34" x14ac:dyDescent="0.2">
      <c r="B31" s="117" t="s">
        <v>218</v>
      </c>
      <c r="C31" s="117">
        <v>23</v>
      </c>
      <c r="D31" s="121">
        <f t="shared" ca="1" si="16"/>
        <v>0</v>
      </c>
      <c r="E31" s="121"/>
      <c r="F31" s="121">
        <f t="shared" ca="1" si="17"/>
        <v>0</v>
      </c>
      <c r="G31" s="121">
        <f t="shared" ca="1" si="18"/>
        <v>0</v>
      </c>
      <c r="H31" s="121">
        <f t="shared" ca="1" si="5"/>
        <v>0</v>
      </c>
      <c r="I31" s="121">
        <f t="shared" ca="1" si="19"/>
        <v>0</v>
      </c>
      <c r="J31" s="121"/>
      <c r="K31" s="121">
        <f t="shared" ca="1" si="20"/>
        <v>0</v>
      </c>
      <c r="L31" s="121">
        <f t="shared" ca="1" si="6"/>
        <v>0</v>
      </c>
      <c r="M31" s="219" t="str">
        <f t="shared" ca="1" si="7"/>
        <v/>
      </c>
      <c r="N31" s="219" t="str">
        <f t="shared" ca="1" si="21"/>
        <v/>
      </c>
      <c r="O31" s="121">
        <f t="shared" ca="1" si="8"/>
        <v>0</v>
      </c>
      <c r="P31" s="196" t="str">
        <f t="shared" ca="1" si="9"/>
        <v/>
      </c>
      <c r="Q31" s="121">
        <f t="shared" ca="1" si="10"/>
        <v>0</v>
      </c>
      <c r="R31" s="196" t="str">
        <f t="shared" ca="1" si="11"/>
        <v/>
      </c>
      <c r="S31" s="196" t="str">
        <f t="shared" ca="1" si="12"/>
        <v/>
      </c>
      <c r="T31" s="121" t="str">
        <f t="shared" ca="1" si="13"/>
        <v/>
      </c>
      <c r="V31" s="117">
        <v>23</v>
      </c>
      <c r="W31" s="121">
        <f t="shared" ca="1" si="14"/>
        <v>0</v>
      </c>
      <c r="X31" s="125">
        <f t="shared" si="22"/>
        <v>1800</v>
      </c>
      <c r="Y31" s="132">
        <f t="shared" ca="1" si="23"/>
        <v>0</v>
      </c>
      <c r="Z31" s="125">
        <f t="shared" ca="1" si="24"/>
        <v>0</v>
      </c>
      <c r="AA31" s="125">
        <f t="shared" si="25"/>
        <v>1737</v>
      </c>
      <c r="AB31" s="132">
        <f t="shared" ca="1" si="26"/>
        <v>0</v>
      </c>
      <c r="AC31" s="142" t="str">
        <f t="shared" ca="1" si="15"/>
        <v/>
      </c>
      <c r="AD31" s="191">
        <f t="shared" si="27"/>
        <v>0.96499999999999997</v>
      </c>
      <c r="AE31" s="191" t="str">
        <f t="shared" ca="1" si="28"/>
        <v/>
      </c>
      <c r="AF31" s="142" t="str">
        <f t="shared" ca="1" si="29"/>
        <v/>
      </c>
      <c r="AG31" s="191">
        <f t="shared" si="30"/>
        <v>0.95499999999999996</v>
      </c>
      <c r="AH31" s="191" t="str">
        <f t="shared" ca="1" si="31"/>
        <v/>
      </c>
    </row>
    <row r="32" spans="2:34" x14ac:dyDescent="0.2">
      <c r="B32" s="117" t="s">
        <v>218</v>
      </c>
      <c r="C32" s="117">
        <v>24</v>
      </c>
      <c r="D32" s="121">
        <f t="shared" ca="1" si="16"/>
        <v>0</v>
      </c>
      <c r="E32" s="121"/>
      <c r="F32" s="121">
        <f t="shared" ca="1" si="17"/>
        <v>0</v>
      </c>
      <c r="G32" s="121">
        <f t="shared" ca="1" si="18"/>
        <v>0</v>
      </c>
      <c r="H32" s="121">
        <f t="shared" ca="1" si="5"/>
        <v>0</v>
      </c>
      <c r="I32" s="121">
        <f t="shared" ca="1" si="19"/>
        <v>0</v>
      </c>
      <c r="J32" s="121"/>
      <c r="K32" s="121">
        <f t="shared" ca="1" si="20"/>
        <v>0</v>
      </c>
      <c r="L32" s="121">
        <f t="shared" ca="1" si="6"/>
        <v>0</v>
      </c>
      <c r="M32" s="219" t="str">
        <f t="shared" ca="1" si="7"/>
        <v/>
      </c>
      <c r="N32" s="219" t="str">
        <f t="shared" ca="1" si="21"/>
        <v/>
      </c>
      <c r="O32" s="121">
        <f t="shared" ca="1" si="8"/>
        <v>0</v>
      </c>
      <c r="P32" s="196" t="str">
        <f t="shared" ca="1" si="9"/>
        <v/>
      </c>
      <c r="Q32" s="121">
        <f t="shared" ca="1" si="10"/>
        <v>0</v>
      </c>
      <c r="R32" s="196" t="str">
        <f t="shared" ca="1" si="11"/>
        <v/>
      </c>
      <c r="S32" s="196" t="str">
        <f t="shared" ca="1" si="12"/>
        <v/>
      </c>
      <c r="T32" s="121" t="str">
        <f t="shared" ca="1" si="13"/>
        <v/>
      </c>
      <c r="V32" s="117">
        <v>24</v>
      </c>
      <c r="W32" s="121">
        <f t="shared" ca="1" si="14"/>
        <v>0</v>
      </c>
      <c r="X32" s="125">
        <f t="shared" si="22"/>
        <v>1800</v>
      </c>
      <c r="Y32" s="132">
        <f t="shared" ca="1" si="23"/>
        <v>0</v>
      </c>
      <c r="Z32" s="125">
        <f t="shared" ca="1" si="24"/>
        <v>0</v>
      </c>
      <c r="AA32" s="125">
        <f t="shared" si="25"/>
        <v>1737</v>
      </c>
      <c r="AB32" s="132">
        <f t="shared" ca="1" si="26"/>
        <v>0</v>
      </c>
      <c r="AC32" s="142" t="str">
        <f t="shared" ca="1" si="15"/>
        <v/>
      </c>
      <c r="AD32" s="191">
        <f t="shared" si="27"/>
        <v>0.96499999999999997</v>
      </c>
      <c r="AE32" s="191" t="str">
        <f t="shared" ca="1" si="28"/>
        <v/>
      </c>
      <c r="AF32" s="142" t="str">
        <f t="shared" ca="1" si="29"/>
        <v/>
      </c>
      <c r="AG32" s="191">
        <f t="shared" si="30"/>
        <v>0.95499999999999996</v>
      </c>
      <c r="AH32" s="191" t="str">
        <f t="shared" ca="1" si="31"/>
        <v/>
      </c>
    </row>
    <row r="33" spans="2:35" x14ac:dyDescent="0.2">
      <c r="B33" s="117" t="s">
        <v>218</v>
      </c>
      <c r="C33" s="117">
        <v>25</v>
      </c>
      <c r="D33" s="121">
        <f t="shared" ca="1" si="16"/>
        <v>0</v>
      </c>
      <c r="E33" s="121"/>
      <c r="F33" s="121">
        <f t="shared" ca="1" si="17"/>
        <v>0</v>
      </c>
      <c r="G33" s="121">
        <f t="shared" ca="1" si="18"/>
        <v>0</v>
      </c>
      <c r="H33" s="121">
        <f t="shared" ca="1" si="5"/>
        <v>0</v>
      </c>
      <c r="I33" s="121">
        <f t="shared" ca="1" si="19"/>
        <v>0</v>
      </c>
      <c r="J33" s="121"/>
      <c r="K33" s="121">
        <f t="shared" ca="1" si="20"/>
        <v>0</v>
      </c>
      <c r="L33" s="121">
        <f t="shared" ca="1" si="6"/>
        <v>0</v>
      </c>
      <c r="M33" s="219" t="str">
        <f t="shared" ca="1" si="7"/>
        <v/>
      </c>
      <c r="N33" s="219" t="str">
        <f t="shared" ca="1" si="21"/>
        <v/>
      </c>
      <c r="O33" s="121">
        <f t="shared" ca="1" si="8"/>
        <v>0</v>
      </c>
      <c r="P33" s="196" t="str">
        <f t="shared" ca="1" si="9"/>
        <v/>
      </c>
      <c r="Q33" s="121">
        <f t="shared" ca="1" si="10"/>
        <v>0</v>
      </c>
      <c r="R33" s="196" t="str">
        <f t="shared" ca="1" si="11"/>
        <v/>
      </c>
      <c r="S33" s="196" t="str">
        <f t="shared" ca="1" si="12"/>
        <v/>
      </c>
      <c r="T33" s="121" t="str">
        <f t="shared" ca="1" si="13"/>
        <v/>
      </c>
      <c r="V33" s="117">
        <v>25</v>
      </c>
      <c r="W33" s="121">
        <f t="shared" ca="1" si="14"/>
        <v>0</v>
      </c>
      <c r="X33" s="125">
        <f t="shared" si="22"/>
        <v>1800</v>
      </c>
      <c r="Y33" s="132">
        <f t="shared" ca="1" si="23"/>
        <v>0</v>
      </c>
      <c r="Z33" s="125">
        <f t="shared" ca="1" si="24"/>
        <v>0</v>
      </c>
      <c r="AA33" s="125">
        <f t="shared" si="25"/>
        <v>1737</v>
      </c>
      <c r="AB33" s="132">
        <f t="shared" ca="1" si="26"/>
        <v>0</v>
      </c>
      <c r="AC33" s="142" t="str">
        <f t="shared" ca="1" si="15"/>
        <v/>
      </c>
      <c r="AD33" s="191">
        <f t="shared" si="27"/>
        <v>0.96499999999999997</v>
      </c>
      <c r="AE33" s="191" t="str">
        <f t="shared" ca="1" si="28"/>
        <v/>
      </c>
      <c r="AF33" s="142" t="str">
        <f t="shared" ca="1" si="29"/>
        <v/>
      </c>
      <c r="AG33" s="191">
        <f t="shared" si="30"/>
        <v>0.95499999999999996</v>
      </c>
      <c r="AH33" s="191" t="str">
        <f t="shared" ca="1" si="31"/>
        <v/>
      </c>
    </row>
    <row r="34" spans="2:35" x14ac:dyDescent="0.2">
      <c r="B34" s="117" t="s">
        <v>218</v>
      </c>
      <c r="C34" s="117">
        <v>26</v>
      </c>
      <c r="D34" s="121">
        <f t="shared" ca="1" si="16"/>
        <v>0</v>
      </c>
      <c r="E34" s="121"/>
      <c r="F34" s="121">
        <f t="shared" ca="1" si="17"/>
        <v>0</v>
      </c>
      <c r="G34" s="121">
        <f t="shared" ca="1" si="18"/>
        <v>0</v>
      </c>
      <c r="H34" s="121">
        <f t="shared" ca="1" si="5"/>
        <v>0</v>
      </c>
      <c r="I34" s="121">
        <f t="shared" ca="1" si="19"/>
        <v>0</v>
      </c>
      <c r="J34" s="121"/>
      <c r="K34" s="121">
        <f t="shared" ca="1" si="20"/>
        <v>0</v>
      </c>
      <c r="L34" s="121">
        <f t="shared" ca="1" si="6"/>
        <v>0</v>
      </c>
      <c r="M34" s="219" t="str">
        <f t="shared" ca="1" si="7"/>
        <v/>
      </c>
      <c r="N34" s="219" t="str">
        <f t="shared" ca="1" si="21"/>
        <v/>
      </c>
      <c r="O34" s="121">
        <f t="shared" ca="1" si="8"/>
        <v>0</v>
      </c>
      <c r="P34" s="196" t="str">
        <f t="shared" ca="1" si="9"/>
        <v/>
      </c>
      <c r="Q34" s="121">
        <f t="shared" ca="1" si="10"/>
        <v>0</v>
      </c>
      <c r="R34" s="196" t="str">
        <f t="shared" ca="1" si="11"/>
        <v/>
      </c>
      <c r="S34" s="196" t="str">
        <f t="shared" ca="1" si="12"/>
        <v/>
      </c>
      <c r="T34" s="121" t="str">
        <f t="shared" ca="1" si="13"/>
        <v/>
      </c>
      <c r="V34" s="117">
        <v>26</v>
      </c>
      <c r="W34" s="121">
        <f t="shared" ca="1" si="14"/>
        <v>0</v>
      </c>
      <c r="X34" s="125">
        <f t="shared" si="22"/>
        <v>1800</v>
      </c>
      <c r="Y34" s="132">
        <f t="shared" ca="1" si="23"/>
        <v>0</v>
      </c>
      <c r="Z34" s="125">
        <f t="shared" ca="1" si="24"/>
        <v>0</v>
      </c>
      <c r="AA34" s="125">
        <f t="shared" si="25"/>
        <v>1737</v>
      </c>
      <c r="AB34" s="132">
        <f t="shared" ca="1" si="26"/>
        <v>0</v>
      </c>
      <c r="AC34" s="142" t="str">
        <f t="shared" ca="1" si="15"/>
        <v/>
      </c>
      <c r="AD34" s="191">
        <f t="shared" si="27"/>
        <v>0.96499999999999997</v>
      </c>
      <c r="AE34" s="191" t="str">
        <f t="shared" ca="1" si="28"/>
        <v/>
      </c>
      <c r="AF34" s="142" t="str">
        <f t="shared" ca="1" si="29"/>
        <v/>
      </c>
      <c r="AG34" s="191">
        <f t="shared" si="30"/>
        <v>0.95499999999999996</v>
      </c>
      <c r="AH34" s="191" t="str">
        <f t="shared" ca="1" si="31"/>
        <v/>
      </c>
    </row>
    <row r="35" spans="2:35" x14ac:dyDescent="0.2">
      <c r="B35" s="117" t="s">
        <v>218</v>
      </c>
      <c r="C35" s="117">
        <v>27</v>
      </c>
      <c r="D35" s="121">
        <f t="shared" ca="1" si="16"/>
        <v>0</v>
      </c>
      <c r="E35" s="121"/>
      <c r="F35" s="121">
        <f t="shared" ca="1" si="17"/>
        <v>0</v>
      </c>
      <c r="G35" s="121">
        <f t="shared" ca="1" si="18"/>
        <v>0</v>
      </c>
      <c r="H35" s="121">
        <f t="shared" ca="1" si="5"/>
        <v>0</v>
      </c>
      <c r="I35" s="121">
        <f t="shared" ca="1" si="19"/>
        <v>0</v>
      </c>
      <c r="J35" s="121"/>
      <c r="K35" s="121">
        <f t="shared" ca="1" si="20"/>
        <v>0</v>
      </c>
      <c r="L35" s="121">
        <f t="shared" ca="1" si="6"/>
        <v>0</v>
      </c>
      <c r="M35" s="219" t="str">
        <f t="shared" ca="1" si="7"/>
        <v/>
      </c>
      <c r="N35" s="219" t="str">
        <f t="shared" ca="1" si="21"/>
        <v/>
      </c>
      <c r="O35" s="121">
        <f t="shared" ca="1" si="8"/>
        <v>0</v>
      </c>
      <c r="P35" s="196" t="str">
        <f t="shared" ca="1" si="9"/>
        <v/>
      </c>
      <c r="Q35" s="121">
        <f t="shared" ca="1" si="10"/>
        <v>0</v>
      </c>
      <c r="R35" s="196" t="str">
        <f t="shared" ca="1" si="11"/>
        <v/>
      </c>
      <c r="S35" s="196" t="str">
        <f t="shared" ca="1" si="12"/>
        <v/>
      </c>
      <c r="T35" s="121" t="str">
        <f t="shared" ca="1" si="13"/>
        <v/>
      </c>
      <c r="V35" s="117">
        <v>27</v>
      </c>
      <c r="W35" s="121">
        <f t="shared" ca="1" si="14"/>
        <v>0</v>
      </c>
      <c r="X35" s="125">
        <f t="shared" si="22"/>
        <v>1800</v>
      </c>
      <c r="Y35" s="132">
        <f t="shared" ca="1" si="23"/>
        <v>0</v>
      </c>
      <c r="Z35" s="125">
        <f t="shared" ca="1" si="24"/>
        <v>0</v>
      </c>
      <c r="AA35" s="125">
        <f t="shared" si="25"/>
        <v>1737</v>
      </c>
      <c r="AB35" s="132">
        <f t="shared" ca="1" si="26"/>
        <v>0</v>
      </c>
      <c r="AC35" s="142" t="str">
        <f t="shared" ca="1" si="15"/>
        <v/>
      </c>
      <c r="AD35" s="191">
        <f t="shared" si="27"/>
        <v>0.96499999999999997</v>
      </c>
      <c r="AE35" s="191" t="str">
        <f t="shared" ca="1" si="28"/>
        <v/>
      </c>
      <c r="AF35" s="142" t="str">
        <f t="shared" ca="1" si="29"/>
        <v/>
      </c>
      <c r="AG35" s="191">
        <f t="shared" si="30"/>
        <v>0.95499999999999996</v>
      </c>
      <c r="AH35" s="191" t="str">
        <f t="shared" ca="1" si="31"/>
        <v/>
      </c>
    </row>
    <row r="36" spans="2:35" x14ac:dyDescent="0.2">
      <c r="B36" s="117" t="s">
        <v>218</v>
      </c>
      <c r="C36" s="117">
        <v>28</v>
      </c>
      <c r="D36" s="121">
        <f t="shared" ca="1" si="16"/>
        <v>0</v>
      </c>
      <c r="E36" s="121"/>
      <c r="F36" s="121">
        <f t="shared" ca="1" si="17"/>
        <v>0</v>
      </c>
      <c r="G36" s="121">
        <f t="shared" ca="1" si="18"/>
        <v>0</v>
      </c>
      <c r="H36" s="121">
        <f t="shared" ca="1" si="5"/>
        <v>0</v>
      </c>
      <c r="I36" s="121">
        <f t="shared" ca="1" si="19"/>
        <v>0</v>
      </c>
      <c r="J36" s="121"/>
      <c r="K36" s="121">
        <f t="shared" ca="1" si="20"/>
        <v>0</v>
      </c>
      <c r="L36" s="121">
        <f t="shared" ca="1" si="6"/>
        <v>0</v>
      </c>
      <c r="M36" s="219" t="str">
        <f t="shared" ca="1" si="7"/>
        <v/>
      </c>
      <c r="N36" s="219" t="str">
        <f t="shared" ca="1" si="21"/>
        <v/>
      </c>
      <c r="O36" s="121">
        <f t="shared" ca="1" si="8"/>
        <v>0</v>
      </c>
      <c r="P36" s="196" t="str">
        <f t="shared" ca="1" si="9"/>
        <v/>
      </c>
      <c r="Q36" s="121">
        <f t="shared" ca="1" si="10"/>
        <v>0</v>
      </c>
      <c r="R36" s="196" t="str">
        <f t="shared" ca="1" si="11"/>
        <v/>
      </c>
      <c r="S36" s="196" t="str">
        <f t="shared" ca="1" si="12"/>
        <v/>
      </c>
      <c r="T36" s="121" t="str">
        <f t="shared" ca="1" si="13"/>
        <v/>
      </c>
      <c r="V36" s="117">
        <v>28</v>
      </c>
      <c r="W36" s="121">
        <f t="shared" ca="1" si="14"/>
        <v>0</v>
      </c>
      <c r="X36" s="125">
        <f t="shared" si="22"/>
        <v>1800</v>
      </c>
      <c r="Y36" s="132">
        <f t="shared" ca="1" si="23"/>
        <v>0</v>
      </c>
      <c r="Z36" s="125">
        <f t="shared" ca="1" si="24"/>
        <v>0</v>
      </c>
      <c r="AA36" s="125">
        <f t="shared" si="25"/>
        <v>1737</v>
      </c>
      <c r="AB36" s="132">
        <f t="shared" ca="1" si="26"/>
        <v>0</v>
      </c>
      <c r="AC36" s="142" t="str">
        <f t="shared" ca="1" si="15"/>
        <v/>
      </c>
      <c r="AD36" s="191">
        <f t="shared" si="27"/>
        <v>0.96499999999999997</v>
      </c>
      <c r="AE36" s="191" t="str">
        <f t="shared" ca="1" si="28"/>
        <v/>
      </c>
      <c r="AF36" s="142" t="str">
        <f t="shared" ca="1" si="29"/>
        <v/>
      </c>
      <c r="AG36" s="191">
        <f t="shared" si="30"/>
        <v>0.95499999999999996</v>
      </c>
      <c r="AH36" s="191" t="str">
        <f t="shared" ca="1" si="31"/>
        <v/>
      </c>
    </row>
    <row r="37" spans="2:35" x14ac:dyDescent="0.2">
      <c r="B37" s="117" t="s">
        <v>218</v>
      </c>
      <c r="C37" s="117">
        <v>29</v>
      </c>
      <c r="D37" s="121">
        <f t="shared" ca="1" si="16"/>
        <v>0</v>
      </c>
      <c r="E37" s="121"/>
      <c r="F37" s="121">
        <f t="shared" ca="1" si="17"/>
        <v>0</v>
      </c>
      <c r="G37" s="121">
        <f t="shared" ca="1" si="18"/>
        <v>0</v>
      </c>
      <c r="H37" s="121">
        <f t="shared" ca="1" si="32"/>
        <v>0</v>
      </c>
      <c r="I37" s="121">
        <f t="shared" ca="1" si="19"/>
        <v>0</v>
      </c>
      <c r="J37" s="121"/>
      <c r="K37" s="121">
        <f t="shared" ca="1" si="20"/>
        <v>0</v>
      </c>
      <c r="L37" s="121">
        <f t="shared" ca="1" si="6"/>
        <v>0</v>
      </c>
      <c r="M37" s="219" t="str">
        <f t="shared" ca="1" si="7"/>
        <v/>
      </c>
      <c r="N37" s="219" t="str">
        <f t="shared" ca="1" si="21"/>
        <v/>
      </c>
      <c r="O37" s="121">
        <f t="shared" ca="1" si="8"/>
        <v>0</v>
      </c>
      <c r="P37" s="196" t="str">
        <f t="shared" ca="1" si="9"/>
        <v/>
      </c>
      <c r="Q37" s="121">
        <f t="shared" ca="1" si="10"/>
        <v>0</v>
      </c>
      <c r="R37" s="196" t="str">
        <f t="shared" ca="1" si="11"/>
        <v/>
      </c>
      <c r="S37" s="196" t="str">
        <f t="shared" ca="1" si="12"/>
        <v/>
      </c>
      <c r="T37" s="121" t="str">
        <f t="shared" ca="1" si="13"/>
        <v/>
      </c>
      <c r="V37" s="117">
        <v>29</v>
      </c>
      <c r="W37" s="121">
        <f t="shared" ca="1" si="14"/>
        <v>0</v>
      </c>
      <c r="X37" s="125">
        <f t="shared" si="22"/>
        <v>1800</v>
      </c>
      <c r="Y37" s="132">
        <f t="shared" ca="1" si="23"/>
        <v>0</v>
      </c>
      <c r="Z37" s="125">
        <f t="shared" ca="1" si="24"/>
        <v>0</v>
      </c>
      <c r="AA37" s="125">
        <f t="shared" si="25"/>
        <v>1737</v>
      </c>
      <c r="AB37" s="132">
        <f t="shared" ca="1" si="26"/>
        <v>0</v>
      </c>
      <c r="AC37" s="142" t="str">
        <f t="shared" ca="1" si="15"/>
        <v/>
      </c>
      <c r="AD37" s="191">
        <f t="shared" si="27"/>
        <v>0.96499999999999997</v>
      </c>
      <c r="AE37" s="191" t="str">
        <f t="shared" ca="1" si="28"/>
        <v/>
      </c>
      <c r="AF37" s="142" t="str">
        <f t="shared" ca="1" si="29"/>
        <v/>
      </c>
      <c r="AG37" s="191">
        <f t="shared" si="30"/>
        <v>0.95499999999999996</v>
      </c>
      <c r="AH37" s="191" t="str">
        <f t="shared" ca="1" si="31"/>
        <v/>
      </c>
    </row>
    <row r="38" spans="2:35" x14ac:dyDescent="0.2">
      <c r="B38" s="117" t="s">
        <v>219</v>
      </c>
      <c r="C38" s="117">
        <v>30</v>
      </c>
      <c r="D38" s="121">
        <f t="shared" ca="1" si="16"/>
        <v>0</v>
      </c>
      <c r="E38" s="121"/>
      <c r="F38" s="121">
        <f t="shared" ca="1" si="17"/>
        <v>0</v>
      </c>
      <c r="G38" s="121">
        <f t="shared" ca="1" si="18"/>
        <v>0</v>
      </c>
      <c r="H38" s="121">
        <f t="shared" ca="1" si="32"/>
        <v>0</v>
      </c>
      <c r="I38" s="121">
        <f t="shared" ca="1" si="19"/>
        <v>0</v>
      </c>
      <c r="J38" s="121"/>
      <c r="K38" s="121">
        <f t="shared" ca="1" si="20"/>
        <v>0</v>
      </c>
      <c r="L38" s="121">
        <f t="shared" ca="1" si="6"/>
        <v>0</v>
      </c>
      <c r="M38" s="219" t="str">
        <f t="shared" ca="1" si="7"/>
        <v/>
      </c>
      <c r="N38" s="219" t="str">
        <f t="shared" ca="1" si="21"/>
        <v/>
      </c>
      <c r="O38" s="121">
        <f t="shared" ca="1" si="8"/>
        <v>0</v>
      </c>
      <c r="P38" s="196" t="str">
        <f t="shared" ca="1" si="9"/>
        <v/>
      </c>
      <c r="Q38" s="121">
        <f t="shared" ca="1" si="10"/>
        <v>0</v>
      </c>
      <c r="R38" s="196" t="str">
        <f t="shared" ca="1" si="11"/>
        <v/>
      </c>
      <c r="S38" s="196" t="str">
        <f t="shared" ca="1" si="12"/>
        <v/>
      </c>
      <c r="T38" s="121" t="str">
        <f t="shared" ca="1" si="13"/>
        <v/>
      </c>
      <c r="V38" s="117">
        <v>30</v>
      </c>
      <c r="W38" s="121">
        <f t="shared" ca="1" si="14"/>
        <v>0</v>
      </c>
      <c r="X38" s="125">
        <f t="shared" si="22"/>
        <v>1800</v>
      </c>
      <c r="Y38" s="132">
        <f t="shared" ca="1" si="23"/>
        <v>0</v>
      </c>
      <c r="Z38" s="125">
        <f t="shared" ca="1" si="24"/>
        <v>0</v>
      </c>
      <c r="AA38" s="125">
        <f t="shared" si="25"/>
        <v>1737</v>
      </c>
      <c r="AB38" s="132">
        <f t="shared" ca="1" si="26"/>
        <v>0</v>
      </c>
      <c r="AC38" s="142" t="str">
        <f t="shared" ca="1" si="15"/>
        <v/>
      </c>
      <c r="AD38" s="191">
        <f t="shared" si="27"/>
        <v>0.96499999999999997</v>
      </c>
      <c r="AE38" s="191" t="str">
        <f t="shared" ca="1" si="28"/>
        <v/>
      </c>
      <c r="AF38" s="142" t="str">
        <f t="shared" ca="1" si="29"/>
        <v/>
      </c>
      <c r="AG38" s="191">
        <f t="shared" si="30"/>
        <v>0.95499999999999996</v>
      </c>
      <c r="AH38" s="191" t="str">
        <f t="shared" ca="1" si="31"/>
        <v/>
      </c>
    </row>
    <row r="39" spans="2:35" x14ac:dyDescent="0.2">
      <c r="B39" s="117" t="s">
        <v>219</v>
      </c>
      <c r="C39" s="117">
        <v>31</v>
      </c>
      <c r="D39" s="121">
        <f t="shared" ca="1" si="16"/>
        <v>0</v>
      </c>
      <c r="E39" s="121"/>
      <c r="F39" s="121">
        <f t="shared" ca="1" si="17"/>
        <v>0</v>
      </c>
      <c r="G39" s="121">
        <f t="shared" ca="1" si="18"/>
        <v>0</v>
      </c>
      <c r="H39" s="121">
        <f t="shared" ca="1" si="32"/>
        <v>0</v>
      </c>
      <c r="I39" s="121">
        <f t="shared" ca="1" si="19"/>
        <v>0</v>
      </c>
      <c r="J39" s="121"/>
      <c r="K39" s="121"/>
      <c r="L39" s="121">
        <f t="shared" ca="1" si="6"/>
        <v>0</v>
      </c>
      <c r="M39" s="219" t="str">
        <f t="shared" ca="1" si="7"/>
        <v/>
      </c>
      <c r="N39" s="219" t="str">
        <f t="shared" ca="1" si="21"/>
        <v/>
      </c>
      <c r="O39" s="121">
        <f t="shared" ca="1" si="8"/>
        <v>0</v>
      </c>
      <c r="P39" s="196" t="str">
        <f t="shared" ca="1" si="9"/>
        <v/>
      </c>
      <c r="Q39" s="121">
        <f t="shared" ca="1" si="10"/>
        <v>0</v>
      </c>
      <c r="R39" s="196" t="str">
        <f t="shared" ca="1" si="11"/>
        <v/>
      </c>
      <c r="S39" s="196" t="str">
        <f t="shared" ca="1" si="12"/>
        <v/>
      </c>
      <c r="T39" s="121" t="str">
        <f t="shared" ca="1" si="13"/>
        <v/>
      </c>
      <c r="V39" s="117">
        <v>31</v>
      </c>
      <c r="W39" s="121">
        <f t="shared" ca="1" si="14"/>
        <v>0</v>
      </c>
      <c r="X39" s="125">
        <f t="shared" si="22"/>
        <v>1800</v>
      </c>
      <c r="Y39" s="132">
        <f t="shared" ca="1" si="23"/>
        <v>0</v>
      </c>
      <c r="Z39" s="125">
        <f t="shared" ca="1" si="24"/>
        <v>0</v>
      </c>
      <c r="AA39" s="125">
        <f t="shared" si="25"/>
        <v>1737</v>
      </c>
      <c r="AB39" s="132">
        <f t="shared" ca="1" si="26"/>
        <v>0</v>
      </c>
      <c r="AC39" s="142" t="str">
        <f t="shared" ca="1" si="15"/>
        <v/>
      </c>
      <c r="AD39" s="191">
        <f t="shared" si="27"/>
        <v>0.96499999999999997</v>
      </c>
      <c r="AE39" s="191" t="str">
        <f t="shared" ca="1" si="28"/>
        <v/>
      </c>
      <c r="AF39" s="142" t="str">
        <f t="shared" ca="1" si="29"/>
        <v/>
      </c>
      <c r="AG39" s="191">
        <f t="shared" si="30"/>
        <v>0.95499999999999996</v>
      </c>
      <c r="AH39" s="191" t="str">
        <f t="shared" ca="1" si="31"/>
        <v/>
      </c>
    </row>
    <row r="40" spans="2:35" x14ac:dyDescent="0.2">
      <c r="B40" s="245"/>
      <c r="C40" s="245"/>
      <c r="D40" s="119"/>
      <c r="E40" s="119"/>
    </row>
    <row r="42" spans="2:35" ht="18" x14ac:dyDescent="0.2">
      <c r="B42" s="152" t="s">
        <v>220</v>
      </c>
      <c r="C42" s="119"/>
      <c r="D42" s="119"/>
    </row>
    <row r="43" spans="2:35" x14ac:dyDescent="0.2">
      <c r="B43" s="245"/>
      <c r="C43" s="119"/>
      <c r="D43" s="119"/>
    </row>
    <row r="44" spans="2:35" x14ac:dyDescent="0.2">
      <c r="B44" s="245"/>
      <c r="C44" s="119"/>
      <c r="D44" s="119"/>
    </row>
    <row r="45" spans="2:35" s="4" customFormat="1" ht="38.25" x14ac:dyDescent="0.2">
      <c r="B45" s="143" t="s">
        <v>189</v>
      </c>
      <c r="C45" s="151" t="s">
        <v>221</v>
      </c>
      <c r="D45" s="144" t="s">
        <v>222</v>
      </c>
      <c r="E45" s="144" t="s">
        <v>223</v>
      </c>
      <c r="F45" s="144" t="s">
        <v>224</v>
      </c>
      <c r="G45" s="144" t="s">
        <v>225</v>
      </c>
      <c r="H45" s="144" t="s">
        <v>226</v>
      </c>
      <c r="I45" s="144" t="s">
        <v>227</v>
      </c>
      <c r="J45" s="144" t="s">
        <v>228</v>
      </c>
      <c r="K45" s="144" t="s">
        <v>229</v>
      </c>
      <c r="L45" s="144" t="s">
        <v>213</v>
      </c>
      <c r="M45" s="144" t="s">
        <v>230</v>
      </c>
      <c r="N45" s="144" t="s">
        <v>212</v>
      </c>
      <c r="O45" s="144" t="s">
        <v>231</v>
      </c>
      <c r="P45" s="144" t="s">
        <v>232</v>
      </c>
      <c r="Q45" s="245"/>
      <c r="R45" s="245"/>
      <c r="S45" s="130"/>
      <c r="T45" s="130"/>
      <c r="U45" s="245"/>
      <c r="V45" s="122" t="s">
        <v>189</v>
      </c>
      <c r="W45" s="122" t="s">
        <v>208</v>
      </c>
      <c r="X45" s="122" t="s">
        <v>209</v>
      </c>
      <c r="Y45" s="126" t="s">
        <v>210</v>
      </c>
      <c r="Z45" s="122" t="s">
        <v>211</v>
      </c>
      <c r="AA45" s="122" t="s">
        <v>209</v>
      </c>
      <c r="AB45" s="126" t="s">
        <v>210</v>
      </c>
      <c r="AC45" s="122" t="s">
        <v>212</v>
      </c>
      <c r="AD45" s="122" t="s">
        <v>209</v>
      </c>
      <c r="AE45" s="126" t="s">
        <v>210</v>
      </c>
      <c r="AF45" s="122" t="s">
        <v>213</v>
      </c>
      <c r="AG45" s="122" t="s">
        <v>209</v>
      </c>
      <c r="AH45" s="126" t="s">
        <v>210</v>
      </c>
      <c r="AI45" s="183"/>
    </row>
    <row r="46" spans="2:35" x14ac:dyDescent="0.2">
      <c r="B46" s="228" t="s">
        <v>215</v>
      </c>
      <c r="C46" s="230">
        <v>3</v>
      </c>
      <c r="D46" s="177">
        <f>SUMIFS($E$9:$E$39,$B$9:$B$39,B46)</f>
        <v>0</v>
      </c>
      <c r="E46" s="177">
        <f ca="1">SUMIFS($D$9:$D$39,$B$9:$B$39,B46)</f>
        <v>11244.1</v>
      </c>
      <c r="F46" s="178">
        <f>C46*$X$5</f>
        <v>5400</v>
      </c>
      <c r="G46" s="177">
        <f ca="1">SUMIFS($G$9:$G$39,$B$9:$B$39,B46)</f>
        <v>10336.665000000001</v>
      </c>
      <c r="H46" s="177">
        <f ca="1">SUMIFS($H$9:$H$39,$B$9:$B$39,B46)</f>
        <v>1322.49</v>
      </c>
      <c r="I46" s="177">
        <f ca="1">SUMIFS($I$9:$I$39,$B$9:$B$39,B46)</f>
        <v>900</v>
      </c>
      <c r="J46" s="177">
        <f ca="1">SUMIFS($L$9:$L$39,$B$9:$B$39,B46)</f>
        <v>0</v>
      </c>
      <c r="K46" s="121">
        <f>SUMIFS($J$9:$J$39,$B$9:$B$39,B46)</f>
        <v>0</v>
      </c>
      <c r="L46" s="191">
        <f ca="1">IF(ISERROR(SUM(G9:G11)/E46),"",(SUM(G9:G11)/E46))</f>
        <v>0.4239432235572434</v>
      </c>
      <c r="M46" s="226">
        <f ca="1">IF(ISERROR(K11-K9),"",(K11-K9))</f>
        <v>544</v>
      </c>
      <c r="N46" s="191">
        <f ca="1">IF(ISERROR((M46+G46+J46)/(E46)),"",((M46+G46+J46)/(E46)))</f>
        <v>0.96767771542408909</v>
      </c>
      <c r="O46" s="191">
        <f ca="1">IF(ISERROR((G46+M46-K46)/(E46)),"",((G46+M46-K46)/(E46)))</f>
        <v>0.96767771542408909</v>
      </c>
      <c r="P46" s="191">
        <f ca="1">IF(ISERROR(N46-O46),"",(N46-O46))</f>
        <v>0</v>
      </c>
      <c r="S46" s="119"/>
      <c r="T46" s="119"/>
      <c r="V46" s="117" t="str">
        <f>B46</f>
        <v>WK 49</v>
      </c>
      <c r="W46" s="125">
        <f t="shared" ref="W46:X50" ca="1" si="33">E46</f>
        <v>11244.1</v>
      </c>
      <c r="X46" s="125">
        <f t="shared" si="33"/>
        <v>5400</v>
      </c>
      <c r="Y46" s="132" t="str">
        <f t="shared" ref="Y46:Y50" ca="1" si="34">IF(W46&lt;X46,W46,"")</f>
        <v/>
      </c>
      <c r="Z46" s="125">
        <f ca="1">G46</f>
        <v>10336.665000000001</v>
      </c>
      <c r="AA46" s="132">
        <f>X46*0.965</f>
        <v>5211</v>
      </c>
      <c r="AB46" s="132" t="str">
        <f ca="1">IF(Z46&lt;AA46,Z46,"")</f>
        <v/>
      </c>
      <c r="AC46" s="190">
        <f ca="1">N46</f>
        <v>0.96767771542408909</v>
      </c>
      <c r="AD46" s="142">
        <v>0.96499999999999997</v>
      </c>
      <c r="AE46" s="191" t="str">
        <f ca="1">IF(AC46&lt;AD46,AC46,"")</f>
        <v/>
      </c>
      <c r="AF46" s="191">
        <f ca="1">L46</f>
        <v>0.4239432235572434</v>
      </c>
      <c r="AG46" s="142">
        <v>0.96499999999999997</v>
      </c>
      <c r="AH46" s="191">
        <f ca="1">IF(AF46&lt;AG46,AF46,"")</f>
        <v>0.4239432235572434</v>
      </c>
      <c r="AI46" s="184"/>
    </row>
    <row r="47" spans="2:35" x14ac:dyDescent="0.2">
      <c r="B47" s="228" t="s">
        <v>216</v>
      </c>
      <c r="C47" s="230">
        <v>7</v>
      </c>
      <c r="D47" s="177">
        <f>SUMIFS($E$9:$E$39,$B$9:$B$39,B47)</f>
        <v>0</v>
      </c>
      <c r="E47" s="177">
        <f ca="1">SUMIFS($D$9:$D$39,$B$9:$B$39,B47)</f>
        <v>8493.2800000000007</v>
      </c>
      <c r="F47" s="181">
        <f>C47*$X$5</f>
        <v>12600</v>
      </c>
      <c r="G47" s="177">
        <f ca="1">SUMIFS($G$9:$G$39,$B$9:$B$39,B47)</f>
        <v>8251.9000000000015</v>
      </c>
      <c r="H47" s="177">
        <f ca="1">SUMIFS($H$9:$H$39,$B$9:$B$39,B47)</f>
        <v>1279.6199999999999</v>
      </c>
      <c r="I47" s="177">
        <f ca="1">SUMIFS($I$9:$I$39,$B$9:$B$39,B47)</f>
        <v>615</v>
      </c>
      <c r="J47" s="177">
        <f ca="1">SUMIFS($L$9:$L$39,$B$9:$B$39,B47)</f>
        <v>0</v>
      </c>
      <c r="K47" s="121">
        <f>SUMIFS($J$9:$J$39,$B$9:$B$39,B47)</f>
        <v>346</v>
      </c>
      <c r="L47" s="191">
        <f ca="1">IF(ISERROR(SUM(G12:G18)/E47),"",(SUM(G12:G18)/E47))</f>
        <v>1.2210824322287739</v>
      </c>
      <c r="M47" s="226">
        <f t="shared" ref="M47:M50" ca="1" si="35">IF(ISERROR(K12-K10),"",(K12-K10))</f>
        <v>269.3</v>
      </c>
      <c r="N47" s="191">
        <f ca="1">IF(ISERROR((M47+G47+J47)/(E47)),"",((M47+G47+J47)/(E47)))</f>
        <v>1.0032873047868434</v>
      </c>
      <c r="O47" s="191">
        <f ca="1">IF(ISERROR((G47+M47-K47)/(E47)),"",((G47+M47-K47)/(E47)))</f>
        <v>0.96254921537968841</v>
      </c>
      <c r="P47" s="191">
        <f t="shared" ref="P47:P50" ca="1" si="36">IF(ISERROR(N47-O47),"",(N47-O47))</f>
        <v>4.0738089407154954E-2</v>
      </c>
      <c r="V47" s="117" t="str">
        <f>B47</f>
        <v>WK 50</v>
      </c>
      <c r="W47" s="125">
        <f t="shared" ca="1" si="33"/>
        <v>8493.2800000000007</v>
      </c>
      <c r="X47" s="125">
        <f t="shared" si="33"/>
        <v>12600</v>
      </c>
      <c r="Y47" s="132">
        <f t="shared" ca="1" si="34"/>
        <v>8493.2800000000007</v>
      </c>
      <c r="Z47" s="125">
        <f ca="1">G47</f>
        <v>8251.9000000000015</v>
      </c>
      <c r="AA47" s="132">
        <f t="shared" ref="AA47:AA50" si="37">X47*0.965</f>
        <v>12159</v>
      </c>
      <c r="AB47" s="132">
        <f t="shared" ref="AB47:AB50" ca="1" si="38">IF(Z47&lt;AA47,Z47,"")</f>
        <v>8251.9000000000015</v>
      </c>
      <c r="AC47" s="190">
        <f ca="1">N47</f>
        <v>1.0032873047868434</v>
      </c>
      <c r="AD47" s="142">
        <v>0.96499999999999997</v>
      </c>
      <c r="AE47" s="191" t="str">
        <f t="shared" ref="AE47:AE50" ca="1" si="39">IF(AC47&lt;AD47,AC47,"")</f>
        <v/>
      </c>
      <c r="AF47" s="191">
        <f ca="1">L47</f>
        <v>1.2210824322287739</v>
      </c>
      <c r="AG47" s="142">
        <v>0.96499999999999997</v>
      </c>
      <c r="AH47" s="191" t="str">
        <f t="shared" ref="AH47:AH50" ca="1" si="40">IF(AF47&lt;AG47,AF47,"")</f>
        <v/>
      </c>
      <c r="AI47" s="184"/>
    </row>
    <row r="48" spans="2:35" x14ac:dyDescent="0.2">
      <c r="B48" s="228" t="s">
        <v>217</v>
      </c>
      <c r="C48" s="230">
        <v>7</v>
      </c>
      <c r="D48" s="177">
        <f>SUMIFS($E$9:$E$39,$B$9:$B$39,B48)</f>
        <v>0</v>
      </c>
      <c r="E48" s="177">
        <f ca="1">SUMIFS($D$9:$D$39,$B$9:$B$39,B48)</f>
        <v>0</v>
      </c>
      <c r="F48" s="181">
        <f>C48*$X$5</f>
        <v>12600</v>
      </c>
      <c r="G48" s="177">
        <f ca="1">SUMIFS($G$9:$G$39,$B$9:$B$39,B48)</f>
        <v>0</v>
      </c>
      <c r="H48" s="177">
        <f ca="1">SUMIFS($H$9:$H$39,$B$9:$B$39,B48)</f>
        <v>0</v>
      </c>
      <c r="I48" s="177">
        <f ca="1">SUMIFS($I$9:$I$39,$B$9:$B$39,B48)</f>
        <v>0</v>
      </c>
      <c r="J48" s="177">
        <f ca="1">SUMIFS($L$9:$L$39,$B$9:$B$39,B48)</f>
        <v>0</v>
      </c>
      <c r="K48" s="121">
        <f>SUMIFS($J$9:$J$39,$B$9:$B$39,B48)</f>
        <v>0</v>
      </c>
      <c r="L48" s="191" t="str">
        <f ca="1">IF(ISERROR(SUM(G19:G25)/E48),"",(SUM(G19:G25)/E48))</f>
        <v/>
      </c>
      <c r="M48" s="226">
        <f t="shared" ca="1" si="35"/>
        <v>-37.5</v>
      </c>
      <c r="N48" s="191" t="str">
        <f ca="1">IF(ISERROR((M48+G48+J48)/(E48)),"",((M48+G48+J48)/(E48)))</f>
        <v/>
      </c>
      <c r="O48" s="191" t="str">
        <f ca="1">IF(ISERROR((G48+M48-K48)/(E48)),"",((G48+M48-K48)/(E48)))</f>
        <v/>
      </c>
      <c r="P48" s="191" t="str">
        <f t="shared" ca="1" si="36"/>
        <v/>
      </c>
      <c r="V48" s="117" t="str">
        <f>B48</f>
        <v>WK 51</v>
      </c>
      <c r="W48" s="125">
        <f t="shared" ca="1" si="33"/>
        <v>0</v>
      </c>
      <c r="X48" s="125">
        <f t="shared" si="33"/>
        <v>12600</v>
      </c>
      <c r="Y48" s="132">
        <f ca="1">IF(W48&lt;X48,W48,"")</f>
        <v>0</v>
      </c>
      <c r="Z48" s="125">
        <f ca="1">G48</f>
        <v>0</v>
      </c>
      <c r="AA48" s="132">
        <f t="shared" si="37"/>
        <v>12159</v>
      </c>
      <c r="AB48" s="132">
        <f t="shared" ca="1" si="38"/>
        <v>0</v>
      </c>
      <c r="AC48" s="190" t="str">
        <f ca="1">N48</f>
        <v/>
      </c>
      <c r="AD48" s="142">
        <v>0.96499999999999997</v>
      </c>
      <c r="AE48" s="191" t="str">
        <f t="shared" ca="1" si="39"/>
        <v/>
      </c>
      <c r="AF48" s="191" t="str">
        <f ca="1">L48</f>
        <v/>
      </c>
      <c r="AG48" s="142">
        <v>0.96499999999999997</v>
      </c>
      <c r="AH48" s="191" t="str">
        <f t="shared" ca="1" si="40"/>
        <v/>
      </c>
      <c r="AI48" s="184"/>
    </row>
    <row r="49" spans="2:35" x14ac:dyDescent="0.2">
      <c r="B49" s="228" t="s">
        <v>218</v>
      </c>
      <c r="C49" s="230">
        <v>7</v>
      </c>
      <c r="D49" s="177">
        <f>SUMIFS($E$9:$E$39,$B$9:$B$39,B49)</f>
        <v>0</v>
      </c>
      <c r="E49" s="177">
        <f ca="1">SUMIFS($D$9:$D$39,$B$9:$B$39,B49)</f>
        <v>0</v>
      </c>
      <c r="F49" s="181">
        <f>C49*$X$5</f>
        <v>12600</v>
      </c>
      <c r="G49" s="177">
        <f ca="1">SUMIFS($G$9:$G$39,$B$9:$B$39,B49)</f>
        <v>0</v>
      </c>
      <c r="H49" s="177">
        <f ca="1">SUMIFS($H$9:$H$39,$B$9:$B$39,B49)</f>
        <v>0</v>
      </c>
      <c r="I49" s="177">
        <f ca="1">SUMIFS($I$9:$I$39,$B$9:$B$39,B49)</f>
        <v>0</v>
      </c>
      <c r="J49" s="177">
        <f ca="1">SUMIFS($L$9:$L$39,$B$9:$B$39,B49)</f>
        <v>0</v>
      </c>
      <c r="K49" s="121">
        <f>SUMIFS($J$9:$J$39,$B$9:$B$39,B49)</f>
        <v>0</v>
      </c>
      <c r="L49" s="191" t="str">
        <f ca="1">IF(ISERROR(SUM(G26:G32)/E49),"",(SUM(G26:G32)/E49))</f>
        <v/>
      </c>
      <c r="M49" s="226">
        <f t="shared" ca="1" si="35"/>
        <v>-44</v>
      </c>
      <c r="N49" s="191" t="str">
        <f t="shared" ref="N49:N50" ca="1" si="41">IF(ISERROR((M49+G49+J49)/(E49)),"",((M49+G49+J49)/(E49)))</f>
        <v/>
      </c>
      <c r="O49" s="191" t="str">
        <f ca="1">IF(ISERROR((G49+M49-K49)/(E49)),"",((G49+M49-K49)/(E49)))</f>
        <v/>
      </c>
      <c r="P49" s="191" t="str">
        <f t="shared" ca="1" si="36"/>
        <v/>
      </c>
      <c r="V49" s="117" t="str">
        <f>B49</f>
        <v>WK 52</v>
      </c>
      <c r="W49" s="125">
        <f t="shared" ca="1" si="33"/>
        <v>0</v>
      </c>
      <c r="X49" s="125">
        <f t="shared" si="33"/>
        <v>12600</v>
      </c>
      <c r="Y49" s="132">
        <f t="shared" ca="1" si="34"/>
        <v>0</v>
      </c>
      <c r="Z49" s="125">
        <f ca="1">G49</f>
        <v>0</v>
      </c>
      <c r="AA49" s="132">
        <f t="shared" si="37"/>
        <v>12159</v>
      </c>
      <c r="AB49" s="132">
        <f t="shared" ca="1" si="38"/>
        <v>0</v>
      </c>
      <c r="AC49" s="190" t="str">
        <f ca="1">N49</f>
        <v/>
      </c>
      <c r="AD49" s="142">
        <v>0.96499999999999997</v>
      </c>
      <c r="AE49" s="191" t="str">
        <f t="shared" ca="1" si="39"/>
        <v/>
      </c>
      <c r="AF49" s="191" t="str">
        <f ca="1">L49</f>
        <v/>
      </c>
      <c r="AG49" s="142">
        <v>0.96499999999999997</v>
      </c>
      <c r="AH49" s="191" t="str">
        <f t="shared" ca="1" si="40"/>
        <v/>
      </c>
      <c r="AI49" s="184"/>
    </row>
    <row r="50" spans="2:35" x14ac:dyDescent="0.2">
      <c r="B50" s="228" t="s">
        <v>219</v>
      </c>
      <c r="C50" s="230">
        <v>6</v>
      </c>
      <c r="D50" s="177">
        <f>SUMIFS($E$9:$E$39,$B$9:$B$39,B50)</f>
        <v>0</v>
      </c>
      <c r="E50" s="177">
        <f ca="1">SUMIFS($D$9:$D$39,$B$9:$B$39,B50)</f>
        <v>0</v>
      </c>
      <c r="F50" s="181">
        <f>C50*$X$5</f>
        <v>10800</v>
      </c>
      <c r="G50" s="177">
        <f ca="1">SUMIFS($G$9:$G$39,$B$9:$B$39,B50)</f>
        <v>0</v>
      </c>
      <c r="H50" s="177">
        <f ca="1">SUMIFS($H$9:$H$39,$B$9:$B$39,B50)</f>
        <v>0</v>
      </c>
      <c r="I50" s="177">
        <f ca="1">SUMIFS($I$9:$I$39,$B$9:$B$39,B50)</f>
        <v>0</v>
      </c>
      <c r="J50" s="177">
        <f ca="1">SUMIFS($L$9:$L$39,$B$9:$B$39,B50)</f>
        <v>0</v>
      </c>
      <c r="K50" s="121">
        <f>SUMIFS($J$9:$J$39,$B$9:$B$39,B50)</f>
        <v>0</v>
      </c>
      <c r="L50" s="191" t="str">
        <f ca="1">IF(ISERROR(SUM(G33:G39)/E50),"",(SUM(G33:G39)/E50))</f>
        <v/>
      </c>
      <c r="M50" s="226">
        <f t="shared" ca="1" si="35"/>
        <v>-341.5</v>
      </c>
      <c r="N50" s="191" t="str">
        <f t="shared" ca="1" si="41"/>
        <v/>
      </c>
      <c r="O50" s="191" t="str">
        <f ca="1">IF(ISERROR((G50+M50-K50)/(E50)),"",((G50+M50-K50)/(E50)))</f>
        <v/>
      </c>
      <c r="P50" s="191" t="str">
        <f t="shared" ca="1" si="36"/>
        <v/>
      </c>
      <c r="V50" s="117" t="str">
        <f>B50</f>
        <v>WK 1</v>
      </c>
      <c r="W50" s="125">
        <f t="shared" ca="1" si="33"/>
        <v>0</v>
      </c>
      <c r="X50" s="125">
        <f t="shared" si="33"/>
        <v>10800</v>
      </c>
      <c r="Y50" s="132">
        <f t="shared" ca="1" si="34"/>
        <v>0</v>
      </c>
      <c r="Z50" s="125">
        <f ca="1">G50</f>
        <v>0</v>
      </c>
      <c r="AA50" s="132">
        <f t="shared" si="37"/>
        <v>10422</v>
      </c>
      <c r="AB50" s="132">
        <f t="shared" ca="1" si="38"/>
        <v>0</v>
      </c>
      <c r="AC50" s="190" t="str">
        <f ca="1">N50</f>
        <v/>
      </c>
      <c r="AD50" s="142">
        <v>0.96499999999999997</v>
      </c>
      <c r="AE50" s="191" t="str">
        <f t="shared" ca="1" si="39"/>
        <v/>
      </c>
      <c r="AF50" s="191" t="str">
        <f ca="1">L50</f>
        <v/>
      </c>
      <c r="AG50" s="142">
        <v>0.96499999999999997</v>
      </c>
      <c r="AH50" s="191" t="str">
        <f t="shared" ca="1" si="40"/>
        <v/>
      </c>
      <c r="AI50" s="184"/>
    </row>
    <row r="51" spans="2:35" ht="7.5" customHeight="1" x14ac:dyDescent="0.2">
      <c r="B51" s="245"/>
      <c r="C51" s="5"/>
      <c r="D51" s="5"/>
      <c r="E51" s="6"/>
      <c r="F51" s="6"/>
      <c r="G51" s="6"/>
      <c r="H51" s="6"/>
      <c r="I51" s="6"/>
      <c r="N51" s="195"/>
      <c r="O51" s="195"/>
      <c r="P51" s="195"/>
      <c r="AI51" s="184"/>
    </row>
    <row r="52" spans="2:35" ht="25.5" x14ac:dyDescent="0.2">
      <c r="B52" s="229" t="s">
        <v>233</v>
      </c>
      <c r="C52" s="227">
        <f t="shared" ref="C52:E52" si="42">SUM(C46:C50)</f>
        <v>30</v>
      </c>
      <c r="D52" s="132">
        <f t="shared" si="42"/>
        <v>0</v>
      </c>
      <c r="E52" s="132">
        <f t="shared" ca="1" si="42"/>
        <v>19737.38</v>
      </c>
      <c r="F52" s="132">
        <f>SUM(F46:F50)</f>
        <v>54000</v>
      </c>
      <c r="G52" s="132">
        <f ca="1">SUM(G46:G50)</f>
        <v>18588.565000000002</v>
      </c>
      <c r="H52" s="132">
        <f ca="1">SUM(H46:H50)</f>
        <v>2602.1099999999997</v>
      </c>
      <c r="I52" s="132">
        <f t="shared" ref="I52:K52" ca="1" si="43">SUM(I46:I50)</f>
        <v>1515</v>
      </c>
      <c r="J52" s="132">
        <f t="shared" ca="1" si="43"/>
        <v>0</v>
      </c>
      <c r="K52" s="132">
        <f t="shared" si="43"/>
        <v>346</v>
      </c>
      <c r="L52" s="142">
        <f ca="1">SUM(G9:G39)/E52</f>
        <v>1.0333790503096154</v>
      </c>
      <c r="M52" s="227">
        <f ca="1">SUM(M46:M50)</f>
        <v>390.29999999999995</v>
      </c>
      <c r="N52" s="191">
        <f ca="1">IF(ISERROR((M52+G52+J52-K52)/(E52)),"",((M52+G52+J52-K52)/(E52)))</f>
        <v>0.94403943177868599</v>
      </c>
      <c r="O52" s="191">
        <f ca="1">IF(ISERROR((G52+M52-K52)/(E52)),"",((G52+M52-K52)/(E52)))</f>
        <v>0.94403943177868599</v>
      </c>
      <c r="P52" s="191">
        <f t="shared" ref="P52" ca="1" si="44">IF(ISERROR(N52-O52),"",(N52-O52))</f>
        <v>0</v>
      </c>
    </row>
    <row r="53" spans="2:35" x14ac:dyDescent="0.2">
      <c r="B53" s="245"/>
      <c r="C53" s="245"/>
      <c r="D53" s="245"/>
      <c r="E53" s="119"/>
      <c r="F53" s="119"/>
    </row>
    <row r="54" spans="2:35" x14ac:dyDescent="0.2">
      <c r="B54" s="245"/>
      <c r="C54" s="245"/>
      <c r="D54" s="245"/>
    </row>
    <row r="55" spans="2:35" ht="18" x14ac:dyDescent="0.2">
      <c r="B55" s="152" t="s">
        <v>234</v>
      </c>
      <c r="C55" s="245"/>
      <c r="D55" s="245"/>
      <c r="F55" s="184"/>
      <c r="G55" s="184"/>
      <c r="H55" s="184"/>
      <c r="I55" s="184"/>
      <c r="J55" s="184"/>
    </row>
    <row r="56" spans="2:35" x14ac:dyDescent="0.2">
      <c r="B56" s="245"/>
      <c r="C56" s="245"/>
      <c r="D56" s="222"/>
      <c r="E56" s="222"/>
      <c r="F56" s="185"/>
      <c r="G56" s="184"/>
      <c r="H56" s="184"/>
      <c r="I56" s="184"/>
      <c r="J56" s="184"/>
    </row>
    <row r="57" spans="2:35" x14ac:dyDescent="0.2">
      <c r="B57" s="245" t="s">
        <v>235</v>
      </c>
      <c r="C57" s="245" t="str">
        <f>B48</f>
        <v>WK 51</v>
      </c>
      <c r="D57" s="245"/>
      <c r="F57" s="184"/>
      <c r="G57" s="184"/>
      <c r="H57" s="184"/>
      <c r="I57" s="184"/>
      <c r="J57" s="184"/>
    </row>
    <row r="58" spans="2:35" x14ac:dyDescent="0.2">
      <c r="B58" s="245"/>
      <c r="C58" s="245"/>
      <c r="D58" s="223"/>
      <c r="E58" s="222"/>
      <c r="F58" s="185"/>
      <c r="G58" s="184"/>
      <c r="H58" s="184"/>
      <c r="I58" s="184"/>
      <c r="J58" s="184"/>
    </row>
    <row r="59" spans="2:35" ht="25.5" x14ac:dyDescent="0.2">
      <c r="B59" s="143" t="s">
        <v>236</v>
      </c>
      <c r="C59" s="143" t="s">
        <v>223</v>
      </c>
      <c r="D59" s="143" t="s">
        <v>237</v>
      </c>
      <c r="E59" s="225" t="s">
        <v>238</v>
      </c>
      <c r="F59" s="225" t="s">
        <v>239</v>
      </c>
      <c r="H59" s="184"/>
      <c r="I59" s="184"/>
      <c r="J59" s="184"/>
      <c r="V59" s="122" t="s">
        <v>236</v>
      </c>
      <c r="W59" s="122" t="s">
        <v>208</v>
      </c>
      <c r="X59" s="122" t="s">
        <v>209</v>
      </c>
      <c r="Y59" s="126" t="s">
        <v>210</v>
      </c>
      <c r="Z59" s="122" t="s">
        <v>211</v>
      </c>
      <c r="AA59" s="122" t="s">
        <v>209</v>
      </c>
      <c r="AB59" s="126" t="s">
        <v>210</v>
      </c>
      <c r="AC59" s="122" t="s">
        <v>212</v>
      </c>
      <c r="AD59" s="122" t="s">
        <v>209</v>
      </c>
      <c r="AE59" s="126" t="s">
        <v>210</v>
      </c>
      <c r="AF59" s="122" t="s">
        <v>213</v>
      </c>
      <c r="AG59" s="122" t="s">
        <v>209</v>
      </c>
      <c r="AH59" s="126" t="s">
        <v>210</v>
      </c>
    </row>
    <row r="60" spans="2:35" x14ac:dyDescent="0.2">
      <c r="B60" s="117">
        <v>4</v>
      </c>
      <c r="C60" s="121">
        <f t="shared" ref="C60:C66" ca="1" si="45">SUMIFS($D$9:$D$39,$C$9:$C$39,B60)</f>
        <v>1760.49</v>
      </c>
      <c r="D60" s="121">
        <f t="shared" ref="D60:D66" ca="1" si="46">SUMIFS($G$9:$G$39,$C$9:$C$39,B60)</f>
        <v>1717.64</v>
      </c>
      <c r="E60" s="224">
        <f t="shared" ref="E60:E66" ca="1" si="47">SUMIFS($M$9:$M$39,$C$9:$C$39,B60)</f>
        <v>0.97566018551653233</v>
      </c>
      <c r="F60" s="224">
        <f t="shared" ref="F60:F66" ca="1" si="48">SUMIFS($N$9:$N$39,$C$9:$C$39,B60)</f>
        <v>0.89698890649762286</v>
      </c>
      <c r="H60" s="184"/>
      <c r="I60" s="184"/>
      <c r="J60" s="184"/>
      <c r="V60" s="117">
        <f t="shared" ref="V60:W66" si="49">B60</f>
        <v>4</v>
      </c>
      <c r="W60" s="125">
        <f t="shared" ca="1" si="49"/>
        <v>1760.49</v>
      </c>
      <c r="X60" s="125">
        <f>$X$5</f>
        <v>1800</v>
      </c>
      <c r="Y60" s="132">
        <f t="shared" ref="Y60:Y64" ca="1" si="50">IF(W60&lt;X60,W60,"")</f>
        <v>1760.49</v>
      </c>
      <c r="Z60" s="125">
        <f t="shared" ref="Z60:Z66" ca="1" si="51">D60</f>
        <v>1717.64</v>
      </c>
      <c r="AA60" s="132">
        <f>AA5</f>
        <v>1737</v>
      </c>
      <c r="AB60" s="132">
        <f ca="1">IF(Z60&lt;AA60,Z60,"")</f>
        <v>1717.64</v>
      </c>
      <c r="AC60" s="191">
        <f t="shared" ref="AC60:AC66" ca="1" si="52">F60</f>
        <v>0.89698890649762286</v>
      </c>
      <c r="AD60" s="142">
        <v>0.96499999999999997</v>
      </c>
      <c r="AE60" s="191">
        <f ca="1">IF(AC60&lt;AD60,AC60,"")</f>
        <v>0.89698890649762286</v>
      </c>
      <c r="AF60" s="191">
        <f t="shared" ref="AF60:AF66" ca="1" si="53">E60</f>
        <v>0.97566018551653233</v>
      </c>
      <c r="AG60" s="191">
        <f t="shared" ref="AG60:AG66" si="54">$AG$5</f>
        <v>0.95499999999999996</v>
      </c>
      <c r="AH60" s="191" t="str">
        <f ca="1">IF(AF60&lt;AG60,AF60,"")</f>
        <v/>
      </c>
    </row>
    <row r="61" spans="2:35" x14ac:dyDescent="0.2">
      <c r="B61" s="117">
        <v>5</v>
      </c>
      <c r="C61" s="121">
        <f t="shared" ca="1" si="45"/>
        <v>1700.8200000000002</v>
      </c>
      <c r="D61" s="121">
        <f t="shared" ca="1" si="46"/>
        <v>1433.83</v>
      </c>
      <c r="E61" s="224">
        <f t="shared" ca="1" si="47"/>
        <v>0.84302277724862118</v>
      </c>
      <c r="F61" s="219">
        <f t="shared" ca="1" si="48"/>
        <v>0.90240589833139295</v>
      </c>
      <c r="H61" s="184"/>
      <c r="I61" s="184"/>
      <c r="J61" s="184"/>
      <c r="V61" s="117">
        <f t="shared" si="49"/>
        <v>5</v>
      </c>
      <c r="W61" s="125">
        <f t="shared" ca="1" si="49"/>
        <v>1700.8200000000002</v>
      </c>
      <c r="X61" s="125">
        <f t="shared" ref="X61:X66" si="55">$X$5</f>
        <v>1800</v>
      </c>
      <c r="Y61" s="132">
        <f t="shared" ca="1" si="50"/>
        <v>1700.8200000000002</v>
      </c>
      <c r="Z61" s="125">
        <f t="shared" ca="1" si="51"/>
        <v>1433.83</v>
      </c>
      <c r="AA61" s="132">
        <f t="shared" ref="AA61:AA64" si="56">X61*0.965</f>
        <v>1737</v>
      </c>
      <c r="AB61" s="132">
        <f t="shared" ref="AB61:AB64" ca="1" si="57">IF(Z61&lt;AA61,Z61,"")</f>
        <v>1433.83</v>
      </c>
      <c r="AC61" s="191">
        <f t="shared" ca="1" si="52"/>
        <v>0.90240589833139295</v>
      </c>
      <c r="AD61" s="142">
        <v>0.96499999999999997</v>
      </c>
      <c r="AE61" s="191">
        <f t="shared" ref="AE61:AE64" ca="1" si="58">IF(AC61&lt;AD61,AC61,"")</f>
        <v>0.90240589833139295</v>
      </c>
      <c r="AF61" s="191">
        <f t="shared" ca="1" si="53"/>
        <v>0.84302277724862118</v>
      </c>
      <c r="AG61" s="191">
        <f t="shared" si="54"/>
        <v>0.95499999999999996</v>
      </c>
      <c r="AH61" s="191">
        <f t="shared" ref="AH61:AH64" ca="1" si="59">IF(AF61&lt;AG61,AF61,"")</f>
        <v>0.84302277724862118</v>
      </c>
    </row>
    <row r="62" spans="2:35" x14ac:dyDescent="0.2">
      <c r="B62" s="117">
        <v>6</v>
      </c>
      <c r="C62" s="121">
        <f t="shared" ca="1" si="45"/>
        <v>1600.6</v>
      </c>
      <c r="D62" s="121">
        <f t="shared" ca="1" si="46"/>
        <v>1576.066</v>
      </c>
      <c r="E62" s="219">
        <f t="shared" ca="1" si="47"/>
        <v>0.98467199800074978</v>
      </c>
      <c r="F62" s="219">
        <f t="shared" ca="1" si="48"/>
        <v>0.89408096963638639</v>
      </c>
      <c r="H62" s="184"/>
      <c r="I62" s="184"/>
      <c r="J62" s="184"/>
      <c r="V62" s="117">
        <f t="shared" si="49"/>
        <v>6</v>
      </c>
      <c r="W62" s="125">
        <f t="shared" ca="1" si="49"/>
        <v>1600.6</v>
      </c>
      <c r="X62" s="125">
        <f t="shared" si="55"/>
        <v>1800</v>
      </c>
      <c r="Y62" s="132">
        <f t="shared" ca="1" si="50"/>
        <v>1600.6</v>
      </c>
      <c r="Z62" s="125">
        <f t="shared" ca="1" si="51"/>
        <v>1576.066</v>
      </c>
      <c r="AA62" s="132">
        <f t="shared" si="56"/>
        <v>1737</v>
      </c>
      <c r="AB62" s="132">
        <f t="shared" ca="1" si="57"/>
        <v>1576.066</v>
      </c>
      <c r="AC62" s="191">
        <f t="shared" ca="1" si="52"/>
        <v>0.89408096963638639</v>
      </c>
      <c r="AD62" s="142">
        <v>0.96499999999999997</v>
      </c>
      <c r="AE62" s="191">
        <f t="shared" ca="1" si="58"/>
        <v>0.89408096963638639</v>
      </c>
      <c r="AF62" s="191">
        <f t="shared" ca="1" si="53"/>
        <v>0.98467199800074978</v>
      </c>
      <c r="AG62" s="191">
        <f t="shared" si="54"/>
        <v>0.95499999999999996</v>
      </c>
      <c r="AH62" s="191" t="str">
        <f t="shared" ca="1" si="59"/>
        <v/>
      </c>
    </row>
    <row r="63" spans="2:35" x14ac:dyDescent="0.2">
      <c r="B63" s="117">
        <v>7</v>
      </c>
      <c r="C63" s="121">
        <f t="shared" ca="1" si="45"/>
        <v>1130.5500000000002</v>
      </c>
      <c r="D63" s="121">
        <f t="shared" ca="1" si="46"/>
        <v>1395.4389999999999</v>
      </c>
      <c r="E63" s="219">
        <f t="shared" ca="1" si="47"/>
        <v>1.2343010039361368</v>
      </c>
      <c r="F63" s="219">
        <f t="shared" ca="1" si="48"/>
        <v>1.0604917960284814</v>
      </c>
      <c r="V63" s="117">
        <f t="shared" si="49"/>
        <v>7</v>
      </c>
      <c r="W63" s="125">
        <f t="shared" ca="1" si="49"/>
        <v>1130.5500000000002</v>
      </c>
      <c r="X63" s="125">
        <f t="shared" si="55"/>
        <v>1800</v>
      </c>
      <c r="Y63" s="132">
        <f t="shared" ca="1" si="50"/>
        <v>1130.5500000000002</v>
      </c>
      <c r="Z63" s="125">
        <f t="shared" ca="1" si="51"/>
        <v>1395.4389999999999</v>
      </c>
      <c r="AA63" s="132">
        <f t="shared" si="56"/>
        <v>1737</v>
      </c>
      <c r="AB63" s="132">
        <f t="shared" ca="1" si="57"/>
        <v>1395.4389999999999</v>
      </c>
      <c r="AC63" s="191">
        <f t="shared" ca="1" si="52"/>
        <v>1.0604917960284814</v>
      </c>
      <c r="AD63" s="142">
        <v>0.96499999999999997</v>
      </c>
      <c r="AE63" s="191" t="str">
        <f t="shared" ca="1" si="58"/>
        <v/>
      </c>
      <c r="AF63" s="191">
        <f t="shared" ca="1" si="53"/>
        <v>1.2343010039361368</v>
      </c>
      <c r="AG63" s="191">
        <f t="shared" si="54"/>
        <v>0.95499999999999996</v>
      </c>
      <c r="AH63" s="191" t="str">
        <f t="shared" ca="1" si="59"/>
        <v/>
      </c>
    </row>
    <row r="64" spans="2:35" x14ac:dyDescent="0.2">
      <c r="B64" s="117">
        <v>8</v>
      </c>
      <c r="C64" s="121">
        <f t="shared" ca="1" si="45"/>
        <v>1770.49</v>
      </c>
      <c r="D64" s="121">
        <f t="shared" ca="1" si="46"/>
        <v>1254.46</v>
      </c>
      <c r="E64" s="219">
        <f t="shared" ca="1" si="47"/>
        <v>0.70853831425198677</v>
      </c>
      <c r="F64" s="219">
        <f t="shared" ca="1" si="48"/>
        <v>0.79890877666634663</v>
      </c>
      <c r="V64" s="117">
        <f t="shared" si="49"/>
        <v>8</v>
      </c>
      <c r="W64" s="125">
        <f t="shared" ca="1" si="49"/>
        <v>1770.49</v>
      </c>
      <c r="X64" s="125">
        <f t="shared" si="55"/>
        <v>1800</v>
      </c>
      <c r="Y64" s="132">
        <f t="shared" ca="1" si="50"/>
        <v>1770.49</v>
      </c>
      <c r="Z64" s="125">
        <f t="shared" ca="1" si="51"/>
        <v>1254.46</v>
      </c>
      <c r="AA64" s="132">
        <f t="shared" si="56"/>
        <v>1737</v>
      </c>
      <c r="AB64" s="132">
        <f t="shared" ca="1" si="57"/>
        <v>1254.46</v>
      </c>
      <c r="AC64" s="191">
        <f t="shared" ca="1" si="52"/>
        <v>0.79890877666634663</v>
      </c>
      <c r="AD64" s="142">
        <v>0.96499999999999997</v>
      </c>
      <c r="AE64" s="191">
        <f t="shared" ca="1" si="58"/>
        <v>0.79890877666634663</v>
      </c>
      <c r="AF64" s="191">
        <f t="shared" ca="1" si="53"/>
        <v>0.70853831425198677</v>
      </c>
      <c r="AG64" s="191">
        <f t="shared" si="54"/>
        <v>0.95499999999999996</v>
      </c>
      <c r="AH64" s="191">
        <f t="shared" ca="1" si="59"/>
        <v>0.70853831425198677</v>
      </c>
    </row>
    <row r="65" spans="2:34" x14ac:dyDescent="0.2">
      <c r="B65" s="117">
        <v>9</v>
      </c>
      <c r="C65" s="121">
        <f t="shared" ca="1" si="45"/>
        <v>1550.8200000000002</v>
      </c>
      <c r="D65" s="121">
        <f t="shared" ca="1" si="46"/>
        <v>1528.52</v>
      </c>
      <c r="E65" s="219">
        <f t="shared" ca="1" si="47"/>
        <v>0.98562051043963828</v>
      </c>
      <c r="F65" s="224">
        <f t="shared" ca="1" si="48"/>
        <v>1.0197959789014843</v>
      </c>
      <c r="V65" s="117">
        <f t="shared" si="49"/>
        <v>9</v>
      </c>
      <c r="W65" s="125">
        <f t="shared" ca="1" si="49"/>
        <v>1550.8200000000002</v>
      </c>
      <c r="X65" s="125">
        <f t="shared" si="55"/>
        <v>1800</v>
      </c>
      <c r="Y65" s="132">
        <f t="shared" ref="Y65:Y66" ca="1" si="60">IF(W65&lt;X65,W65,"")</f>
        <v>1550.8200000000002</v>
      </c>
      <c r="Z65" s="125">
        <f t="shared" ca="1" si="51"/>
        <v>1528.52</v>
      </c>
      <c r="AA65" s="132">
        <f t="shared" ref="AA65:AA66" si="61">X65*0.965</f>
        <v>1737</v>
      </c>
      <c r="AB65" s="132">
        <f t="shared" ref="AB65:AB66" ca="1" si="62">IF(Z65&lt;AA65,Z65,"")</f>
        <v>1528.52</v>
      </c>
      <c r="AC65" s="191">
        <f t="shared" ca="1" si="52"/>
        <v>1.0197959789014843</v>
      </c>
      <c r="AD65" s="142">
        <v>0.96499999999999997</v>
      </c>
      <c r="AE65" s="191" t="str">
        <f t="shared" ref="AE65:AE66" ca="1" si="63">IF(AC65&lt;AD65,AC65,"")</f>
        <v/>
      </c>
      <c r="AF65" s="191">
        <f t="shared" ca="1" si="53"/>
        <v>0.98562051043963828</v>
      </c>
      <c r="AG65" s="191">
        <f t="shared" si="54"/>
        <v>0.95499999999999996</v>
      </c>
      <c r="AH65" s="191" t="str">
        <f t="shared" ref="AH65:AH66" ca="1" si="64">IF(AF65&lt;AG65,AF65,"")</f>
        <v/>
      </c>
    </row>
    <row r="66" spans="2:34" x14ac:dyDescent="0.2">
      <c r="B66" s="117">
        <v>10</v>
      </c>
      <c r="C66" s="121">
        <f t="shared" ca="1" si="45"/>
        <v>1700.6</v>
      </c>
      <c r="D66" s="121">
        <f t="shared" ca="1" si="46"/>
        <v>1465.0400000000002</v>
      </c>
      <c r="E66" s="219">
        <f t="shared" ca="1" si="47"/>
        <v>0.86148418205339305</v>
      </c>
      <c r="F66" s="224">
        <f t="shared" ca="1" si="48"/>
        <v>0.96056685875573344</v>
      </c>
      <c r="V66" s="117">
        <f t="shared" si="49"/>
        <v>10</v>
      </c>
      <c r="W66" s="125">
        <f t="shared" ca="1" si="49"/>
        <v>1700.6</v>
      </c>
      <c r="X66" s="125">
        <f t="shared" si="55"/>
        <v>1800</v>
      </c>
      <c r="Y66" s="132">
        <f t="shared" ca="1" si="60"/>
        <v>1700.6</v>
      </c>
      <c r="Z66" s="125">
        <f t="shared" ca="1" si="51"/>
        <v>1465.0400000000002</v>
      </c>
      <c r="AA66" s="132">
        <f t="shared" si="61"/>
        <v>1737</v>
      </c>
      <c r="AB66" s="132">
        <f t="shared" ca="1" si="62"/>
        <v>1465.0400000000002</v>
      </c>
      <c r="AC66" s="191">
        <f t="shared" ca="1" si="52"/>
        <v>0.96056685875573344</v>
      </c>
      <c r="AD66" s="142">
        <v>0.96499999999999997</v>
      </c>
      <c r="AE66" s="191">
        <f t="shared" ca="1" si="63"/>
        <v>0.96056685875573344</v>
      </c>
      <c r="AF66" s="191">
        <f t="shared" ca="1" si="53"/>
        <v>0.86148418205339305</v>
      </c>
      <c r="AG66" s="191">
        <f t="shared" si="54"/>
        <v>0.95499999999999996</v>
      </c>
      <c r="AH66" s="191">
        <f t="shared" ca="1" si="64"/>
        <v>0.86148418205339305</v>
      </c>
    </row>
    <row r="67" spans="2:34" x14ac:dyDescent="0.2">
      <c r="B67" s="245"/>
      <c r="C67" s="3"/>
    </row>
    <row r="68" spans="2:34" x14ac:dyDescent="0.2">
      <c r="B68" s="245"/>
      <c r="C68" s="3"/>
    </row>
    <row r="69" spans="2:34" x14ac:dyDescent="0.2">
      <c r="B69" s="245"/>
      <c r="C69" s="245"/>
      <c r="J69" s="263" t="s">
        <v>240</v>
      </c>
      <c r="K69" s="263"/>
      <c r="L69" s="3" t="s">
        <v>241</v>
      </c>
      <c r="M69" s="3" t="s">
        <v>242</v>
      </c>
    </row>
    <row r="70" spans="2:34" x14ac:dyDescent="0.2">
      <c r="B70" s="245"/>
      <c r="C70" s="245"/>
      <c r="D70" s="3" t="s">
        <v>243</v>
      </c>
      <c r="K70" s="243">
        <f>SUM(I72:I102)</f>
        <v>469.51799999999997</v>
      </c>
      <c r="L70" s="119">
        <f ca="1">SUM(D9:D39)</f>
        <v>21518.2</v>
      </c>
      <c r="M70" s="241">
        <f ca="1">K70/L70</f>
        <v>2.1819575986839045E-2</v>
      </c>
    </row>
    <row r="71" spans="2:34" x14ac:dyDescent="0.2">
      <c r="B71" s="245"/>
      <c r="C71" s="245" t="s">
        <v>244</v>
      </c>
      <c r="D71" s="242" t="s">
        <v>245</v>
      </c>
      <c r="E71" s="3" t="s">
        <v>246</v>
      </c>
      <c r="F71" s="3" t="s">
        <v>247</v>
      </c>
      <c r="G71" s="3" t="s">
        <v>244</v>
      </c>
      <c r="H71" s="3" t="s">
        <v>248</v>
      </c>
      <c r="I71" s="3" t="s">
        <v>249</v>
      </c>
    </row>
    <row r="72" spans="2:34" x14ac:dyDescent="0.2">
      <c r="B72" s="245"/>
      <c r="C72" s="245">
        <v>1</v>
      </c>
      <c r="D72" s="3">
        <v>12.3</v>
      </c>
      <c r="E72" s="3">
        <v>25.7</v>
      </c>
      <c r="F72" s="3">
        <v>19.7</v>
      </c>
      <c r="G72" s="3">
        <f t="shared" ref="G72:G102" si="65">D72+E72+F72</f>
        <v>57.7</v>
      </c>
      <c r="H72" s="3">
        <f t="shared" ref="H72:H78" si="66">G72*1.4</f>
        <v>80.78</v>
      </c>
      <c r="I72" s="243">
        <f t="shared" ref="I72:I82" si="67">H72*0.55</f>
        <v>44.429000000000002</v>
      </c>
    </row>
    <row r="73" spans="2:34" x14ac:dyDescent="0.2">
      <c r="B73" s="245"/>
      <c r="C73" s="245">
        <v>2</v>
      </c>
      <c r="D73" s="3">
        <v>12</v>
      </c>
      <c r="E73" s="3">
        <v>11.5</v>
      </c>
      <c r="F73" s="3">
        <v>12.2</v>
      </c>
      <c r="G73" s="3">
        <f t="shared" si="65"/>
        <v>35.700000000000003</v>
      </c>
      <c r="H73" s="3">
        <f t="shared" si="66"/>
        <v>49.980000000000004</v>
      </c>
      <c r="I73" s="243">
        <f t="shared" si="67"/>
        <v>27.489000000000004</v>
      </c>
    </row>
    <row r="74" spans="2:34" x14ac:dyDescent="0.2">
      <c r="B74" s="245"/>
      <c r="C74" s="245">
        <v>3</v>
      </c>
      <c r="D74" s="3">
        <v>15.1</v>
      </c>
      <c r="E74" s="3">
        <v>43.6</v>
      </c>
      <c r="F74" s="3">
        <v>16.100000000000001</v>
      </c>
      <c r="G74" s="3">
        <f t="shared" si="65"/>
        <v>74.800000000000011</v>
      </c>
      <c r="H74" s="3">
        <f t="shared" si="66"/>
        <v>104.72000000000001</v>
      </c>
      <c r="I74" s="243">
        <f t="shared" si="67"/>
        <v>57.596000000000011</v>
      </c>
    </row>
    <row r="75" spans="2:34" x14ac:dyDescent="0.2">
      <c r="B75" s="245"/>
      <c r="C75" s="245">
        <v>4</v>
      </c>
      <c r="D75" s="3">
        <v>14.4</v>
      </c>
      <c r="E75" s="3">
        <v>29.9</v>
      </c>
      <c r="F75" s="3">
        <v>13.9</v>
      </c>
      <c r="G75" s="3">
        <f t="shared" si="65"/>
        <v>58.199999999999996</v>
      </c>
      <c r="H75" s="3">
        <f t="shared" si="66"/>
        <v>81.47999999999999</v>
      </c>
      <c r="I75" s="243">
        <f t="shared" si="67"/>
        <v>44.814</v>
      </c>
    </row>
    <row r="76" spans="2:34" x14ac:dyDescent="0.2">
      <c r="B76" s="245"/>
      <c r="C76" s="245">
        <v>5</v>
      </c>
      <c r="D76" s="3">
        <v>18.600000000000001</v>
      </c>
      <c r="E76" s="3">
        <v>13.4</v>
      </c>
      <c r="F76" s="3">
        <v>11</v>
      </c>
      <c r="G76" s="3">
        <f t="shared" si="65"/>
        <v>43</v>
      </c>
      <c r="H76" s="3">
        <f t="shared" si="66"/>
        <v>60.199999999999996</v>
      </c>
      <c r="I76" s="243">
        <f t="shared" si="67"/>
        <v>33.11</v>
      </c>
    </row>
    <row r="77" spans="2:34" x14ac:dyDescent="0.2">
      <c r="B77" s="245"/>
      <c r="C77" s="245">
        <v>6</v>
      </c>
      <c r="D77" s="3">
        <v>18.8</v>
      </c>
      <c r="E77" s="3">
        <v>8.8000000000000007</v>
      </c>
      <c r="F77" s="3">
        <v>6.2</v>
      </c>
      <c r="G77" s="3">
        <f t="shared" si="65"/>
        <v>33.800000000000004</v>
      </c>
      <c r="H77" s="3">
        <f t="shared" si="66"/>
        <v>47.32</v>
      </c>
      <c r="I77" s="243">
        <f t="shared" si="67"/>
        <v>26.026000000000003</v>
      </c>
    </row>
    <row r="78" spans="2:34" x14ac:dyDescent="0.2">
      <c r="B78" s="245"/>
      <c r="C78" s="245">
        <v>7</v>
      </c>
      <c r="D78" s="3">
        <v>9.4</v>
      </c>
      <c r="E78" s="3">
        <v>29.6</v>
      </c>
      <c r="F78" s="3">
        <v>31</v>
      </c>
      <c r="G78" s="3">
        <f t="shared" si="65"/>
        <v>70</v>
      </c>
      <c r="H78" s="3">
        <f t="shared" si="66"/>
        <v>98</v>
      </c>
      <c r="I78" s="243">
        <f t="shared" si="67"/>
        <v>53.900000000000006</v>
      </c>
    </row>
    <row r="79" spans="2:34" x14ac:dyDescent="0.2">
      <c r="B79" s="245"/>
      <c r="C79" s="245">
        <v>8</v>
      </c>
      <c r="D79" s="3">
        <v>17.100000000000001</v>
      </c>
      <c r="E79" s="3">
        <v>18.2</v>
      </c>
      <c r="F79" s="3">
        <v>5</v>
      </c>
      <c r="G79" s="3">
        <f t="shared" si="65"/>
        <v>40.299999999999997</v>
      </c>
      <c r="H79" s="3">
        <f t="shared" ref="H79:H102" si="68">G79*1.4</f>
        <v>56.419999999999995</v>
      </c>
      <c r="I79" s="243">
        <f t="shared" si="67"/>
        <v>31.030999999999999</v>
      </c>
    </row>
    <row r="80" spans="2:34" x14ac:dyDescent="0.2">
      <c r="B80" s="245"/>
      <c r="C80" s="245">
        <v>9</v>
      </c>
      <c r="D80" s="3">
        <v>0.2</v>
      </c>
      <c r="E80" s="3">
        <v>8.3000000000000007</v>
      </c>
      <c r="F80" s="3">
        <v>8.5</v>
      </c>
      <c r="G80" s="3">
        <f t="shared" si="65"/>
        <v>17</v>
      </c>
      <c r="H80" s="3">
        <f t="shared" si="68"/>
        <v>23.799999999999997</v>
      </c>
      <c r="I80" s="243">
        <f t="shared" si="67"/>
        <v>13.09</v>
      </c>
    </row>
    <row r="81" spans="2:9" x14ac:dyDescent="0.2">
      <c r="B81" s="245"/>
      <c r="C81" s="245">
        <v>10</v>
      </c>
      <c r="D81" s="3">
        <v>21.7</v>
      </c>
      <c r="E81" s="3">
        <v>19.3</v>
      </c>
      <c r="F81" s="3">
        <v>6.7</v>
      </c>
      <c r="G81" s="3">
        <f t="shared" si="65"/>
        <v>47.7</v>
      </c>
      <c r="H81" s="3">
        <f t="shared" si="68"/>
        <v>66.78</v>
      </c>
      <c r="I81" s="243">
        <f t="shared" si="67"/>
        <v>36.729000000000006</v>
      </c>
    </row>
    <row r="82" spans="2:9" x14ac:dyDescent="0.2">
      <c r="B82" s="245"/>
      <c r="C82" s="245">
        <v>11</v>
      </c>
      <c r="D82" s="3">
        <v>22</v>
      </c>
      <c r="E82" s="3">
        <v>18.600000000000001</v>
      </c>
      <c r="F82" s="3">
        <v>8</v>
      </c>
      <c r="G82" s="3">
        <f>D82+E82+F82</f>
        <v>48.6</v>
      </c>
      <c r="H82" s="3">
        <f t="shared" si="68"/>
        <v>68.039999999999992</v>
      </c>
      <c r="I82" s="243">
        <f t="shared" si="67"/>
        <v>37.421999999999997</v>
      </c>
    </row>
    <row r="83" spans="2:9" x14ac:dyDescent="0.2">
      <c r="B83" s="245"/>
      <c r="C83" s="245">
        <v>12</v>
      </c>
      <c r="D83" s="3">
        <v>7.3</v>
      </c>
      <c r="E83" s="3">
        <v>4.5999999999999996</v>
      </c>
      <c r="F83" s="3">
        <v>12.2</v>
      </c>
      <c r="G83" s="3">
        <f>D83+E83+F83</f>
        <v>24.099999999999998</v>
      </c>
      <c r="H83" s="3">
        <f t="shared" si="68"/>
        <v>33.739999999999995</v>
      </c>
      <c r="I83" s="243">
        <f t="shared" ref="I83:I102" si="69">H83*0.78</f>
        <v>26.317199999999996</v>
      </c>
    </row>
    <row r="84" spans="2:9" x14ac:dyDescent="0.2">
      <c r="B84" s="245"/>
      <c r="C84" s="245">
        <v>13</v>
      </c>
      <c r="D84" s="3">
        <v>4.3</v>
      </c>
      <c r="E84" s="3">
        <v>4.4000000000000004</v>
      </c>
      <c r="F84" s="3">
        <v>25.7</v>
      </c>
      <c r="G84" s="3">
        <f t="shared" si="65"/>
        <v>34.4</v>
      </c>
      <c r="H84" s="3">
        <f t="shared" si="68"/>
        <v>48.16</v>
      </c>
      <c r="I84" s="243">
        <f t="shared" si="69"/>
        <v>37.564799999999998</v>
      </c>
    </row>
    <row r="85" spans="2:9" x14ac:dyDescent="0.2">
      <c r="B85" s="245"/>
      <c r="C85" s="245">
        <v>14</v>
      </c>
      <c r="G85" s="3">
        <f t="shared" si="65"/>
        <v>0</v>
      </c>
      <c r="H85" s="3">
        <f t="shared" si="68"/>
        <v>0</v>
      </c>
      <c r="I85" s="243">
        <f t="shared" si="69"/>
        <v>0</v>
      </c>
    </row>
    <row r="86" spans="2:9" x14ac:dyDescent="0.2">
      <c r="B86" s="245"/>
      <c r="C86" s="245">
        <v>15</v>
      </c>
      <c r="G86" s="3">
        <f t="shared" si="65"/>
        <v>0</v>
      </c>
      <c r="H86" s="3">
        <f t="shared" si="68"/>
        <v>0</v>
      </c>
      <c r="I86" s="243">
        <f t="shared" si="69"/>
        <v>0</v>
      </c>
    </row>
    <row r="87" spans="2:9" x14ac:dyDescent="0.2">
      <c r="B87" s="245"/>
      <c r="C87" s="245">
        <v>16</v>
      </c>
      <c r="G87" s="3">
        <f t="shared" si="65"/>
        <v>0</v>
      </c>
      <c r="H87" s="3">
        <f t="shared" si="68"/>
        <v>0</v>
      </c>
      <c r="I87" s="243">
        <f t="shared" si="69"/>
        <v>0</v>
      </c>
    </row>
    <row r="88" spans="2:9" x14ac:dyDescent="0.2">
      <c r="B88" s="245"/>
      <c r="C88" s="245">
        <v>17</v>
      </c>
      <c r="G88" s="3">
        <f t="shared" si="65"/>
        <v>0</v>
      </c>
      <c r="H88" s="3">
        <f t="shared" si="68"/>
        <v>0</v>
      </c>
      <c r="I88" s="243">
        <f t="shared" si="69"/>
        <v>0</v>
      </c>
    </row>
    <row r="89" spans="2:9" x14ac:dyDescent="0.2">
      <c r="B89" s="245"/>
      <c r="C89" s="245">
        <v>18</v>
      </c>
      <c r="G89" s="3">
        <f t="shared" si="65"/>
        <v>0</v>
      </c>
      <c r="H89" s="3">
        <f t="shared" si="68"/>
        <v>0</v>
      </c>
      <c r="I89" s="243">
        <f t="shared" si="69"/>
        <v>0</v>
      </c>
    </row>
    <row r="90" spans="2:9" x14ac:dyDescent="0.2">
      <c r="B90" s="245"/>
      <c r="C90" s="245">
        <v>19</v>
      </c>
      <c r="G90" s="3">
        <f t="shared" si="65"/>
        <v>0</v>
      </c>
      <c r="H90" s="3">
        <f t="shared" si="68"/>
        <v>0</v>
      </c>
      <c r="I90" s="243">
        <f t="shared" si="69"/>
        <v>0</v>
      </c>
    </row>
    <row r="91" spans="2:9" x14ac:dyDescent="0.2">
      <c r="B91" s="245"/>
      <c r="C91" s="245">
        <v>20</v>
      </c>
      <c r="G91" s="3">
        <f t="shared" si="65"/>
        <v>0</v>
      </c>
      <c r="H91" s="3">
        <f t="shared" si="68"/>
        <v>0</v>
      </c>
      <c r="I91" s="243">
        <f t="shared" si="69"/>
        <v>0</v>
      </c>
    </row>
    <row r="92" spans="2:9" x14ac:dyDescent="0.2">
      <c r="B92" s="245"/>
      <c r="C92" s="245">
        <v>21</v>
      </c>
      <c r="G92" s="3">
        <f t="shared" si="65"/>
        <v>0</v>
      </c>
      <c r="H92" s="3">
        <f t="shared" si="68"/>
        <v>0</v>
      </c>
      <c r="I92" s="243">
        <f t="shared" si="69"/>
        <v>0</v>
      </c>
    </row>
    <row r="93" spans="2:9" x14ac:dyDescent="0.2">
      <c r="B93" s="245"/>
      <c r="C93" s="245">
        <v>22</v>
      </c>
      <c r="G93" s="3">
        <f t="shared" si="65"/>
        <v>0</v>
      </c>
      <c r="H93" s="3">
        <f t="shared" si="68"/>
        <v>0</v>
      </c>
      <c r="I93" s="243">
        <f t="shared" si="69"/>
        <v>0</v>
      </c>
    </row>
    <row r="94" spans="2:9" x14ac:dyDescent="0.2">
      <c r="B94" s="245"/>
      <c r="C94" s="245">
        <v>23</v>
      </c>
      <c r="G94" s="3">
        <f t="shared" si="65"/>
        <v>0</v>
      </c>
      <c r="H94" s="3">
        <f t="shared" si="68"/>
        <v>0</v>
      </c>
      <c r="I94" s="243">
        <f t="shared" si="69"/>
        <v>0</v>
      </c>
    </row>
    <row r="95" spans="2:9" x14ac:dyDescent="0.2">
      <c r="B95" s="245"/>
      <c r="C95" s="245">
        <v>24</v>
      </c>
      <c r="G95" s="3">
        <f t="shared" si="65"/>
        <v>0</v>
      </c>
      <c r="H95" s="3">
        <f t="shared" si="68"/>
        <v>0</v>
      </c>
      <c r="I95" s="243">
        <f t="shared" si="69"/>
        <v>0</v>
      </c>
    </row>
    <row r="96" spans="2:9" x14ac:dyDescent="0.2">
      <c r="B96" s="245"/>
      <c r="C96" s="245">
        <v>25</v>
      </c>
      <c r="G96" s="3">
        <f t="shared" si="65"/>
        <v>0</v>
      </c>
      <c r="H96" s="3">
        <f t="shared" si="68"/>
        <v>0</v>
      </c>
      <c r="I96" s="243">
        <f t="shared" si="69"/>
        <v>0</v>
      </c>
    </row>
    <row r="97" spans="3:9" x14ac:dyDescent="0.2">
      <c r="C97" s="245">
        <v>26</v>
      </c>
      <c r="G97" s="3">
        <f t="shared" si="65"/>
        <v>0</v>
      </c>
      <c r="H97" s="3">
        <f t="shared" si="68"/>
        <v>0</v>
      </c>
      <c r="I97" s="243">
        <f t="shared" si="69"/>
        <v>0</v>
      </c>
    </row>
    <row r="98" spans="3:9" x14ac:dyDescent="0.2">
      <c r="C98" s="245">
        <v>27</v>
      </c>
      <c r="G98" s="3">
        <f t="shared" si="65"/>
        <v>0</v>
      </c>
      <c r="H98" s="3">
        <f t="shared" si="68"/>
        <v>0</v>
      </c>
      <c r="I98" s="243">
        <f t="shared" si="69"/>
        <v>0</v>
      </c>
    </row>
    <row r="99" spans="3:9" x14ac:dyDescent="0.2">
      <c r="C99" s="245">
        <v>28</v>
      </c>
      <c r="G99" s="3">
        <f t="shared" si="65"/>
        <v>0</v>
      </c>
      <c r="H99" s="3">
        <f t="shared" si="68"/>
        <v>0</v>
      </c>
      <c r="I99" s="243">
        <f t="shared" si="69"/>
        <v>0</v>
      </c>
    </row>
    <row r="100" spans="3:9" x14ac:dyDescent="0.2">
      <c r="C100" s="245">
        <v>29</v>
      </c>
      <c r="G100" s="3">
        <f t="shared" si="65"/>
        <v>0</v>
      </c>
      <c r="H100" s="3">
        <f t="shared" si="68"/>
        <v>0</v>
      </c>
      <c r="I100" s="243">
        <f t="shared" si="69"/>
        <v>0</v>
      </c>
    </row>
    <row r="101" spans="3:9" x14ac:dyDescent="0.2">
      <c r="C101" s="245">
        <v>30</v>
      </c>
      <c r="G101" s="3">
        <f t="shared" si="65"/>
        <v>0</v>
      </c>
      <c r="H101" s="3">
        <f t="shared" si="68"/>
        <v>0</v>
      </c>
      <c r="I101" s="243">
        <f t="shared" si="69"/>
        <v>0</v>
      </c>
    </row>
    <row r="102" spans="3:9" x14ac:dyDescent="0.2">
      <c r="C102" s="245">
        <v>31</v>
      </c>
      <c r="G102" s="3">
        <f t="shared" si="65"/>
        <v>0</v>
      </c>
      <c r="H102" s="3">
        <f t="shared" si="68"/>
        <v>0</v>
      </c>
      <c r="I102" s="243">
        <f t="shared" si="69"/>
        <v>0</v>
      </c>
    </row>
  </sheetData>
  <customSheetViews>
    <customSheetView guid="{180A269B-7E32-4D24-945A-4A804FC4280D}" hiddenRows="1" topLeftCell="A4">
      <selection activeCell="A6" sqref="A6:XFD25"/>
      <pageMargins left="0" right="0" top="0" bottom="0" header="0" footer="0"/>
    </customSheetView>
    <customSheetView guid="{F0BD4916-1611-48FD-8208-19E7D9B71F1A}">
      <selection activeCell="A4" sqref="A4:XFD4"/>
      <pageMargins left="0" right="0" top="0" bottom="0" header="0" footer="0"/>
      <pageSetup orientation="portrait" horizontalDpi="300" verticalDpi="300" r:id="rId1"/>
    </customSheetView>
    <customSheetView guid="{1DCC370E-2FC6-43E0-BC38-BCA3EE5D5128}">
      <selection activeCell="P10" sqref="P10"/>
      <pageMargins left="0" right="0" top="0" bottom="0" header="0" footer="0"/>
    </customSheetView>
    <customSheetView guid="{C7D8C3A9-FB79-4D22-935E-FEFA619A3CE5}" showPageBreaks="1">
      <selection activeCell="B1" sqref="B1:B1048576"/>
      <pageMargins left="0" right="0" top="0" bottom="0" header="0" footer="0"/>
      <pageSetup orientation="portrait" horizontalDpi="300" verticalDpi="300" r:id="rId2"/>
    </customSheetView>
    <customSheetView guid="{C5333697-7BE7-4020-97A4-B735E526926D}" scale="85">
      <selection activeCell="E11" sqref="E11"/>
      <pageMargins left="0" right="0" top="0" bottom="0" header="0" footer="0"/>
      <pageSetup paperSize="9" orientation="portrait" r:id="rId3"/>
    </customSheetView>
    <customSheetView guid="{9C22FFE9-00CF-47D0-BD99-D84A00825140}" scale="85" showPageBreaks="1" topLeftCell="A6">
      <selection activeCell="J29" sqref="J29"/>
      <pageMargins left="0" right="0" top="0" bottom="0" header="0" footer="0"/>
      <pageSetup paperSize="9" orientation="portrait" r:id="rId4"/>
    </customSheetView>
  </customSheetViews>
  <mergeCells count="1">
    <mergeCell ref="J69:K69"/>
  </mergeCell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65"/>
  <sheetViews>
    <sheetView topLeftCell="A34" zoomScaleNormal="100" zoomScaleSheetLayoutView="100" workbookViewId="0">
      <selection activeCell="G45" sqref="G45:O49"/>
    </sheetView>
  </sheetViews>
  <sheetFormatPr defaultColWidth="9.140625" defaultRowHeight="12.75" outlineLevelCol="1" x14ac:dyDescent="0.2"/>
  <cols>
    <col min="1" max="1" width="1.85546875" style="3" customWidth="1"/>
    <col min="2" max="2" width="11.28515625" style="4" customWidth="1"/>
    <col min="3" max="3" width="9.42578125" style="3" bestFit="1" customWidth="1"/>
    <col min="4" max="4" width="10" style="3" customWidth="1"/>
    <col min="5" max="5" width="15.28515625" style="3" customWidth="1"/>
    <col min="6" max="6" width="10.28515625" style="3" bestFit="1" customWidth="1"/>
    <col min="7" max="7" width="9.42578125" style="3" bestFit="1" customWidth="1"/>
    <col min="8" max="8" width="9.28515625" style="3" customWidth="1"/>
    <col min="9" max="9" width="10.42578125" style="3" bestFit="1" customWidth="1"/>
    <col min="10" max="10" width="10.7109375" style="3" customWidth="1"/>
    <col min="11" max="11" width="11.42578125" style="118" bestFit="1" customWidth="1"/>
    <col min="12" max="12" width="10.28515625" style="3" customWidth="1"/>
    <col min="13" max="13" width="10.140625" style="3" customWidth="1"/>
    <col min="14" max="14" width="11.5703125" style="3" customWidth="1"/>
    <col min="15" max="15" width="12.28515625" style="3" customWidth="1"/>
    <col min="16" max="16" width="14.7109375" style="3" customWidth="1"/>
    <col min="17" max="17" width="4.5703125" style="128" customWidth="1"/>
    <col min="18" max="18" width="4.28515625" style="3" customWidth="1" outlineLevel="1"/>
    <col min="19" max="19" width="10.5703125" style="3" customWidth="1" outlineLevel="1"/>
    <col min="20" max="25" width="9.140625" style="3" customWidth="1" outlineLevel="1"/>
    <col min="26" max="26" width="12.28515625" style="3" customWidth="1" outlineLevel="1"/>
    <col min="27" max="28" width="9.140625" style="3" customWidth="1" outlineLevel="1"/>
    <col min="29" max="16384" width="9.140625" style="3"/>
  </cols>
  <sheetData>
    <row r="1" spans="2:28" ht="9.75" customHeight="1" x14ac:dyDescent="0.2">
      <c r="B1" s="245"/>
    </row>
    <row r="2" spans="2:28" ht="17.25" customHeight="1" x14ac:dyDescent="0.2">
      <c r="B2" s="152" t="s">
        <v>184</v>
      </c>
    </row>
    <row r="3" spans="2:28" ht="9.75" customHeight="1" thickBot="1" x14ac:dyDescent="0.25">
      <c r="B3" s="245"/>
    </row>
    <row r="4" spans="2:28" ht="18" customHeight="1" thickBot="1" x14ac:dyDescent="0.25">
      <c r="B4" s="167" t="s">
        <v>185</v>
      </c>
      <c r="C4" s="169">
        <f ca="1">SUM(C8:C38)</f>
        <v>0</v>
      </c>
      <c r="D4" s="169"/>
      <c r="E4" s="169">
        <f ca="1">SUM(E8:E38)</f>
        <v>20742.195</v>
      </c>
      <c r="F4" s="169">
        <f t="shared" ref="F4:G4" ca="1" si="0">SUM(F8:F38)</f>
        <v>2602.1099999999997</v>
      </c>
      <c r="G4" s="169">
        <f t="shared" ca="1" si="0"/>
        <v>1650</v>
      </c>
      <c r="H4" s="169">
        <f>SUM(H8:H38)</f>
        <v>0</v>
      </c>
      <c r="I4" s="169">
        <f ca="1">SUM(I8:I38)</f>
        <v>17752.845066666665</v>
      </c>
      <c r="J4" s="171"/>
      <c r="K4" s="169">
        <f ca="1">SUM(K8:K38)</f>
        <v>53258.535199999998</v>
      </c>
      <c r="L4" s="173"/>
      <c r="M4" s="171"/>
      <c r="N4" s="171"/>
      <c r="O4" s="169">
        <f ca="1">SUM(O8:O38)</f>
        <v>4387.7</v>
      </c>
      <c r="P4" s="146">
        <f ca="1">SUM(P8:P38)</f>
        <v>0</v>
      </c>
      <c r="Q4" s="129"/>
      <c r="S4" s="147" t="s">
        <v>186</v>
      </c>
      <c r="U4" s="175">
        <v>50000</v>
      </c>
      <c r="V4" s="6"/>
      <c r="W4" s="6"/>
      <c r="X4" s="175">
        <f>U4*0.965</f>
        <v>48250</v>
      </c>
      <c r="Y4" s="6"/>
      <c r="Z4" s="6"/>
      <c r="AA4" s="6"/>
      <c r="AB4" s="6"/>
    </row>
    <row r="5" spans="2:28" ht="18" customHeight="1" thickBot="1" x14ac:dyDescent="0.25">
      <c r="B5" s="168" t="s">
        <v>187</v>
      </c>
      <c r="C5" s="170" t="str">
        <f ca="1">IFERROR((AVERAGEIF(C8:C38,"&lt;&gt;0")),"")</f>
        <v/>
      </c>
      <c r="D5" s="170"/>
      <c r="E5" s="170">
        <f t="shared" ref="E5:N5" ca="1" si="1">IFERROR((AVERAGEIF(E8:E38,"&lt;&gt;0")),"")</f>
        <v>1595.5534615384615</v>
      </c>
      <c r="F5" s="170">
        <f ca="1">IFERROR((AVERAGEIF(F8:F38,"&lt;&gt;0")),"")</f>
        <v>236.55545454545452</v>
      </c>
      <c r="G5" s="170">
        <f t="shared" ca="1" si="1"/>
        <v>126.92307692307692</v>
      </c>
      <c r="H5" s="170"/>
      <c r="I5" s="170">
        <f t="shared" ca="1" si="1"/>
        <v>2219.1056333333331</v>
      </c>
      <c r="J5" s="172">
        <f t="shared" ca="1" si="1"/>
        <v>1.386204979624124</v>
      </c>
      <c r="K5" s="170">
        <f t="shared" ca="1" si="1"/>
        <v>6657.3168999999998</v>
      </c>
      <c r="L5" s="172">
        <f ca="1">IFERROR((AVERAGEIF(L8:L38,"&lt;&gt;0")),"")</f>
        <v>4.1586149388723719</v>
      </c>
      <c r="M5" s="172">
        <f t="shared" ca="1" si="1"/>
        <v>3.8488819626700854</v>
      </c>
      <c r="N5" s="170">
        <f t="shared" ca="1" si="1"/>
        <v>118.86712993008544</v>
      </c>
      <c r="O5" s="174"/>
      <c r="P5" s="145"/>
      <c r="S5" s="147" t="s">
        <v>188</v>
      </c>
      <c r="U5" s="149">
        <f>U4/C51</f>
        <v>1666.6666666666667</v>
      </c>
      <c r="X5" s="149">
        <f>X4/30</f>
        <v>1608.3333333333333</v>
      </c>
      <c r="AA5" s="148">
        <v>1.5</v>
      </c>
    </row>
    <row r="6" spans="2:28" ht="9.75" customHeight="1" x14ac:dyDescent="0.2">
      <c r="B6" s="245"/>
    </row>
    <row r="7" spans="2:28" s="120" customFormat="1" ht="39" customHeight="1" x14ac:dyDescent="0.2">
      <c r="B7" s="122" t="s">
        <v>190</v>
      </c>
      <c r="C7" s="122" t="s">
        <v>208</v>
      </c>
      <c r="D7" s="122" t="s">
        <v>192</v>
      </c>
      <c r="E7" s="122" t="s">
        <v>193</v>
      </c>
      <c r="F7" s="122" t="s">
        <v>195</v>
      </c>
      <c r="G7" s="122" t="s">
        <v>196</v>
      </c>
      <c r="H7" s="122" t="s">
        <v>197</v>
      </c>
      <c r="I7" s="122" t="s">
        <v>250</v>
      </c>
      <c r="J7" s="122" t="s">
        <v>203</v>
      </c>
      <c r="K7" s="123" t="s">
        <v>204</v>
      </c>
      <c r="L7" s="122" t="s">
        <v>205</v>
      </c>
      <c r="M7" s="122" t="s">
        <v>206</v>
      </c>
      <c r="N7" s="122" t="s">
        <v>207</v>
      </c>
      <c r="O7" s="122" t="s">
        <v>251</v>
      </c>
      <c r="P7" s="122" t="s">
        <v>199</v>
      </c>
      <c r="Q7" s="130"/>
      <c r="S7" s="122" t="s">
        <v>190</v>
      </c>
      <c r="T7" s="122" t="s">
        <v>208</v>
      </c>
      <c r="U7" s="122" t="s">
        <v>209</v>
      </c>
      <c r="V7" s="126" t="s">
        <v>210</v>
      </c>
      <c r="W7" s="122" t="s">
        <v>211</v>
      </c>
      <c r="X7" s="122" t="s">
        <v>209</v>
      </c>
      <c r="Y7" s="126" t="s">
        <v>210</v>
      </c>
      <c r="Z7" s="133" t="s">
        <v>252</v>
      </c>
      <c r="AA7" s="122" t="s">
        <v>209</v>
      </c>
      <c r="AB7" s="126" t="s">
        <v>210</v>
      </c>
    </row>
    <row r="8" spans="2:28" x14ac:dyDescent="0.2">
      <c r="B8" s="117">
        <v>1</v>
      </c>
      <c r="C8" s="121">
        <f ca="1">IF(ISERROR(INDIRECT("'"&amp;B8&amp;"'!H20")),"",(INDIRECT("'"&amp;B8&amp;"'!H20")))</f>
        <v>0</v>
      </c>
      <c r="D8" s="121"/>
      <c r="E8" s="121">
        <f ca="1">IF(ISERROR(INDIRECT("'"&amp;B8&amp;"'!K41")),"",(INDIRECT("'"&amp;B8&amp;"'!K41")))</f>
        <v>1807.63</v>
      </c>
      <c r="F8" s="121">
        <f ca="1">IF(ISERROR(INDIRECT("'"&amp;B8&amp;"'!K38")),"",(INDIRECT("'"&amp;B8&amp;"'!K38")))</f>
        <v>0</v>
      </c>
      <c r="G8" s="121">
        <f ca="1">IF(ISERROR(INDIRECT("'"&amp;B8&amp;"'!K39")-H8),"",(INDIRECT("'"&amp;B8&amp;"'!K39")-H8))</f>
        <v>135</v>
      </c>
      <c r="H8" s="121"/>
      <c r="I8" s="121">
        <f t="shared" ref="I8:I38" ca="1" si="2">IF(ISERROR(INDIRECT("'"&amp;B8&amp;"'!M58")),"",(INDIRECT("'"&amp;B8&amp;"'!M58")))</f>
        <v>0</v>
      </c>
      <c r="J8" s="196">
        <f t="shared" ref="J8:J38" ca="1" si="3">IF(ISERROR(INDIRECT("'"&amp;B8&amp;"'!M59")),"",(INDIRECT("'"&amp;B8&amp;"'!M59")))</f>
        <v>0</v>
      </c>
      <c r="K8" s="121">
        <f t="shared" ref="K8:K38" ca="1" si="4">IF(ISERROR(INDIRECT("'"&amp;B8&amp;"'!L58")),"",(INDIRECT("'"&amp;B8&amp;"'!L58")))</f>
        <v>0</v>
      </c>
      <c r="L8" s="196">
        <f t="shared" ref="L8:L38" ca="1" si="5">IF(ISERROR(INDIRECT("'"&amp;B8&amp;"'!L59")),"",(INDIRECT("'"&amp;B8&amp;"'!L59")))</f>
        <v>0</v>
      </c>
      <c r="M8" s="196">
        <f t="shared" ref="M8:M38" ca="1" si="6">IF(ISERROR(INDIRECT("'"&amp;B8&amp;"'!H59")),"",(INDIRECT("'"&amp;B8&amp;"'!H59")))</f>
        <v>0</v>
      </c>
      <c r="N8" s="196">
        <f t="shared" ref="N8:N38" ca="1" si="7">IF(ISERROR(INDIRECT("'"&amp;B8&amp;"'!C59")),"",(INDIRECT("'"&amp;B8&amp;"'!C59")))</f>
        <v>0</v>
      </c>
      <c r="O8" s="121">
        <f t="shared" ref="O8:O38" ca="1" si="8">IF(ISERROR(INDIRECT("'"&amp;B8&amp;"'!D54")),"",(INDIRECT("'"&amp;B8&amp;"'!D54")))</f>
        <v>0</v>
      </c>
      <c r="P8" s="121">
        <f t="shared" ref="P8:P38" ca="1" si="9">IF(ISERROR(INDIRECT("'"&amp;B8&amp;"'!J18")),"",(INDIRECT("'"&amp;B8&amp;"'!J18")))</f>
        <v>0</v>
      </c>
      <c r="Q8" s="131"/>
      <c r="S8" s="117">
        <v>1</v>
      </c>
      <c r="T8" s="121">
        <f t="shared" ref="T8:T38" ca="1" si="10">C8</f>
        <v>0</v>
      </c>
      <c r="U8" s="125">
        <f>$U$5</f>
        <v>1666.6666666666667</v>
      </c>
      <c r="V8" s="132">
        <f ca="1">IF(T8&lt;U8,T8,"")</f>
        <v>0</v>
      </c>
      <c r="W8" s="125">
        <f t="shared" ref="W8:W38" ca="1" si="11">E8</f>
        <v>1807.63</v>
      </c>
      <c r="X8" s="125">
        <f>$X$5</f>
        <v>1608.3333333333333</v>
      </c>
      <c r="Y8" s="132" t="str">
        <f ca="1">IF(W8&lt;X8,W8,"")</f>
        <v/>
      </c>
      <c r="Z8" s="127">
        <f ca="1">J8</f>
        <v>0</v>
      </c>
      <c r="AA8" s="127">
        <f>$AA$5</f>
        <v>1.5</v>
      </c>
      <c r="AB8" s="150" t="str">
        <f t="shared" ref="AB8:AB38" ca="1" si="12">IF(Z8&gt;AA8,Z8,"")</f>
        <v/>
      </c>
    </row>
    <row r="9" spans="2:28" x14ac:dyDescent="0.2">
      <c r="B9" s="117">
        <v>2</v>
      </c>
      <c r="C9" s="121">
        <f t="shared" ref="C9:C38" ca="1" si="13">IF(ISERROR(INDIRECT("'"&amp;B9&amp;"'!H20")),"",(INDIRECT("'"&amp;B9&amp;"'!H20")))</f>
        <v>0</v>
      </c>
      <c r="D9" s="121"/>
      <c r="E9" s="121">
        <f t="shared" ref="E9:E38" ca="1" si="14">IF(ISERROR(INDIRECT("'"&amp;B9&amp;"'!K41")),"",(INDIRECT("'"&amp;B9&amp;"'!K41")))</f>
        <v>1542.88</v>
      </c>
      <c r="F9" s="121">
        <f t="shared" ref="F9:F38" ca="1" si="15">IF(ISERROR(INDIRECT("'"&amp;B9&amp;"'!K38")),"",(INDIRECT("'"&amp;B9&amp;"'!K38")))</f>
        <v>0</v>
      </c>
      <c r="G9" s="121">
        <f t="shared" ref="G9:G38" ca="1" si="16">IF(ISERROR(INDIRECT("'"&amp;B9&amp;"'!K39")-H9),"",(INDIRECT("'"&amp;B9&amp;"'!K39")-H9))</f>
        <v>165</v>
      </c>
      <c r="H9" s="121"/>
      <c r="I9" s="121">
        <f t="shared" ca="1" si="2"/>
        <v>0</v>
      </c>
      <c r="J9" s="196">
        <f t="shared" ca="1" si="3"/>
        <v>0</v>
      </c>
      <c r="K9" s="121">
        <f t="shared" ca="1" si="4"/>
        <v>0</v>
      </c>
      <c r="L9" s="196">
        <f t="shared" ca="1" si="5"/>
        <v>0</v>
      </c>
      <c r="M9" s="196">
        <f t="shared" ca="1" si="6"/>
        <v>0</v>
      </c>
      <c r="N9" s="196">
        <f t="shared" ca="1" si="7"/>
        <v>0</v>
      </c>
      <c r="O9" s="121">
        <f t="shared" ca="1" si="8"/>
        <v>136.19999999999999</v>
      </c>
      <c r="P9" s="121">
        <f t="shared" ca="1" si="9"/>
        <v>0</v>
      </c>
      <c r="Q9" s="131"/>
      <c r="S9" s="117">
        <v>2</v>
      </c>
      <c r="T9" s="121">
        <f t="shared" ca="1" si="10"/>
        <v>0</v>
      </c>
      <c r="U9" s="125">
        <f t="shared" ref="U9:U38" si="17">$U$5</f>
        <v>1666.6666666666667</v>
      </c>
      <c r="V9" s="132">
        <f t="shared" ref="V9:V38" ca="1" si="18">IF(T9&lt;U9,T9,"")</f>
        <v>0</v>
      </c>
      <c r="W9" s="125">
        <f t="shared" ca="1" si="11"/>
        <v>1542.88</v>
      </c>
      <c r="X9" s="125">
        <f t="shared" ref="X9:X38" si="19">$X$5</f>
        <v>1608.3333333333333</v>
      </c>
      <c r="Y9" s="132">
        <f t="shared" ref="Y9:Y38" ca="1" si="20">IF(W9&lt;X9,W9,"")</f>
        <v>1542.88</v>
      </c>
      <c r="Z9" s="127">
        <f t="shared" ref="Z9:Z38" ca="1" si="21">J9</f>
        <v>0</v>
      </c>
      <c r="AA9" s="127">
        <f t="shared" ref="AA9:AA38" si="22">$AA$5</f>
        <v>1.5</v>
      </c>
      <c r="AB9" s="150" t="str">
        <f t="shared" ca="1" si="12"/>
        <v/>
      </c>
    </row>
    <row r="10" spans="2:28" x14ac:dyDescent="0.2">
      <c r="B10" s="117">
        <v>3</v>
      </c>
      <c r="C10" s="121">
        <f t="shared" ca="1" si="13"/>
        <v>0</v>
      </c>
      <c r="D10" s="121"/>
      <c r="E10" s="121">
        <f t="shared" ca="1" si="14"/>
        <v>1416.35</v>
      </c>
      <c r="F10" s="121">
        <f t="shared" ca="1" si="15"/>
        <v>25.47</v>
      </c>
      <c r="G10" s="121">
        <f t="shared" ca="1" si="16"/>
        <v>105</v>
      </c>
      <c r="H10" s="121"/>
      <c r="I10" s="121">
        <f t="shared" ca="1" si="2"/>
        <v>0</v>
      </c>
      <c r="J10" s="196">
        <f t="shared" ca="1" si="3"/>
        <v>0</v>
      </c>
      <c r="K10" s="121">
        <f t="shared" ca="1" si="4"/>
        <v>0</v>
      </c>
      <c r="L10" s="196">
        <f t="shared" ca="1" si="5"/>
        <v>0</v>
      </c>
      <c r="M10" s="196">
        <f t="shared" ca="1" si="6"/>
        <v>0</v>
      </c>
      <c r="N10" s="196">
        <f t="shared" ca="1" si="7"/>
        <v>0</v>
      </c>
      <c r="O10" s="121">
        <f t="shared" ca="1" si="8"/>
        <v>544</v>
      </c>
      <c r="P10" s="121">
        <f t="shared" ca="1" si="9"/>
        <v>0</v>
      </c>
      <c r="Q10" s="131"/>
      <c r="S10" s="117">
        <v>3</v>
      </c>
      <c r="T10" s="121">
        <f t="shared" ca="1" si="10"/>
        <v>0</v>
      </c>
      <c r="U10" s="125">
        <f t="shared" si="17"/>
        <v>1666.6666666666667</v>
      </c>
      <c r="V10" s="132">
        <f t="shared" ca="1" si="18"/>
        <v>0</v>
      </c>
      <c r="W10" s="125">
        <f t="shared" ca="1" si="11"/>
        <v>1416.35</v>
      </c>
      <c r="X10" s="125">
        <f t="shared" si="19"/>
        <v>1608.3333333333333</v>
      </c>
      <c r="Y10" s="132">
        <f t="shared" ca="1" si="20"/>
        <v>1416.35</v>
      </c>
      <c r="Z10" s="127">
        <f t="shared" ca="1" si="21"/>
        <v>0</v>
      </c>
      <c r="AA10" s="127">
        <f t="shared" si="22"/>
        <v>1.5</v>
      </c>
      <c r="AB10" s="150" t="str">
        <f t="shared" ca="1" si="12"/>
        <v/>
      </c>
    </row>
    <row r="11" spans="2:28" x14ac:dyDescent="0.2">
      <c r="B11" s="117">
        <v>4</v>
      </c>
      <c r="C11" s="121">
        <f t="shared" ca="1" si="13"/>
        <v>0</v>
      </c>
      <c r="D11" s="121"/>
      <c r="E11" s="121">
        <f t="shared" ca="1" si="14"/>
        <v>1717.64</v>
      </c>
      <c r="F11" s="121">
        <f t="shared" ca="1" si="15"/>
        <v>252.3</v>
      </c>
      <c r="G11" s="121">
        <f t="shared" ca="1" si="16"/>
        <v>150</v>
      </c>
      <c r="H11" s="121"/>
      <c r="I11" s="121">
        <f t="shared" ca="1" si="2"/>
        <v>2182.3733333333334</v>
      </c>
      <c r="J11" s="196">
        <f t="shared" ca="1" si="3"/>
        <v>1.2396397215169261</v>
      </c>
      <c r="K11" s="121">
        <f t="shared" ca="1" si="4"/>
        <v>6547.12</v>
      </c>
      <c r="L11" s="196">
        <f t="shared" ca="1" si="5"/>
        <v>3.7189191645507784</v>
      </c>
      <c r="M11" s="196">
        <f t="shared" ca="1" si="6"/>
        <v>3.4018937909332059</v>
      </c>
      <c r="N11" s="196">
        <f t="shared" ca="1" si="7"/>
        <v>108.21419036745452</v>
      </c>
      <c r="O11" s="121">
        <f t="shared" ca="1" si="8"/>
        <v>405.5</v>
      </c>
      <c r="P11" s="121">
        <f t="shared" ca="1" si="9"/>
        <v>0</v>
      </c>
      <c r="Q11" s="131"/>
      <c r="S11" s="117">
        <v>4</v>
      </c>
      <c r="T11" s="121">
        <f t="shared" ca="1" si="10"/>
        <v>0</v>
      </c>
      <c r="U11" s="125">
        <f t="shared" si="17"/>
        <v>1666.6666666666667</v>
      </c>
      <c r="V11" s="132">
        <f t="shared" ca="1" si="18"/>
        <v>0</v>
      </c>
      <c r="W11" s="125">
        <f t="shared" ca="1" si="11"/>
        <v>1717.64</v>
      </c>
      <c r="X11" s="125">
        <f t="shared" si="19"/>
        <v>1608.3333333333333</v>
      </c>
      <c r="Y11" s="132" t="str">
        <f t="shared" ca="1" si="20"/>
        <v/>
      </c>
      <c r="Z11" s="127">
        <f t="shared" ca="1" si="21"/>
        <v>1.2396397215169261</v>
      </c>
      <c r="AA11" s="127">
        <f t="shared" si="22"/>
        <v>1.5</v>
      </c>
      <c r="AB11" s="150" t="str">
        <f t="shared" ca="1" si="12"/>
        <v/>
      </c>
    </row>
    <row r="12" spans="2:28" x14ac:dyDescent="0.2">
      <c r="B12" s="117">
        <v>5</v>
      </c>
      <c r="C12" s="121">
        <f t="shared" ca="1" si="13"/>
        <v>0</v>
      </c>
      <c r="D12" s="121"/>
      <c r="E12" s="121">
        <f t="shared" ca="1" si="14"/>
        <v>1433.83</v>
      </c>
      <c r="F12" s="121">
        <f t="shared" ca="1" si="15"/>
        <v>273.33</v>
      </c>
      <c r="G12" s="121">
        <f t="shared" ca="1" si="16"/>
        <v>165</v>
      </c>
      <c r="H12" s="121"/>
      <c r="I12" s="121">
        <f t="shared" ca="1" si="2"/>
        <v>2216.7366666666667</v>
      </c>
      <c r="J12" s="196">
        <f t="shared" ca="1" si="3"/>
        <v>1.3033340780721454</v>
      </c>
      <c r="K12" s="121">
        <f t="shared" ca="1" si="4"/>
        <v>6650.21</v>
      </c>
      <c r="L12" s="196">
        <f t="shared" ca="1" si="5"/>
        <v>3.9100022342164364</v>
      </c>
      <c r="M12" s="196">
        <f t="shared" ca="1" si="6"/>
        <v>3.3848379017179946</v>
      </c>
      <c r="N12" s="196">
        <f t="shared" ca="1" si="7"/>
        <v>0</v>
      </c>
      <c r="O12" s="121">
        <f t="shared" ca="1" si="8"/>
        <v>506.5</v>
      </c>
      <c r="P12" s="121">
        <f t="shared" ca="1" si="9"/>
        <v>0</v>
      </c>
      <c r="Q12" s="131"/>
      <c r="S12" s="117">
        <v>5</v>
      </c>
      <c r="T12" s="121">
        <f t="shared" ca="1" si="10"/>
        <v>0</v>
      </c>
      <c r="U12" s="125">
        <f t="shared" si="17"/>
        <v>1666.6666666666667</v>
      </c>
      <c r="V12" s="132">
        <f t="shared" ca="1" si="18"/>
        <v>0</v>
      </c>
      <c r="W12" s="125">
        <f t="shared" ca="1" si="11"/>
        <v>1433.83</v>
      </c>
      <c r="X12" s="125">
        <f t="shared" si="19"/>
        <v>1608.3333333333333</v>
      </c>
      <c r="Y12" s="132">
        <f t="shared" ca="1" si="20"/>
        <v>1433.83</v>
      </c>
      <c r="Z12" s="127">
        <f t="shared" ca="1" si="21"/>
        <v>1.3033340780721454</v>
      </c>
      <c r="AA12" s="127">
        <f t="shared" si="22"/>
        <v>1.5</v>
      </c>
      <c r="AB12" s="150" t="str">
        <f t="shared" ca="1" si="12"/>
        <v/>
      </c>
    </row>
    <row r="13" spans="2:28" x14ac:dyDescent="0.2">
      <c r="B13" s="117">
        <v>6</v>
      </c>
      <c r="C13" s="121">
        <f t="shared" ca="1" si="13"/>
        <v>0</v>
      </c>
      <c r="D13" s="121"/>
      <c r="E13" s="121">
        <f t="shared" ca="1" si="14"/>
        <v>1576.066</v>
      </c>
      <c r="F13" s="121">
        <f t="shared" ca="1" si="15"/>
        <v>199.47</v>
      </c>
      <c r="G13" s="121">
        <f t="shared" ca="1" si="16"/>
        <v>150</v>
      </c>
      <c r="H13" s="121"/>
      <c r="I13" s="121">
        <f t="shared" ca="1" si="2"/>
        <v>2208.8266666666664</v>
      </c>
      <c r="J13" s="196">
        <f t="shared" ca="1" si="3"/>
        <v>1.3799991669790495</v>
      </c>
      <c r="K13" s="121">
        <f t="shared" ca="1" si="4"/>
        <v>6626.48</v>
      </c>
      <c r="L13" s="196">
        <f t="shared" ca="1" si="5"/>
        <v>4.1399975009371488</v>
      </c>
      <c r="M13" s="196">
        <f t="shared" ca="1" si="6"/>
        <v>3.8085717855804075</v>
      </c>
      <c r="N13" s="196">
        <f t="shared" ca="1" si="7"/>
        <v>117.60589778832939</v>
      </c>
      <c r="O13" s="121">
        <f t="shared" ca="1" si="8"/>
        <v>361.5</v>
      </c>
      <c r="P13" s="121">
        <f t="shared" ca="1" si="9"/>
        <v>0</v>
      </c>
      <c r="Q13" s="131"/>
      <c r="S13" s="117">
        <v>6</v>
      </c>
      <c r="T13" s="121">
        <f t="shared" ca="1" si="10"/>
        <v>0</v>
      </c>
      <c r="U13" s="125">
        <f t="shared" si="17"/>
        <v>1666.6666666666667</v>
      </c>
      <c r="V13" s="132">
        <f t="shared" ca="1" si="18"/>
        <v>0</v>
      </c>
      <c r="W13" s="125">
        <f t="shared" ca="1" si="11"/>
        <v>1576.066</v>
      </c>
      <c r="X13" s="125">
        <f t="shared" si="19"/>
        <v>1608.3333333333333</v>
      </c>
      <c r="Y13" s="132">
        <f t="shared" ca="1" si="20"/>
        <v>1576.066</v>
      </c>
      <c r="Z13" s="127">
        <f t="shared" ca="1" si="21"/>
        <v>1.3799991669790495</v>
      </c>
      <c r="AA13" s="127">
        <f t="shared" si="22"/>
        <v>1.5</v>
      </c>
      <c r="AB13" s="150" t="str">
        <f t="shared" ca="1" si="12"/>
        <v/>
      </c>
    </row>
    <row r="14" spans="2:28" x14ac:dyDescent="0.2">
      <c r="B14" s="117">
        <v>7</v>
      </c>
      <c r="C14" s="121">
        <f t="shared" ca="1" si="13"/>
        <v>0</v>
      </c>
      <c r="D14" s="121"/>
      <c r="E14" s="121">
        <f t="shared" ca="1" si="14"/>
        <v>1395.4389999999999</v>
      </c>
      <c r="F14" s="121">
        <f t="shared" ca="1" si="15"/>
        <v>376.92</v>
      </c>
      <c r="G14" s="121">
        <f t="shared" ca="1" si="16"/>
        <v>90</v>
      </c>
      <c r="H14" s="121"/>
      <c r="I14" s="121">
        <f t="shared" ca="1" si="2"/>
        <v>2110.36</v>
      </c>
      <c r="J14" s="196">
        <f t="shared" ca="1" si="3"/>
        <v>1.8666666666666665</v>
      </c>
      <c r="K14" s="121">
        <f t="shared" ca="1" si="4"/>
        <v>6331.08</v>
      </c>
      <c r="L14" s="196">
        <f t="shared" ca="1" si="5"/>
        <v>5.5999999999999988</v>
      </c>
      <c r="M14" s="196">
        <f t="shared" ca="1" si="6"/>
        <v>5.513245765335455</v>
      </c>
      <c r="N14" s="196">
        <f t="shared" ca="1" si="7"/>
        <v>161.77966476493739</v>
      </c>
      <c r="O14" s="121">
        <f t="shared" ca="1" si="8"/>
        <v>165</v>
      </c>
      <c r="P14" s="121">
        <f t="shared" ca="1" si="9"/>
        <v>0</v>
      </c>
      <c r="Q14" s="131"/>
      <c r="S14" s="117">
        <v>7</v>
      </c>
      <c r="T14" s="121">
        <f t="shared" ca="1" si="10"/>
        <v>0</v>
      </c>
      <c r="U14" s="125">
        <f t="shared" si="17"/>
        <v>1666.6666666666667</v>
      </c>
      <c r="V14" s="132">
        <f t="shared" ca="1" si="18"/>
        <v>0</v>
      </c>
      <c r="W14" s="125">
        <f t="shared" ca="1" si="11"/>
        <v>1395.4389999999999</v>
      </c>
      <c r="X14" s="125">
        <f t="shared" si="19"/>
        <v>1608.3333333333333</v>
      </c>
      <c r="Y14" s="132">
        <f t="shared" ca="1" si="20"/>
        <v>1395.4389999999999</v>
      </c>
      <c r="Z14" s="127">
        <f t="shared" ca="1" si="21"/>
        <v>1.8666666666666665</v>
      </c>
      <c r="AA14" s="127">
        <f t="shared" si="22"/>
        <v>1.5</v>
      </c>
      <c r="AB14" s="150">
        <f t="shared" ca="1" si="12"/>
        <v>1.8666666666666665</v>
      </c>
    </row>
    <row r="15" spans="2:28" x14ac:dyDescent="0.2">
      <c r="B15" s="117">
        <v>8</v>
      </c>
      <c r="C15" s="121">
        <f t="shared" ca="1" si="13"/>
        <v>0</v>
      </c>
      <c r="D15" s="121"/>
      <c r="E15" s="121">
        <f t="shared" ca="1" si="14"/>
        <v>1254.46</v>
      </c>
      <c r="F15" s="121">
        <f t="shared" ca="1" si="15"/>
        <v>195</v>
      </c>
      <c r="G15" s="121">
        <f t="shared" ca="1" si="16"/>
        <v>75</v>
      </c>
      <c r="H15" s="121"/>
      <c r="I15" s="121">
        <f t="shared" ca="1" si="2"/>
        <v>0</v>
      </c>
      <c r="J15" s="196">
        <f t="shared" ca="1" si="3"/>
        <v>0</v>
      </c>
      <c r="K15" s="121">
        <f t="shared" ca="1" si="4"/>
        <v>0</v>
      </c>
      <c r="L15" s="196">
        <f t="shared" ca="1" si="5"/>
        <v>0</v>
      </c>
      <c r="M15" s="196">
        <f t="shared" ca="1" si="6"/>
        <v>0</v>
      </c>
      <c r="N15" s="196">
        <f t="shared" ca="1" si="7"/>
        <v>0</v>
      </c>
      <c r="O15" s="121">
        <f t="shared" ca="1" si="8"/>
        <v>325</v>
      </c>
      <c r="P15" s="121">
        <f t="shared" ca="1" si="9"/>
        <v>0</v>
      </c>
      <c r="Q15" s="131"/>
      <c r="S15" s="117">
        <v>8</v>
      </c>
      <c r="T15" s="121">
        <f t="shared" ca="1" si="10"/>
        <v>0</v>
      </c>
      <c r="U15" s="125">
        <f t="shared" si="17"/>
        <v>1666.6666666666667</v>
      </c>
      <c r="V15" s="132">
        <f t="shared" ca="1" si="18"/>
        <v>0</v>
      </c>
      <c r="W15" s="125">
        <f t="shared" ca="1" si="11"/>
        <v>1254.46</v>
      </c>
      <c r="X15" s="125">
        <f t="shared" si="19"/>
        <v>1608.3333333333333</v>
      </c>
      <c r="Y15" s="132">
        <f t="shared" ca="1" si="20"/>
        <v>1254.46</v>
      </c>
      <c r="Z15" s="127">
        <f t="shared" ca="1" si="21"/>
        <v>0</v>
      </c>
      <c r="AA15" s="127">
        <f t="shared" si="22"/>
        <v>1.5</v>
      </c>
      <c r="AB15" s="150" t="str">
        <f t="shared" ca="1" si="12"/>
        <v/>
      </c>
    </row>
    <row r="16" spans="2:28" x14ac:dyDescent="0.2">
      <c r="B16" s="117">
        <v>9</v>
      </c>
      <c r="C16" s="121">
        <f t="shared" ca="1" si="13"/>
        <v>0</v>
      </c>
      <c r="D16" s="121"/>
      <c r="E16" s="121">
        <f t="shared" ca="1" si="14"/>
        <v>1633.52</v>
      </c>
      <c r="F16" s="121">
        <f t="shared" ca="1" si="15"/>
        <v>165</v>
      </c>
      <c r="G16" s="121">
        <f t="shared" ca="1" si="16"/>
        <v>165</v>
      </c>
      <c r="H16" s="121"/>
      <c r="I16" s="121">
        <f t="shared" ca="1" si="2"/>
        <v>0</v>
      </c>
      <c r="J16" s="196">
        <f t="shared" ca="1" si="3"/>
        <v>0</v>
      </c>
      <c r="K16" s="121">
        <f t="shared" ca="1" si="4"/>
        <v>0</v>
      </c>
      <c r="L16" s="196">
        <f t="shared" ca="1" si="5"/>
        <v>0</v>
      </c>
      <c r="M16" s="196">
        <f t="shared" ca="1" si="6"/>
        <v>0</v>
      </c>
      <c r="N16" s="196">
        <f t="shared" ca="1" si="7"/>
        <v>0</v>
      </c>
      <c r="O16" s="121">
        <f t="shared" ca="1" si="8"/>
        <v>378</v>
      </c>
      <c r="P16" s="121">
        <f t="shared" ca="1" si="9"/>
        <v>0</v>
      </c>
      <c r="Q16" s="131"/>
      <c r="S16" s="117">
        <v>9</v>
      </c>
      <c r="T16" s="121">
        <f t="shared" ca="1" si="10"/>
        <v>0</v>
      </c>
      <c r="U16" s="125">
        <f t="shared" si="17"/>
        <v>1666.6666666666667</v>
      </c>
      <c r="V16" s="132">
        <f t="shared" ca="1" si="18"/>
        <v>0</v>
      </c>
      <c r="W16" s="125">
        <f t="shared" ca="1" si="11"/>
        <v>1633.52</v>
      </c>
      <c r="X16" s="125">
        <f t="shared" si="19"/>
        <v>1608.3333333333333</v>
      </c>
      <c r="Y16" s="132" t="str">
        <f t="shared" ca="1" si="20"/>
        <v/>
      </c>
      <c r="Z16" s="127">
        <f t="shared" ca="1" si="21"/>
        <v>0</v>
      </c>
      <c r="AA16" s="127">
        <f t="shared" si="22"/>
        <v>1.5</v>
      </c>
      <c r="AB16" s="150" t="str">
        <f t="shared" ca="1" si="12"/>
        <v/>
      </c>
    </row>
    <row r="17" spans="2:28" x14ac:dyDescent="0.2">
      <c r="B17" s="117">
        <v>10</v>
      </c>
      <c r="C17" s="121">
        <f t="shared" ca="1" si="13"/>
        <v>0</v>
      </c>
      <c r="D17" s="121"/>
      <c r="E17" s="121">
        <f t="shared" ca="1" si="14"/>
        <v>1539.0400000000002</v>
      </c>
      <c r="F17" s="121">
        <f t="shared" ca="1" si="15"/>
        <v>86.88</v>
      </c>
      <c r="G17" s="121">
        <f t="shared" ca="1" si="16"/>
        <v>150</v>
      </c>
      <c r="H17" s="121"/>
      <c r="I17" s="121">
        <f t="shared" ca="1" si="2"/>
        <v>2210.7799999999997</v>
      </c>
      <c r="J17" s="196">
        <f t="shared" ca="1" si="3"/>
        <v>1.2999999999999998</v>
      </c>
      <c r="K17" s="121">
        <f t="shared" ca="1" si="4"/>
        <v>6632.3399999999992</v>
      </c>
      <c r="L17" s="196">
        <f t="shared" ca="1" si="5"/>
        <v>3.9</v>
      </c>
      <c r="M17" s="196">
        <f t="shared" ca="1" si="6"/>
        <v>3.6357756086087267</v>
      </c>
      <c r="N17" s="196">
        <f t="shared" ca="1" si="7"/>
        <v>109.40844407856052</v>
      </c>
      <c r="O17" s="121">
        <f t="shared" ca="1" si="8"/>
        <v>546.5</v>
      </c>
      <c r="P17" s="121">
        <f t="shared" ca="1" si="9"/>
        <v>0</v>
      </c>
      <c r="Q17" s="131"/>
      <c r="S17" s="117">
        <v>10</v>
      </c>
      <c r="T17" s="121">
        <f t="shared" ca="1" si="10"/>
        <v>0</v>
      </c>
      <c r="U17" s="125">
        <f t="shared" si="17"/>
        <v>1666.6666666666667</v>
      </c>
      <c r="V17" s="132">
        <f t="shared" ca="1" si="18"/>
        <v>0</v>
      </c>
      <c r="W17" s="125">
        <f t="shared" ca="1" si="11"/>
        <v>1539.0400000000002</v>
      </c>
      <c r="X17" s="125">
        <f t="shared" si="19"/>
        <v>1608.3333333333333</v>
      </c>
      <c r="Y17" s="132">
        <f t="shared" ca="1" si="20"/>
        <v>1539.0400000000002</v>
      </c>
      <c r="Z17" s="127">
        <f t="shared" ca="1" si="21"/>
        <v>1.2999999999999998</v>
      </c>
      <c r="AA17" s="127">
        <f t="shared" si="22"/>
        <v>1.5</v>
      </c>
      <c r="AB17" s="150" t="str">
        <f t="shared" ca="1" si="12"/>
        <v/>
      </c>
    </row>
    <row r="18" spans="2:28" x14ac:dyDescent="0.2">
      <c r="B18" s="117">
        <v>11</v>
      </c>
      <c r="C18" s="121">
        <f t="shared" ca="1" si="13"/>
        <v>0</v>
      </c>
      <c r="D18" s="121"/>
      <c r="E18" s="121">
        <f t="shared" ca="1" si="14"/>
        <v>1816.01</v>
      </c>
      <c r="F18" s="121">
        <f t="shared" ca="1" si="15"/>
        <v>277.20999999999998</v>
      </c>
      <c r="G18" s="121">
        <f t="shared" ca="1" si="16"/>
        <v>120</v>
      </c>
      <c r="H18" s="121"/>
      <c r="I18" s="121">
        <f t="shared" ca="1" si="2"/>
        <v>2294.2633333333333</v>
      </c>
      <c r="J18" s="196">
        <f t="shared" ca="1" si="3"/>
        <v>1.3899992931649046</v>
      </c>
      <c r="K18" s="121">
        <f t="shared" ca="1" si="4"/>
        <v>6882.79</v>
      </c>
      <c r="L18" s="196">
        <f t="shared" ca="1" si="5"/>
        <v>4.1699978794947139</v>
      </c>
      <c r="M18" s="196">
        <f t="shared" ca="1" si="6"/>
        <v>3.7950986034958047</v>
      </c>
      <c r="N18" s="196">
        <f t="shared" ca="1" si="7"/>
        <v>114.11953591227167</v>
      </c>
      <c r="O18" s="121">
        <f t="shared" ca="1" si="8"/>
        <v>501.5</v>
      </c>
      <c r="P18" s="121">
        <f t="shared" ca="1" si="9"/>
        <v>0</v>
      </c>
      <c r="Q18" s="131"/>
      <c r="S18" s="117">
        <v>11</v>
      </c>
      <c r="T18" s="121">
        <f t="shared" ca="1" si="10"/>
        <v>0</v>
      </c>
      <c r="U18" s="125">
        <f t="shared" si="17"/>
        <v>1666.6666666666667</v>
      </c>
      <c r="V18" s="132">
        <f t="shared" ca="1" si="18"/>
        <v>0</v>
      </c>
      <c r="W18" s="125">
        <f t="shared" ca="1" si="11"/>
        <v>1816.01</v>
      </c>
      <c r="X18" s="125">
        <f t="shared" si="19"/>
        <v>1608.3333333333333</v>
      </c>
      <c r="Y18" s="132" t="str">
        <f t="shared" ca="1" si="20"/>
        <v/>
      </c>
      <c r="Z18" s="127">
        <f t="shared" ca="1" si="21"/>
        <v>1.3899992931649046</v>
      </c>
      <c r="AA18" s="127">
        <f t="shared" si="22"/>
        <v>1.5</v>
      </c>
      <c r="AB18" s="150" t="str">
        <f t="shared" ca="1" si="12"/>
        <v/>
      </c>
    </row>
    <row r="19" spans="2:28" x14ac:dyDescent="0.2">
      <c r="B19" s="117">
        <v>12</v>
      </c>
      <c r="C19" s="121">
        <f t="shared" ca="1" si="13"/>
        <v>0</v>
      </c>
      <c r="D19" s="121"/>
      <c r="E19" s="121">
        <f t="shared" ca="1" si="14"/>
        <v>1868.4199999999998</v>
      </c>
      <c r="F19" s="121">
        <f t="shared" ca="1" si="15"/>
        <v>330.14</v>
      </c>
      <c r="G19" s="121">
        <f t="shared" ca="1" si="16"/>
        <v>135</v>
      </c>
      <c r="H19" s="121"/>
      <c r="I19" s="121">
        <f t="shared" ca="1" si="2"/>
        <v>2276.7833333333333</v>
      </c>
      <c r="J19" s="196">
        <f t="shared" ca="1" si="3"/>
        <v>1.3233342439266333</v>
      </c>
      <c r="K19" s="121">
        <f t="shared" ca="1" si="4"/>
        <v>6830.35</v>
      </c>
      <c r="L19" s="196">
        <f t="shared" ca="1" si="5"/>
        <v>3.9700027317799003</v>
      </c>
      <c r="M19" s="196">
        <f t="shared" ca="1" si="6"/>
        <v>3.6367546454789044</v>
      </c>
      <c r="N19" s="196">
        <f t="shared" ca="1" si="7"/>
        <v>110.45109242134508</v>
      </c>
      <c r="O19" s="121">
        <f t="shared" ca="1" si="8"/>
        <v>274.5</v>
      </c>
      <c r="P19" s="121">
        <f t="shared" ca="1" si="9"/>
        <v>0</v>
      </c>
      <c r="Q19" s="131"/>
      <c r="S19" s="117">
        <v>12</v>
      </c>
      <c r="T19" s="121">
        <f t="shared" ca="1" si="10"/>
        <v>0</v>
      </c>
      <c r="U19" s="125">
        <f t="shared" si="17"/>
        <v>1666.6666666666667</v>
      </c>
      <c r="V19" s="132">
        <f t="shared" ca="1" si="18"/>
        <v>0</v>
      </c>
      <c r="W19" s="125">
        <f t="shared" ca="1" si="11"/>
        <v>1868.4199999999998</v>
      </c>
      <c r="X19" s="125">
        <f t="shared" si="19"/>
        <v>1608.3333333333333</v>
      </c>
      <c r="Y19" s="132" t="str">
        <f t="shared" ca="1" si="20"/>
        <v/>
      </c>
      <c r="Z19" s="127">
        <f t="shared" ca="1" si="21"/>
        <v>1.3233342439266333</v>
      </c>
      <c r="AA19" s="127">
        <f t="shared" si="22"/>
        <v>1.5</v>
      </c>
      <c r="AB19" s="150" t="str">
        <f t="shared" ca="1" si="12"/>
        <v/>
      </c>
    </row>
    <row r="20" spans="2:28" x14ac:dyDescent="0.2">
      <c r="B20" s="117">
        <v>13</v>
      </c>
      <c r="C20" s="121">
        <f t="shared" ca="1" si="13"/>
        <v>0</v>
      </c>
      <c r="D20" s="121"/>
      <c r="E20" s="121">
        <f t="shared" ca="1" si="14"/>
        <v>1740.9099999999999</v>
      </c>
      <c r="F20" s="121">
        <f t="shared" ca="1" si="15"/>
        <v>420.39</v>
      </c>
      <c r="G20" s="121">
        <f t="shared" ca="1" si="16"/>
        <v>45</v>
      </c>
      <c r="H20" s="121"/>
      <c r="I20" s="121">
        <f t="shared" ca="1" si="2"/>
        <v>2252.7217333333333</v>
      </c>
      <c r="J20" s="196">
        <f t="shared" ca="1" si="3"/>
        <v>1.2866666666666666</v>
      </c>
      <c r="K20" s="121">
        <f t="shared" ca="1" si="4"/>
        <v>6758.1651999999995</v>
      </c>
      <c r="L20" s="196">
        <f t="shared" ca="1" si="5"/>
        <v>3.86</v>
      </c>
      <c r="M20" s="196">
        <f t="shared" ca="1" si="6"/>
        <v>3.6148776002101872</v>
      </c>
      <c r="N20" s="196">
        <f t="shared" ca="1" si="7"/>
        <v>110.49108417769959</v>
      </c>
      <c r="O20" s="121">
        <f t="shared" ca="1" si="8"/>
        <v>243.5</v>
      </c>
      <c r="P20" s="121">
        <f t="shared" ca="1" si="9"/>
        <v>0</v>
      </c>
      <c r="Q20" s="131"/>
      <c r="S20" s="117">
        <v>13</v>
      </c>
      <c r="T20" s="121">
        <f t="shared" ca="1" si="10"/>
        <v>0</v>
      </c>
      <c r="U20" s="125">
        <f t="shared" si="17"/>
        <v>1666.6666666666667</v>
      </c>
      <c r="V20" s="132">
        <f t="shared" ca="1" si="18"/>
        <v>0</v>
      </c>
      <c r="W20" s="125">
        <f t="shared" ca="1" si="11"/>
        <v>1740.9099999999999</v>
      </c>
      <c r="X20" s="125">
        <f t="shared" si="19"/>
        <v>1608.3333333333333</v>
      </c>
      <c r="Y20" s="132" t="str">
        <f t="shared" ca="1" si="20"/>
        <v/>
      </c>
      <c r="Z20" s="127">
        <f t="shared" ca="1" si="21"/>
        <v>1.2866666666666666</v>
      </c>
      <c r="AA20" s="127">
        <f t="shared" si="22"/>
        <v>1.5</v>
      </c>
      <c r="AB20" s="150" t="str">
        <f t="shared" ca="1" si="12"/>
        <v/>
      </c>
    </row>
    <row r="21" spans="2:28" x14ac:dyDescent="0.2">
      <c r="B21" s="117">
        <v>14</v>
      </c>
      <c r="C21" s="121">
        <f t="shared" ca="1" si="13"/>
        <v>0</v>
      </c>
      <c r="D21" s="121"/>
      <c r="E21" s="121">
        <f t="shared" ca="1" si="14"/>
        <v>0</v>
      </c>
      <c r="F21" s="121">
        <f t="shared" ca="1" si="15"/>
        <v>0</v>
      </c>
      <c r="G21" s="121">
        <f t="shared" ca="1" si="16"/>
        <v>0</v>
      </c>
      <c r="H21" s="121"/>
      <c r="I21" s="121">
        <f t="shared" ca="1" si="2"/>
        <v>0</v>
      </c>
      <c r="J21" s="196">
        <f t="shared" ca="1" si="3"/>
        <v>0</v>
      </c>
      <c r="K21" s="121">
        <f t="shared" ca="1" si="4"/>
        <v>0</v>
      </c>
      <c r="L21" s="196">
        <f t="shared" ca="1" si="5"/>
        <v>0</v>
      </c>
      <c r="M21" s="196">
        <f t="shared" ca="1" si="6"/>
        <v>0</v>
      </c>
      <c r="N21" s="196">
        <f t="shared" ca="1" si="7"/>
        <v>0</v>
      </c>
      <c r="O21" s="121">
        <f t="shared" ca="1" si="8"/>
        <v>0</v>
      </c>
      <c r="P21" s="121">
        <f t="shared" ca="1" si="9"/>
        <v>0</v>
      </c>
      <c r="Q21" s="131"/>
      <c r="S21" s="117">
        <v>14</v>
      </c>
      <c r="T21" s="121">
        <f t="shared" ca="1" si="10"/>
        <v>0</v>
      </c>
      <c r="U21" s="125">
        <f t="shared" si="17"/>
        <v>1666.6666666666667</v>
      </c>
      <c r="V21" s="132">
        <f t="shared" ca="1" si="18"/>
        <v>0</v>
      </c>
      <c r="W21" s="125">
        <f t="shared" ca="1" si="11"/>
        <v>0</v>
      </c>
      <c r="X21" s="125">
        <f t="shared" si="19"/>
        <v>1608.3333333333333</v>
      </c>
      <c r="Y21" s="132">
        <f t="shared" ca="1" si="20"/>
        <v>0</v>
      </c>
      <c r="Z21" s="127">
        <f t="shared" ca="1" si="21"/>
        <v>0</v>
      </c>
      <c r="AA21" s="127">
        <f t="shared" si="22"/>
        <v>1.5</v>
      </c>
      <c r="AB21" s="150" t="str">
        <f t="shared" ca="1" si="12"/>
        <v/>
      </c>
    </row>
    <row r="22" spans="2:28" x14ac:dyDescent="0.2">
      <c r="B22" s="117">
        <v>15</v>
      </c>
      <c r="C22" s="121">
        <f t="shared" ca="1" si="13"/>
        <v>0</v>
      </c>
      <c r="D22" s="121"/>
      <c r="E22" s="121">
        <f t="shared" ca="1" si="14"/>
        <v>0</v>
      </c>
      <c r="F22" s="121">
        <f t="shared" ca="1" si="15"/>
        <v>0</v>
      </c>
      <c r="G22" s="121">
        <f t="shared" ca="1" si="16"/>
        <v>0</v>
      </c>
      <c r="H22" s="121"/>
      <c r="I22" s="121">
        <f t="shared" ca="1" si="2"/>
        <v>0</v>
      </c>
      <c r="J22" s="196" t="str">
        <f t="shared" ca="1" si="3"/>
        <v/>
      </c>
      <c r="K22" s="121">
        <f t="shared" ca="1" si="4"/>
        <v>0</v>
      </c>
      <c r="L22" s="196" t="str">
        <f t="shared" ca="1" si="5"/>
        <v/>
      </c>
      <c r="M22" s="196" t="str">
        <f t="shared" ca="1" si="6"/>
        <v/>
      </c>
      <c r="N22" s="196" t="str">
        <f t="shared" ca="1" si="7"/>
        <v/>
      </c>
      <c r="O22" s="121">
        <f t="shared" ca="1" si="8"/>
        <v>0</v>
      </c>
      <c r="P22" s="121">
        <f t="shared" ca="1" si="9"/>
        <v>0</v>
      </c>
      <c r="Q22" s="131"/>
      <c r="S22" s="117">
        <v>15</v>
      </c>
      <c r="T22" s="121">
        <f t="shared" ca="1" si="10"/>
        <v>0</v>
      </c>
      <c r="U22" s="125">
        <f t="shared" si="17"/>
        <v>1666.6666666666667</v>
      </c>
      <c r="V22" s="132">
        <f t="shared" ca="1" si="18"/>
        <v>0</v>
      </c>
      <c r="W22" s="125">
        <f t="shared" ca="1" si="11"/>
        <v>0</v>
      </c>
      <c r="X22" s="125">
        <f t="shared" si="19"/>
        <v>1608.3333333333333</v>
      </c>
      <c r="Y22" s="132">
        <f t="shared" ca="1" si="20"/>
        <v>0</v>
      </c>
      <c r="Z22" s="127" t="str">
        <f t="shared" ca="1" si="21"/>
        <v/>
      </c>
      <c r="AA22" s="127">
        <f t="shared" si="22"/>
        <v>1.5</v>
      </c>
      <c r="AB22" s="150" t="str">
        <f t="shared" ca="1" si="12"/>
        <v/>
      </c>
    </row>
    <row r="23" spans="2:28" x14ac:dyDescent="0.2">
      <c r="B23" s="117">
        <v>16</v>
      </c>
      <c r="C23" s="121">
        <f t="shared" ca="1" si="13"/>
        <v>0</v>
      </c>
      <c r="D23" s="121"/>
      <c r="E23" s="121">
        <f t="shared" ca="1" si="14"/>
        <v>0</v>
      </c>
      <c r="F23" s="121">
        <f t="shared" ca="1" si="15"/>
        <v>0</v>
      </c>
      <c r="G23" s="121">
        <f t="shared" ca="1" si="16"/>
        <v>0</v>
      </c>
      <c r="H23" s="121"/>
      <c r="I23" s="121">
        <f t="shared" ca="1" si="2"/>
        <v>0</v>
      </c>
      <c r="J23" s="196" t="str">
        <f t="shared" ca="1" si="3"/>
        <v/>
      </c>
      <c r="K23" s="121">
        <f t="shared" ca="1" si="4"/>
        <v>0</v>
      </c>
      <c r="L23" s="196" t="str">
        <f t="shared" ca="1" si="5"/>
        <v/>
      </c>
      <c r="M23" s="196" t="str">
        <f t="shared" ca="1" si="6"/>
        <v/>
      </c>
      <c r="N23" s="196" t="str">
        <f t="shared" ca="1" si="7"/>
        <v/>
      </c>
      <c r="O23" s="121">
        <f t="shared" ca="1" si="8"/>
        <v>0</v>
      </c>
      <c r="P23" s="121">
        <f t="shared" ca="1" si="9"/>
        <v>0</v>
      </c>
      <c r="Q23" s="131"/>
      <c r="S23" s="117">
        <v>16</v>
      </c>
      <c r="T23" s="121">
        <f t="shared" ca="1" si="10"/>
        <v>0</v>
      </c>
      <c r="U23" s="125">
        <f t="shared" si="17"/>
        <v>1666.6666666666667</v>
      </c>
      <c r="V23" s="132">
        <f t="shared" ca="1" si="18"/>
        <v>0</v>
      </c>
      <c r="W23" s="125">
        <f t="shared" ca="1" si="11"/>
        <v>0</v>
      </c>
      <c r="X23" s="125">
        <f t="shared" si="19"/>
        <v>1608.3333333333333</v>
      </c>
      <c r="Y23" s="132">
        <f t="shared" ca="1" si="20"/>
        <v>0</v>
      </c>
      <c r="Z23" s="127" t="str">
        <f t="shared" ca="1" si="21"/>
        <v/>
      </c>
      <c r="AA23" s="127">
        <f t="shared" si="22"/>
        <v>1.5</v>
      </c>
      <c r="AB23" s="150" t="str">
        <f t="shared" ca="1" si="12"/>
        <v/>
      </c>
    </row>
    <row r="24" spans="2:28" x14ac:dyDescent="0.2">
      <c r="B24" s="117">
        <v>17</v>
      </c>
      <c r="C24" s="121">
        <f t="shared" ca="1" si="13"/>
        <v>0</v>
      </c>
      <c r="D24" s="121"/>
      <c r="E24" s="121">
        <f t="shared" ca="1" si="14"/>
        <v>0</v>
      </c>
      <c r="F24" s="121">
        <f t="shared" ca="1" si="15"/>
        <v>0</v>
      </c>
      <c r="G24" s="121">
        <f t="shared" ca="1" si="16"/>
        <v>0</v>
      </c>
      <c r="H24" s="121"/>
      <c r="I24" s="121">
        <f t="shared" ca="1" si="2"/>
        <v>0</v>
      </c>
      <c r="J24" s="196" t="str">
        <f t="shared" ca="1" si="3"/>
        <v/>
      </c>
      <c r="K24" s="121">
        <f t="shared" ca="1" si="4"/>
        <v>0</v>
      </c>
      <c r="L24" s="196" t="str">
        <f t="shared" ca="1" si="5"/>
        <v/>
      </c>
      <c r="M24" s="196" t="str">
        <f t="shared" ca="1" si="6"/>
        <v/>
      </c>
      <c r="N24" s="196" t="str">
        <f t="shared" ca="1" si="7"/>
        <v/>
      </c>
      <c r="O24" s="121">
        <f t="shared" ca="1" si="8"/>
        <v>0</v>
      </c>
      <c r="P24" s="121">
        <f t="shared" ca="1" si="9"/>
        <v>0</v>
      </c>
      <c r="Q24" s="131"/>
      <c r="S24" s="117">
        <v>17</v>
      </c>
      <c r="T24" s="121">
        <f t="shared" ca="1" si="10"/>
        <v>0</v>
      </c>
      <c r="U24" s="125">
        <f t="shared" si="17"/>
        <v>1666.6666666666667</v>
      </c>
      <c r="V24" s="132">
        <f t="shared" ca="1" si="18"/>
        <v>0</v>
      </c>
      <c r="W24" s="125">
        <f t="shared" ca="1" si="11"/>
        <v>0</v>
      </c>
      <c r="X24" s="125">
        <f t="shared" si="19"/>
        <v>1608.3333333333333</v>
      </c>
      <c r="Y24" s="132">
        <f t="shared" ca="1" si="20"/>
        <v>0</v>
      </c>
      <c r="Z24" s="127" t="str">
        <f t="shared" ca="1" si="21"/>
        <v/>
      </c>
      <c r="AA24" s="127">
        <f t="shared" si="22"/>
        <v>1.5</v>
      </c>
      <c r="AB24" s="150" t="str">
        <f t="shared" ca="1" si="12"/>
        <v/>
      </c>
    </row>
    <row r="25" spans="2:28" x14ac:dyDescent="0.2">
      <c r="B25" s="117">
        <v>18</v>
      </c>
      <c r="C25" s="121">
        <f t="shared" ca="1" si="13"/>
        <v>0</v>
      </c>
      <c r="D25" s="121"/>
      <c r="E25" s="121">
        <f t="shared" ca="1" si="14"/>
        <v>0</v>
      </c>
      <c r="F25" s="121">
        <f t="shared" ca="1" si="15"/>
        <v>0</v>
      </c>
      <c r="G25" s="121">
        <f t="shared" ca="1" si="16"/>
        <v>0</v>
      </c>
      <c r="H25" s="121"/>
      <c r="I25" s="121">
        <f t="shared" ca="1" si="2"/>
        <v>0</v>
      </c>
      <c r="J25" s="196" t="str">
        <f t="shared" ca="1" si="3"/>
        <v/>
      </c>
      <c r="K25" s="121">
        <f t="shared" ca="1" si="4"/>
        <v>0</v>
      </c>
      <c r="L25" s="196" t="str">
        <f t="shared" ca="1" si="5"/>
        <v/>
      </c>
      <c r="M25" s="196" t="str">
        <f t="shared" ca="1" si="6"/>
        <v/>
      </c>
      <c r="N25" s="196" t="str">
        <f t="shared" ca="1" si="7"/>
        <v/>
      </c>
      <c r="O25" s="121">
        <f t="shared" ca="1" si="8"/>
        <v>0</v>
      </c>
      <c r="P25" s="121">
        <f t="shared" ca="1" si="9"/>
        <v>0</v>
      </c>
      <c r="Q25" s="131"/>
      <c r="S25" s="117">
        <v>18</v>
      </c>
      <c r="T25" s="121">
        <f t="shared" ca="1" si="10"/>
        <v>0</v>
      </c>
      <c r="U25" s="125">
        <f t="shared" si="17"/>
        <v>1666.6666666666667</v>
      </c>
      <c r="V25" s="132">
        <f t="shared" ca="1" si="18"/>
        <v>0</v>
      </c>
      <c r="W25" s="125">
        <f t="shared" ca="1" si="11"/>
        <v>0</v>
      </c>
      <c r="X25" s="125">
        <f t="shared" si="19"/>
        <v>1608.3333333333333</v>
      </c>
      <c r="Y25" s="132">
        <f t="shared" ca="1" si="20"/>
        <v>0</v>
      </c>
      <c r="Z25" s="127" t="str">
        <f t="shared" ca="1" si="21"/>
        <v/>
      </c>
      <c r="AA25" s="127">
        <f t="shared" si="22"/>
        <v>1.5</v>
      </c>
      <c r="AB25" s="150" t="str">
        <f t="shared" ca="1" si="12"/>
        <v/>
      </c>
    </row>
    <row r="26" spans="2:28" x14ac:dyDescent="0.2">
      <c r="B26" s="117">
        <v>19</v>
      </c>
      <c r="C26" s="121">
        <f t="shared" ca="1" si="13"/>
        <v>0</v>
      </c>
      <c r="D26" s="121"/>
      <c r="E26" s="121">
        <f t="shared" ca="1" si="14"/>
        <v>0</v>
      </c>
      <c r="F26" s="121">
        <f t="shared" ca="1" si="15"/>
        <v>0</v>
      </c>
      <c r="G26" s="121">
        <f t="shared" ca="1" si="16"/>
        <v>0</v>
      </c>
      <c r="H26" s="121"/>
      <c r="I26" s="121">
        <f t="shared" ca="1" si="2"/>
        <v>0</v>
      </c>
      <c r="J26" s="196" t="str">
        <f t="shared" ca="1" si="3"/>
        <v/>
      </c>
      <c r="K26" s="121">
        <f t="shared" ca="1" si="4"/>
        <v>0</v>
      </c>
      <c r="L26" s="196" t="str">
        <f t="shared" ca="1" si="5"/>
        <v/>
      </c>
      <c r="M26" s="196" t="str">
        <f t="shared" ca="1" si="6"/>
        <v/>
      </c>
      <c r="N26" s="196" t="str">
        <f t="shared" ca="1" si="7"/>
        <v/>
      </c>
      <c r="O26" s="121">
        <f t="shared" ca="1" si="8"/>
        <v>0</v>
      </c>
      <c r="P26" s="121">
        <f t="shared" ca="1" si="9"/>
        <v>0</v>
      </c>
      <c r="Q26" s="131"/>
      <c r="S26" s="117">
        <v>19</v>
      </c>
      <c r="T26" s="121">
        <f t="shared" ca="1" si="10"/>
        <v>0</v>
      </c>
      <c r="U26" s="125">
        <f t="shared" si="17"/>
        <v>1666.6666666666667</v>
      </c>
      <c r="V26" s="132">
        <f t="shared" ca="1" si="18"/>
        <v>0</v>
      </c>
      <c r="W26" s="125">
        <f t="shared" ca="1" si="11"/>
        <v>0</v>
      </c>
      <c r="X26" s="125">
        <f t="shared" si="19"/>
        <v>1608.3333333333333</v>
      </c>
      <c r="Y26" s="132">
        <f t="shared" ca="1" si="20"/>
        <v>0</v>
      </c>
      <c r="Z26" s="127" t="str">
        <f t="shared" ca="1" si="21"/>
        <v/>
      </c>
      <c r="AA26" s="127">
        <f t="shared" si="22"/>
        <v>1.5</v>
      </c>
      <c r="AB26" s="150" t="str">
        <f t="shared" ca="1" si="12"/>
        <v/>
      </c>
    </row>
    <row r="27" spans="2:28" x14ac:dyDescent="0.2">
      <c r="B27" s="117">
        <v>20</v>
      </c>
      <c r="C27" s="121">
        <f t="shared" ca="1" si="13"/>
        <v>0</v>
      </c>
      <c r="D27" s="121"/>
      <c r="E27" s="121">
        <f t="shared" ca="1" si="14"/>
        <v>0</v>
      </c>
      <c r="F27" s="121">
        <f t="shared" ca="1" si="15"/>
        <v>0</v>
      </c>
      <c r="G27" s="121">
        <f t="shared" ca="1" si="16"/>
        <v>0</v>
      </c>
      <c r="H27" s="121"/>
      <c r="I27" s="121">
        <f t="shared" ca="1" si="2"/>
        <v>0</v>
      </c>
      <c r="J27" s="196" t="str">
        <f t="shared" ca="1" si="3"/>
        <v/>
      </c>
      <c r="K27" s="121">
        <f t="shared" ca="1" si="4"/>
        <v>0</v>
      </c>
      <c r="L27" s="196" t="str">
        <f t="shared" ca="1" si="5"/>
        <v/>
      </c>
      <c r="M27" s="196" t="str">
        <f t="shared" ca="1" si="6"/>
        <v/>
      </c>
      <c r="N27" s="196" t="str">
        <f t="shared" ca="1" si="7"/>
        <v/>
      </c>
      <c r="O27" s="121">
        <f t="shared" ca="1" si="8"/>
        <v>0</v>
      </c>
      <c r="P27" s="121">
        <f t="shared" ca="1" si="9"/>
        <v>0</v>
      </c>
      <c r="Q27" s="131"/>
      <c r="S27" s="117">
        <v>20</v>
      </c>
      <c r="T27" s="121">
        <f t="shared" ca="1" si="10"/>
        <v>0</v>
      </c>
      <c r="U27" s="125">
        <f t="shared" si="17"/>
        <v>1666.6666666666667</v>
      </c>
      <c r="V27" s="132">
        <f t="shared" ca="1" si="18"/>
        <v>0</v>
      </c>
      <c r="W27" s="125">
        <f t="shared" ca="1" si="11"/>
        <v>0</v>
      </c>
      <c r="X27" s="125">
        <f t="shared" si="19"/>
        <v>1608.3333333333333</v>
      </c>
      <c r="Y27" s="132">
        <f t="shared" ca="1" si="20"/>
        <v>0</v>
      </c>
      <c r="Z27" s="127" t="str">
        <f t="shared" ca="1" si="21"/>
        <v/>
      </c>
      <c r="AA27" s="127">
        <f t="shared" si="22"/>
        <v>1.5</v>
      </c>
      <c r="AB27" s="150" t="str">
        <f t="shared" ca="1" si="12"/>
        <v/>
      </c>
    </row>
    <row r="28" spans="2:28" x14ac:dyDescent="0.2">
      <c r="B28" s="117">
        <v>21</v>
      </c>
      <c r="C28" s="121">
        <f t="shared" ca="1" si="13"/>
        <v>0</v>
      </c>
      <c r="D28" s="121"/>
      <c r="E28" s="121">
        <f t="shared" ca="1" si="14"/>
        <v>0</v>
      </c>
      <c r="F28" s="121">
        <f t="shared" ca="1" si="15"/>
        <v>0</v>
      </c>
      <c r="G28" s="121">
        <f t="shared" ca="1" si="16"/>
        <v>0</v>
      </c>
      <c r="H28" s="121"/>
      <c r="I28" s="121">
        <f t="shared" ca="1" si="2"/>
        <v>0</v>
      </c>
      <c r="J28" s="196" t="str">
        <f t="shared" ca="1" si="3"/>
        <v/>
      </c>
      <c r="K28" s="121">
        <f t="shared" ca="1" si="4"/>
        <v>0</v>
      </c>
      <c r="L28" s="196" t="str">
        <f t="shared" ca="1" si="5"/>
        <v/>
      </c>
      <c r="M28" s="196" t="str">
        <f t="shared" ca="1" si="6"/>
        <v/>
      </c>
      <c r="N28" s="196" t="str">
        <f t="shared" ca="1" si="7"/>
        <v/>
      </c>
      <c r="O28" s="121">
        <f t="shared" ca="1" si="8"/>
        <v>0</v>
      </c>
      <c r="P28" s="121">
        <f t="shared" ca="1" si="9"/>
        <v>0</v>
      </c>
      <c r="Q28" s="131"/>
      <c r="S28" s="117">
        <v>21</v>
      </c>
      <c r="T28" s="121">
        <f t="shared" ca="1" si="10"/>
        <v>0</v>
      </c>
      <c r="U28" s="125">
        <f t="shared" si="17"/>
        <v>1666.6666666666667</v>
      </c>
      <c r="V28" s="132">
        <f t="shared" ca="1" si="18"/>
        <v>0</v>
      </c>
      <c r="W28" s="125">
        <f t="shared" ca="1" si="11"/>
        <v>0</v>
      </c>
      <c r="X28" s="125">
        <f t="shared" si="19"/>
        <v>1608.3333333333333</v>
      </c>
      <c r="Y28" s="132">
        <f t="shared" ca="1" si="20"/>
        <v>0</v>
      </c>
      <c r="Z28" s="127" t="str">
        <f t="shared" ca="1" si="21"/>
        <v/>
      </c>
      <c r="AA28" s="127">
        <f t="shared" si="22"/>
        <v>1.5</v>
      </c>
      <c r="AB28" s="150" t="str">
        <f t="shared" ca="1" si="12"/>
        <v/>
      </c>
    </row>
    <row r="29" spans="2:28" x14ac:dyDescent="0.2">
      <c r="B29" s="117">
        <v>22</v>
      </c>
      <c r="C29" s="121">
        <f t="shared" ca="1" si="13"/>
        <v>0</v>
      </c>
      <c r="D29" s="121"/>
      <c r="E29" s="121">
        <f t="shared" ca="1" si="14"/>
        <v>0</v>
      </c>
      <c r="F29" s="121">
        <f t="shared" ca="1" si="15"/>
        <v>0</v>
      </c>
      <c r="G29" s="121">
        <f t="shared" ca="1" si="16"/>
        <v>0</v>
      </c>
      <c r="H29" s="121"/>
      <c r="I29" s="121">
        <f t="shared" ca="1" si="2"/>
        <v>0</v>
      </c>
      <c r="J29" s="196" t="str">
        <f t="shared" ca="1" si="3"/>
        <v/>
      </c>
      <c r="K29" s="121">
        <f t="shared" ca="1" si="4"/>
        <v>0</v>
      </c>
      <c r="L29" s="196" t="str">
        <f t="shared" ca="1" si="5"/>
        <v/>
      </c>
      <c r="M29" s="196" t="str">
        <f t="shared" ca="1" si="6"/>
        <v/>
      </c>
      <c r="N29" s="196" t="str">
        <f t="shared" ca="1" si="7"/>
        <v/>
      </c>
      <c r="O29" s="121">
        <f t="shared" ca="1" si="8"/>
        <v>0</v>
      </c>
      <c r="P29" s="121">
        <f t="shared" ca="1" si="9"/>
        <v>0</v>
      </c>
      <c r="Q29" s="131"/>
      <c r="S29" s="117">
        <v>22</v>
      </c>
      <c r="T29" s="121">
        <f t="shared" ca="1" si="10"/>
        <v>0</v>
      </c>
      <c r="U29" s="125">
        <f t="shared" si="17"/>
        <v>1666.6666666666667</v>
      </c>
      <c r="V29" s="132">
        <f t="shared" ca="1" si="18"/>
        <v>0</v>
      </c>
      <c r="W29" s="125">
        <f t="shared" ca="1" si="11"/>
        <v>0</v>
      </c>
      <c r="X29" s="125">
        <f t="shared" si="19"/>
        <v>1608.3333333333333</v>
      </c>
      <c r="Y29" s="132">
        <f t="shared" ca="1" si="20"/>
        <v>0</v>
      </c>
      <c r="Z29" s="127" t="str">
        <f t="shared" ca="1" si="21"/>
        <v/>
      </c>
      <c r="AA29" s="127">
        <f t="shared" si="22"/>
        <v>1.5</v>
      </c>
      <c r="AB29" s="150" t="str">
        <f t="shared" ca="1" si="12"/>
        <v/>
      </c>
    </row>
    <row r="30" spans="2:28" x14ac:dyDescent="0.2">
      <c r="B30" s="117">
        <v>23</v>
      </c>
      <c r="C30" s="121">
        <f t="shared" ca="1" si="13"/>
        <v>0</v>
      </c>
      <c r="D30" s="121"/>
      <c r="E30" s="121">
        <f t="shared" ca="1" si="14"/>
        <v>0</v>
      </c>
      <c r="F30" s="121">
        <f t="shared" ca="1" si="15"/>
        <v>0</v>
      </c>
      <c r="G30" s="121">
        <f t="shared" ca="1" si="16"/>
        <v>0</v>
      </c>
      <c r="H30" s="121"/>
      <c r="I30" s="121">
        <f t="shared" ca="1" si="2"/>
        <v>0</v>
      </c>
      <c r="J30" s="196" t="str">
        <f t="shared" ca="1" si="3"/>
        <v/>
      </c>
      <c r="K30" s="121">
        <f t="shared" ca="1" si="4"/>
        <v>0</v>
      </c>
      <c r="L30" s="196" t="str">
        <f t="shared" ca="1" si="5"/>
        <v/>
      </c>
      <c r="M30" s="196" t="str">
        <f t="shared" ca="1" si="6"/>
        <v/>
      </c>
      <c r="N30" s="196" t="str">
        <f t="shared" ca="1" si="7"/>
        <v/>
      </c>
      <c r="O30" s="121">
        <f t="shared" ca="1" si="8"/>
        <v>0</v>
      </c>
      <c r="P30" s="121">
        <f t="shared" ca="1" si="9"/>
        <v>0</v>
      </c>
      <c r="Q30" s="131"/>
      <c r="S30" s="117">
        <v>23</v>
      </c>
      <c r="T30" s="121">
        <f t="shared" ca="1" si="10"/>
        <v>0</v>
      </c>
      <c r="U30" s="125">
        <f t="shared" si="17"/>
        <v>1666.6666666666667</v>
      </c>
      <c r="V30" s="132">
        <f t="shared" ca="1" si="18"/>
        <v>0</v>
      </c>
      <c r="W30" s="125">
        <f t="shared" ca="1" si="11"/>
        <v>0</v>
      </c>
      <c r="X30" s="125">
        <f t="shared" si="19"/>
        <v>1608.3333333333333</v>
      </c>
      <c r="Y30" s="132">
        <f t="shared" ca="1" si="20"/>
        <v>0</v>
      </c>
      <c r="Z30" s="127" t="str">
        <f t="shared" ca="1" si="21"/>
        <v/>
      </c>
      <c r="AA30" s="127">
        <f t="shared" si="22"/>
        <v>1.5</v>
      </c>
      <c r="AB30" s="150" t="str">
        <f t="shared" ca="1" si="12"/>
        <v/>
      </c>
    </row>
    <row r="31" spans="2:28" x14ac:dyDescent="0.2">
      <c r="B31" s="117">
        <v>24</v>
      </c>
      <c r="C31" s="121">
        <f t="shared" ca="1" si="13"/>
        <v>0</v>
      </c>
      <c r="D31" s="121"/>
      <c r="E31" s="121">
        <f t="shared" ca="1" si="14"/>
        <v>0</v>
      </c>
      <c r="F31" s="121">
        <f t="shared" ca="1" si="15"/>
        <v>0</v>
      </c>
      <c r="G31" s="121">
        <f t="shared" ca="1" si="16"/>
        <v>0</v>
      </c>
      <c r="H31" s="121"/>
      <c r="I31" s="121">
        <f t="shared" ca="1" si="2"/>
        <v>0</v>
      </c>
      <c r="J31" s="196" t="str">
        <f t="shared" ca="1" si="3"/>
        <v/>
      </c>
      <c r="K31" s="121">
        <f t="shared" ca="1" si="4"/>
        <v>0</v>
      </c>
      <c r="L31" s="196" t="str">
        <f t="shared" ca="1" si="5"/>
        <v/>
      </c>
      <c r="M31" s="196" t="str">
        <f t="shared" ca="1" si="6"/>
        <v/>
      </c>
      <c r="N31" s="196" t="str">
        <f t="shared" ca="1" si="7"/>
        <v/>
      </c>
      <c r="O31" s="121">
        <f t="shared" ca="1" si="8"/>
        <v>0</v>
      </c>
      <c r="P31" s="121">
        <f t="shared" ca="1" si="9"/>
        <v>0</v>
      </c>
      <c r="Q31" s="131"/>
      <c r="S31" s="117">
        <v>24</v>
      </c>
      <c r="T31" s="121">
        <f t="shared" ca="1" si="10"/>
        <v>0</v>
      </c>
      <c r="U31" s="125">
        <f t="shared" si="17"/>
        <v>1666.6666666666667</v>
      </c>
      <c r="V31" s="132">
        <f t="shared" ca="1" si="18"/>
        <v>0</v>
      </c>
      <c r="W31" s="125">
        <f t="shared" ca="1" si="11"/>
        <v>0</v>
      </c>
      <c r="X31" s="125">
        <f t="shared" si="19"/>
        <v>1608.3333333333333</v>
      </c>
      <c r="Y31" s="132">
        <f t="shared" ca="1" si="20"/>
        <v>0</v>
      </c>
      <c r="Z31" s="127" t="str">
        <f t="shared" ca="1" si="21"/>
        <v/>
      </c>
      <c r="AA31" s="127">
        <f t="shared" si="22"/>
        <v>1.5</v>
      </c>
      <c r="AB31" s="150" t="str">
        <f t="shared" ca="1" si="12"/>
        <v/>
      </c>
    </row>
    <row r="32" spans="2:28" x14ac:dyDescent="0.2">
      <c r="B32" s="117">
        <v>25</v>
      </c>
      <c r="C32" s="121">
        <f t="shared" ca="1" si="13"/>
        <v>0</v>
      </c>
      <c r="D32" s="121"/>
      <c r="E32" s="121">
        <f t="shared" ca="1" si="14"/>
        <v>0</v>
      </c>
      <c r="F32" s="121">
        <f t="shared" ca="1" si="15"/>
        <v>0</v>
      </c>
      <c r="G32" s="121">
        <f t="shared" ca="1" si="16"/>
        <v>0</v>
      </c>
      <c r="H32" s="121"/>
      <c r="I32" s="121">
        <f t="shared" ca="1" si="2"/>
        <v>0</v>
      </c>
      <c r="J32" s="196" t="str">
        <f t="shared" ca="1" si="3"/>
        <v/>
      </c>
      <c r="K32" s="121">
        <f t="shared" ca="1" si="4"/>
        <v>0</v>
      </c>
      <c r="L32" s="196" t="str">
        <f t="shared" ca="1" si="5"/>
        <v/>
      </c>
      <c r="M32" s="196" t="str">
        <f t="shared" ca="1" si="6"/>
        <v/>
      </c>
      <c r="N32" s="196" t="str">
        <f t="shared" ca="1" si="7"/>
        <v/>
      </c>
      <c r="O32" s="121">
        <f t="shared" ca="1" si="8"/>
        <v>0</v>
      </c>
      <c r="P32" s="121">
        <f t="shared" ca="1" si="9"/>
        <v>0</v>
      </c>
      <c r="Q32" s="131"/>
      <c r="S32" s="117">
        <v>25</v>
      </c>
      <c r="T32" s="121">
        <f t="shared" ca="1" si="10"/>
        <v>0</v>
      </c>
      <c r="U32" s="125">
        <f t="shared" si="17"/>
        <v>1666.6666666666667</v>
      </c>
      <c r="V32" s="132">
        <f t="shared" ca="1" si="18"/>
        <v>0</v>
      </c>
      <c r="W32" s="125">
        <f t="shared" ca="1" si="11"/>
        <v>0</v>
      </c>
      <c r="X32" s="125">
        <f t="shared" si="19"/>
        <v>1608.3333333333333</v>
      </c>
      <c r="Y32" s="132">
        <f t="shared" ca="1" si="20"/>
        <v>0</v>
      </c>
      <c r="Z32" s="127" t="str">
        <f t="shared" ca="1" si="21"/>
        <v/>
      </c>
      <c r="AA32" s="127">
        <f t="shared" si="22"/>
        <v>1.5</v>
      </c>
      <c r="AB32" s="150" t="str">
        <f t="shared" ca="1" si="12"/>
        <v/>
      </c>
    </row>
    <row r="33" spans="2:28" x14ac:dyDescent="0.2">
      <c r="B33" s="117">
        <v>26</v>
      </c>
      <c r="C33" s="121">
        <f t="shared" ca="1" si="13"/>
        <v>0</v>
      </c>
      <c r="D33" s="121"/>
      <c r="E33" s="121">
        <f t="shared" ca="1" si="14"/>
        <v>0</v>
      </c>
      <c r="F33" s="121">
        <f t="shared" ca="1" si="15"/>
        <v>0</v>
      </c>
      <c r="G33" s="121">
        <f t="shared" ca="1" si="16"/>
        <v>0</v>
      </c>
      <c r="H33" s="121"/>
      <c r="I33" s="121">
        <f t="shared" ca="1" si="2"/>
        <v>0</v>
      </c>
      <c r="J33" s="196" t="str">
        <f t="shared" ca="1" si="3"/>
        <v/>
      </c>
      <c r="K33" s="121">
        <f t="shared" ca="1" si="4"/>
        <v>0</v>
      </c>
      <c r="L33" s="196" t="str">
        <f t="shared" ca="1" si="5"/>
        <v/>
      </c>
      <c r="M33" s="196" t="str">
        <f t="shared" ca="1" si="6"/>
        <v/>
      </c>
      <c r="N33" s="196" t="str">
        <f t="shared" ca="1" si="7"/>
        <v/>
      </c>
      <c r="O33" s="121">
        <f t="shared" ca="1" si="8"/>
        <v>0</v>
      </c>
      <c r="P33" s="121">
        <f t="shared" ca="1" si="9"/>
        <v>0</v>
      </c>
      <c r="Q33" s="131"/>
      <c r="S33" s="117">
        <v>26</v>
      </c>
      <c r="T33" s="121">
        <f t="shared" ca="1" si="10"/>
        <v>0</v>
      </c>
      <c r="U33" s="125">
        <f t="shared" si="17"/>
        <v>1666.6666666666667</v>
      </c>
      <c r="V33" s="132">
        <f t="shared" ca="1" si="18"/>
        <v>0</v>
      </c>
      <c r="W33" s="125">
        <f t="shared" ca="1" si="11"/>
        <v>0</v>
      </c>
      <c r="X33" s="125">
        <f t="shared" si="19"/>
        <v>1608.3333333333333</v>
      </c>
      <c r="Y33" s="132">
        <f t="shared" ca="1" si="20"/>
        <v>0</v>
      </c>
      <c r="Z33" s="127" t="str">
        <f t="shared" ca="1" si="21"/>
        <v/>
      </c>
      <c r="AA33" s="127">
        <f t="shared" si="22"/>
        <v>1.5</v>
      </c>
      <c r="AB33" s="150" t="str">
        <f t="shared" ca="1" si="12"/>
        <v/>
      </c>
    </row>
    <row r="34" spans="2:28" x14ac:dyDescent="0.2">
      <c r="B34" s="117">
        <v>27</v>
      </c>
      <c r="C34" s="121">
        <f t="shared" ca="1" si="13"/>
        <v>0</v>
      </c>
      <c r="D34" s="121"/>
      <c r="E34" s="121">
        <f t="shared" ca="1" si="14"/>
        <v>0</v>
      </c>
      <c r="F34" s="121">
        <f t="shared" ca="1" si="15"/>
        <v>0</v>
      </c>
      <c r="G34" s="121">
        <f t="shared" ca="1" si="16"/>
        <v>0</v>
      </c>
      <c r="H34" s="121"/>
      <c r="I34" s="121">
        <f t="shared" ca="1" si="2"/>
        <v>0</v>
      </c>
      <c r="J34" s="196" t="str">
        <f t="shared" ca="1" si="3"/>
        <v/>
      </c>
      <c r="K34" s="121">
        <f t="shared" ca="1" si="4"/>
        <v>0</v>
      </c>
      <c r="L34" s="196" t="str">
        <f t="shared" ca="1" si="5"/>
        <v/>
      </c>
      <c r="M34" s="196" t="str">
        <f t="shared" ca="1" si="6"/>
        <v/>
      </c>
      <c r="N34" s="196" t="str">
        <f t="shared" ca="1" si="7"/>
        <v/>
      </c>
      <c r="O34" s="121">
        <f t="shared" ca="1" si="8"/>
        <v>0</v>
      </c>
      <c r="P34" s="121">
        <f t="shared" ca="1" si="9"/>
        <v>0</v>
      </c>
      <c r="Q34" s="131"/>
      <c r="S34" s="117">
        <v>27</v>
      </c>
      <c r="T34" s="121">
        <f t="shared" ca="1" si="10"/>
        <v>0</v>
      </c>
      <c r="U34" s="125">
        <f t="shared" si="17"/>
        <v>1666.6666666666667</v>
      </c>
      <c r="V34" s="132">
        <f t="shared" ca="1" si="18"/>
        <v>0</v>
      </c>
      <c r="W34" s="125">
        <f t="shared" ca="1" si="11"/>
        <v>0</v>
      </c>
      <c r="X34" s="125">
        <f t="shared" si="19"/>
        <v>1608.3333333333333</v>
      </c>
      <c r="Y34" s="132">
        <f t="shared" ca="1" si="20"/>
        <v>0</v>
      </c>
      <c r="Z34" s="127" t="str">
        <f t="shared" ca="1" si="21"/>
        <v/>
      </c>
      <c r="AA34" s="127">
        <f t="shared" si="22"/>
        <v>1.5</v>
      </c>
      <c r="AB34" s="150" t="str">
        <f t="shared" ca="1" si="12"/>
        <v/>
      </c>
    </row>
    <row r="35" spans="2:28" x14ac:dyDescent="0.2">
      <c r="B35" s="117">
        <v>28</v>
      </c>
      <c r="C35" s="121">
        <f t="shared" ca="1" si="13"/>
        <v>0</v>
      </c>
      <c r="D35" s="121"/>
      <c r="E35" s="121">
        <f t="shared" ca="1" si="14"/>
        <v>0</v>
      </c>
      <c r="F35" s="121">
        <f t="shared" ca="1" si="15"/>
        <v>0</v>
      </c>
      <c r="G35" s="121">
        <f t="shared" ca="1" si="16"/>
        <v>0</v>
      </c>
      <c r="H35" s="121"/>
      <c r="I35" s="121">
        <f t="shared" ca="1" si="2"/>
        <v>0</v>
      </c>
      <c r="J35" s="196" t="str">
        <f t="shared" ca="1" si="3"/>
        <v/>
      </c>
      <c r="K35" s="121">
        <f t="shared" ca="1" si="4"/>
        <v>0</v>
      </c>
      <c r="L35" s="196" t="str">
        <f t="shared" ca="1" si="5"/>
        <v/>
      </c>
      <c r="M35" s="196" t="str">
        <f t="shared" ca="1" si="6"/>
        <v/>
      </c>
      <c r="N35" s="196" t="str">
        <f t="shared" ca="1" si="7"/>
        <v/>
      </c>
      <c r="O35" s="121">
        <f t="shared" ca="1" si="8"/>
        <v>0</v>
      </c>
      <c r="P35" s="121">
        <f t="shared" ca="1" si="9"/>
        <v>0</v>
      </c>
      <c r="Q35" s="131"/>
      <c r="S35" s="117">
        <v>28</v>
      </c>
      <c r="T35" s="121">
        <f t="shared" ca="1" si="10"/>
        <v>0</v>
      </c>
      <c r="U35" s="125">
        <f t="shared" si="17"/>
        <v>1666.6666666666667</v>
      </c>
      <c r="V35" s="132">
        <f t="shared" ca="1" si="18"/>
        <v>0</v>
      </c>
      <c r="W35" s="125">
        <f t="shared" ca="1" si="11"/>
        <v>0</v>
      </c>
      <c r="X35" s="125">
        <f t="shared" si="19"/>
        <v>1608.3333333333333</v>
      </c>
      <c r="Y35" s="132">
        <f t="shared" ca="1" si="20"/>
        <v>0</v>
      </c>
      <c r="Z35" s="127" t="str">
        <f t="shared" ca="1" si="21"/>
        <v/>
      </c>
      <c r="AA35" s="127">
        <f t="shared" si="22"/>
        <v>1.5</v>
      </c>
      <c r="AB35" s="150" t="str">
        <f t="shared" ca="1" si="12"/>
        <v/>
      </c>
    </row>
    <row r="36" spans="2:28" x14ac:dyDescent="0.2">
      <c r="B36" s="117">
        <v>29</v>
      </c>
      <c r="C36" s="121">
        <f t="shared" ca="1" si="13"/>
        <v>0</v>
      </c>
      <c r="D36" s="121"/>
      <c r="E36" s="121">
        <f t="shared" ca="1" si="14"/>
        <v>0</v>
      </c>
      <c r="F36" s="121">
        <f t="shared" ca="1" si="15"/>
        <v>0</v>
      </c>
      <c r="G36" s="121">
        <f t="shared" ca="1" si="16"/>
        <v>0</v>
      </c>
      <c r="H36" s="121"/>
      <c r="I36" s="121">
        <f t="shared" ca="1" si="2"/>
        <v>0</v>
      </c>
      <c r="J36" s="196" t="str">
        <f t="shared" ca="1" si="3"/>
        <v/>
      </c>
      <c r="K36" s="121">
        <f t="shared" ca="1" si="4"/>
        <v>0</v>
      </c>
      <c r="L36" s="196" t="str">
        <f t="shared" ca="1" si="5"/>
        <v/>
      </c>
      <c r="M36" s="196" t="str">
        <f t="shared" ca="1" si="6"/>
        <v/>
      </c>
      <c r="N36" s="196" t="str">
        <f t="shared" ca="1" si="7"/>
        <v/>
      </c>
      <c r="O36" s="121">
        <f t="shared" ca="1" si="8"/>
        <v>0</v>
      </c>
      <c r="P36" s="121">
        <f t="shared" ca="1" si="9"/>
        <v>0</v>
      </c>
      <c r="Q36" s="131"/>
      <c r="S36" s="117">
        <v>29</v>
      </c>
      <c r="T36" s="121">
        <f t="shared" ca="1" si="10"/>
        <v>0</v>
      </c>
      <c r="U36" s="125">
        <f t="shared" si="17"/>
        <v>1666.6666666666667</v>
      </c>
      <c r="V36" s="132">
        <f t="shared" ca="1" si="18"/>
        <v>0</v>
      </c>
      <c r="W36" s="125">
        <f t="shared" ca="1" si="11"/>
        <v>0</v>
      </c>
      <c r="X36" s="125">
        <f t="shared" si="19"/>
        <v>1608.3333333333333</v>
      </c>
      <c r="Y36" s="132">
        <f t="shared" ca="1" si="20"/>
        <v>0</v>
      </c>
      <c r="Z36" s="127" t="str">
        <f t="shared" ca="1" si="21"/>
        <v/>
      </c>
      <c r="AA36" s="127">
        <f t="shared" si="22"/>
        <v>1.5</v>
      </c>
      <c r="AB36" s="150" t="str">
        <f t="shared" ca="1" si="12"/>
        <v/>
      </c>
    </row>
    <row r="37" spans="2:28" x14ac:dyDescent="0.2">
      <c r="B37" s="117">
        <v>30</v>
      </c>
      <c r="C37" s="121">
        <f t="shared" ca="1" si="13"/>
        <v>0</v>
      </c>
      <c r="D37" s="121"/>
      <c r="E37" s="121">
        <f t="shared" ca="1" si="14"/>
        <v>0</v>
      </c>
      <c r="F37" s="121">
        <f t="shared" ca="1" si="15"/>
        <v>0</v>
      </c>
      <c r="G37" s="121">
        <f t="shared" ca="1" si="16"/>
        <v>0</v>
      </c>
      <c r="H37" s="121"/>
      <c r="I37" s="121">
        <f t="shared" ca="1" si="2"/>
        <v>0</v>
      </c>
      <c r="J37" s="196" t="str">
        <f t="shared" ca="1" si="3"/>
        <v/>
      </c>
      <c r="K37" s="121">
        <f t="shared" ca="1" si="4"/>
        <v>0</v>
      </c>
      <c r="L37" s="196" t="str">
        <f t="shared" ca="1" si="5"/>
        <v/>
      </c>
      <c r="M37" s="196" t="str">
        <f t="shared" ca="1" si="6"/>
        <v/>
      </c>
      <c r="N37" s="196" t="str">
        <f t="shared" ca="1" si="7"/>
        <v/>
      </c>
      <c r="O37" s="121">
        <f t="shared" ca="1" si="8"/>
        <v>0</v>
      </c>
      <c r="P37" s="121">
        <f t="shared" ca="1" si="9"/>
        <v>0</v>
      </c>
      <c r="Q37" s="131"/>
      <c r="S37" s="117">
        <v>30</v>
      </c>
      <c r="T37" s="121">
        <f t="shared" ca="1" si="10"/>
        <v>0</v>
      </c>
      <c r="U37" s="125">
        <f t="shared" si="17"/>
        <v>1666.6666666666667</v>
      </c>
      <c r="V37" s="132">
        <f t="shared" ca="1" si="18"/>
        <v>0</v>
      </c>
      <c r="W37" s="125">
        <f t="shared" ca="1" si="11"/>
        <v>0</v>
      </c>
      <c r="X37" s="125">
        <f t="shared" si="19"/>
        <v>1608.3333333333333</v>
      </c>
      <c r="Y37" s="132">
        <f t="shared" ca="1" si="20"/>
        <v>0</v>
      </c>
      <c r="Z37" s="127" t="str">
        <f t="shared" ca="1" si="21"/>
        <v/>
      </c>
      <c r="AA37" s="127">
        <f t="shared" si="22"/>
        <v>1.5</v>
      </c>
      <c r="AB37" s="150" t="str">
        <f t="shared" ca="1" si="12"/>
        <v/>
      </c>
    </row>
    <row r="38" spans="2:28" x14ac:dyDescent="0.2">
      <c r="B38" s="117">
        <v>31</v>
      </c>
      <c r="C38" s="121">
        <f t="shared" ca="1" si="13"/>
        <v>0</v>
      </c>
      <c r="D38" s="121"/>
      <c r="E38" s="121">
        <f t="shared" ca="1" si="14"/>
        <v>0</v>
      </c>
      <c r="F38" s="121">
        <f t="shared" ca="1" si="15"/>
        <v>0</v>
      </c>
      <c r="G38" s="121">
        <f t="shared" ca="1" si="16"/>
        <v>0</v>
      </c>
      <c r="H38" s="121"/>
      <c r="I38" s="121">
        <f t="shared" ca="1" si="2"/>
        <v>0</v>
      </c>
      <c r="J38" s="196" t="str">
        <f t="shared" ca="1" si="3"/>
        <v/>
      </c>
      <c r="K38" s="121">
        <f t="shared" ca="1" si="4"/>
        <v>0</v>
      </c>
      <c r="L38" s="196" t="str">
        <f t="shared" ca="1" si="5"/>
        <v/>
      </c>
      <c r="M38" s="196" t="str">
        <f t="shared" ca="1" si="6"/>
        <v/>
      </c>
      <c r="N38" s="196" t="str">
        <f t="shared" ca="1" si="7"/>
        <v/>
      </c>
      <c r="O38" s="121">
        <f t="shared" ca="1" si="8"/>
        <v>0</v>
      </c>
      <c r="P38" s="121">
        <f t="shared" ca="1" si="9"/>
        <v>0</v>
      </c>
      <c r="Q38" s="131"/>
      <c r="S38" s="117">
        <v>31</v>
      </c>
      <c r="T38" s="121">
        <f t="shared" ca="1" si="10"/>
        <v>0</v>
      </c>
      <c r="U38" s="125">
        <f t="shared" si="17"/>
        <v>1666.6666666666667</v>
      </c>
      <c r="V38" s="132">
        <f t="shared" ca="1" si="18"/>
        <v>0</v>
      </c>
      <c r="W38" s="125">
        <f t="shared" ca="1" si="11"/>
        <v>0</v>
      </c>
      <c r="X38" s="125">
        <f t="shared" si="19"/>
        <v>1608.3333333333333</v>
      </c>
      <c r="Y38" s="132">
        <f t="shared" ca="1" si="20"/>
        <v>0</v>
      </c>
      <c r="Z38" s="127" t="str">
        <f t="shared" ca="1" si="21"/>
        <v/>
      </c>
      <c r="AA38" s="127">
        <f t="shared" si="22"/>
        <v>1.5</v>
      </c>
      <c r="AB38" s="150" t="str">
        <f t="shared" ca="1" si="12"/>
        <v/>
      </c>
    </row>
    <row r="39" spans="2:28" x14ac:dyDescent="0.2">
      <c r="B39" s="245"/>
      <c r="C39" s="119"/>
      <c r="D39" s="119"/>
      <c r="I39" s="119"/>
    </row>
    <row r="41" spans="2:28" ht="18" x14ac:dyDescent="0.2">
      <c r="B41" s="152" t="s">
        <v>220</v>
      </c>
      <c r="C41" s="119"/>
      <c r="D41" s="119"/>
    </row>
    <row r="42" spans="2:28" x14ac:dyDescent="0.2">
      <c r="B42" s="245"/>
      <c r="C42" s="119"/>
      <c r="D42" s="119"/>
    </row>
    <row r="43" spans="2:28" x14ac:dyDescent="0.2">
      <c r="B43" s="245"/>
      <c r="C43" s="119"/>
      <c r="D43" s="119"/>
      <c r="M43" s="141"/>
    </row>
    <row r="44" spans="2:28" s="4" customFormat="1" ht="38.25" x14ac:dyDescent="0.2">
      <c r="B44" s="143" t="s">
        <v>189</v>
      </c>
      <c r="C44" s="151" t="s">
        <v>221</v>
      </c>
      <c r="D44" s="144" t="s">
        <v>222</v>
      </c>
      <c r="E44" s="144" t="s">
        <v>223</v>
      </c>
      <c r="F44" s="144" t="s">
        <v>224</v>
      </c>
      <c r="G44" s="144" t="s">
        <v>225</v>
      </c>
      <c r="H44" s="144" t="s">
        <v>226</v>
      </c>
      <c r="I44" s="144" t="s">
        <v>227</v>
      </c>
      <c r="J44" s="144" t="s">
        <v>228</v>
      </c>
      <c r="K44" s="144" t="s">
        <v>197</v>
      </c>
      <c r="L44" s="144" t="s">
        <v>230</v>
      </c>
      <c r="M44" s="144" t="s">
        <v>253</v>
      </c>
      <c r="N44" s="144" t="s">
        <v>231</v>
      </c>
      <c r="O44" s="144" t="s">
        <v>232</v>
      </c>
      <c r="P44" s="245"/>
      <c r="Q44" s="140"/>
      <c r="R44" s="245"/>
      <c r="S44" s="122" t="s">
        <v>189</v>
      </c>
      <c r="T44" s="122" t="s">
        <v>208</v>
      </c>
      <c r="U44" s="122" t="s">
        <v>209</v>
      </c>
      <c r="V44" s="126" t="s">
        <v>210</v>
      </c>
      <c r="W44" s="122" t="s">
        <v>211</v>
      </c>
      <c r="X44" s="122" t="s">
        <v>209</v>
      </c>
      <c r="Y44" s="126" t="s">
        <v>210</v>
      </c>
      <c r="Z44" s="133" t="s">
        <v>254</v>
      </c>
      <c r="AA44" s="122" t="s">
        <v>209</v>
      </c>
      <c r="AB44" s="126" t="s">
        <v>210</v>
      </c>
    </row>
    <row r="45" spans="2:28" x14ac:dyDescent="0.2">
      <c r="B45" s="117" t="s">
        <v>255</v>
      </c>
      <c r="C45" s="176">
        <v>3</v>
      </c>
      <c r="D45" s="177">
        <f>SUM(D8:D10)</f>
        <v>0</v>
      </c>
      <c r="E45" s="177">
        <f ca="1">SUM(C8:C10)</f>
        <v>0</v>
      </c>
      <c r="F45" s="178">
        <f>C45*$U$5</f>
        <v>5000</v>
      </c>
      <c r="G45" s="177">
        <f ca="1">SUM(E8:E10)</f>
        <v>4766.8600000000006</v>
      </c>
      <c r="H45" s="177">
        <f ca="1">SUM(F8:F10)</f>
        <v>25.47</v>
      </c>
      <c r="I45" s="177">
        <f t="shared" ref="I45" ca="1" si="23">SUM(G8:G10)</f>
        <v>405</v>
      </c>
      <c r="J45" s="177">
        <f ca="1">SUM(P8:P10)</f>
        <v>0</v>
      </c>
      <c r="K45" s="177">
        <f>SUM(H8:H10)</f>
        <v>0</v>
      </c>
      <c r="L45" s="132">
        <f ca="1">O10</f>
        <v>544</v>
      </c>
      <c r="M45" s="132" t="str">
        <f ca="1">IF(ISERROR((L45+G45+J45-K45)/(E45)),"",((L45+G45+J45-K45)/(E45)))</f>
        <v/>
      </c>
      <c r="N45" s="179" t="str">
        <f ca="1">IF(ISERROR((G45+L45-K45)/(E45)),"",((G45+L45-K45)/(E45)))</f>
        <v/>
      </c>
      <c r="O45" s="180" t="str">
        <f ca="1">IF(ISERROR(M45-N45),"",(M45-N45))</f>
        <v/>
      </c>
      <c r="P45" s="119"/>
      <c r="S45" s="117" t="str">
        <f>B45</f>
        <v>WK 44</v>
      </c>
      <c r="T45" s="125">
        <f ca="1">E45</f>
        <v>0</v>
      </c>
      <c r="U45" s="125">
        <f>F45</f>
        <v>5000</v>
      </c>
      <c r="V45" s="132">
        <f ca="1">IF(T45&lt;U45,T45,"")</f>
        <v>0</v>
      </c>
      <c r="W45" s="125">
        <f ca="1">IF(ISERROR((G45+L45-K45)),"",((G45+L45-K45)))</f>
        <v>5310.8600000000006</v>
      </c>
      <c r="X45" s="132">
        <f>($X$5)*C45</f>
        <v>4825</v>
      </c>
      <c r="Y45" s="132" t="str">
        <f t="shared" ref="Y45:Y49" ca="1" si="24">IF(W45&lt;X45,W45,"")</f>
        <v/>
      </c>
      <c r="Z45" s="182"/>
      <c r="AA45" s="142">
        <v>0.96499999999999997</v>
      </c>
      <c r="AB45" s="182"/>
    </row>
    <row r="46" spans="2:28" x14ac:dyDescent="0.2">
      <c r="B46" s="117" t="s">
        <v>256</v>
      </c>
      <c r="C46" s="176">
        <v>7</v>
      </c>
      <c r="D46" s="177">
        <f>SUM(D11:D17)</f>
        <v>0</v>
      </c>
      <c r="E46" s="177">
        <f ca="1">SUM(C11:C17)</f>
        <v>0</v>
      </c>
      <c r="F46" s="181">
        <f>C46*$U$5</f>
        <v>11666.666666666668</v>
      </c>
      <c r="G46" s="177">
        <f ca="1">SUM(E11:E17)</f>
        <v>10549.995000000001</v>
      </c>
      <c r="H46" s="177">
        <f ca="1">SUM(F11:F17)</f>
        <v>1548.9</v>
      </c>
      <c r="I46" s="177">
        <f ca="1">SUM(G11:G17)</f>
        <v>945</v>
      </c>
      <c r="J46" s="177">
        <f ca="1">SUM(P11:P17)</f>
        <v>0</v>
      </c>
      <c r="K46" s="177">
        <f>SUM(H11:H17)</f>
        <v>0</v>
      </c>
      <c r="L46" s="132">
        <f ca="1">P17</f>
        <v>0</v>
      </c>
      <c r="M46" s="132" t="str">
        <f ca="1">IF(ISERROR((L46+G46+J46-K46)/(E46)),"",((L46+G46+J46-K46)/(E46)))</f>
        <v/>
      </c>
      <c r="N46" s="179" t="str">
        <f t="shared" ref="N46:N51" ca="1" si="25">IF(ISERROR((G46+L46-K46)/(E46)),"",((G46+L46-K46)/(E46)))</f>
        <v/>
      </c>
      <c r="O46" s="180" t="str">
        <f t="shared" ref="O46:O51" ca="1" si="26">IF(ISERROR(M46-N46),"",(M46-N46))</f>
        <v/>
      </c>
      <c r="S46" s="117" t="str">
        <f t="shared" ref="S46:S49" si="27">B46</f>
        <v>WK 45</v>
      </c>
      <c r="T46" s="125">
        <f t="shared" ref="T46:T49" ca="1" si="28">E46</f>
        <v>0</v>
      </c>
      <c r="U46" s="125">
        <f>F46</f>
        <v>11666.666666666668</v>
      </c>
      <c r="V46" s="132">
        <f t="shared" ref="V46:V49" ca="1" si="29">IF(T46&lt;U46,T46,"")</f>
        <v>0</v>
      </c>
      <c r="W46" s="125">
        <f t="shared" ref="W46:W49" ca="1" si="30">IF(ISERROR((G46+L46-K46)),"",((G46+L46-K46)))</f>
        <v>10549.995000000001</v>
      </c>
      <c r="X46" s="132">
        <f t="shared" ref="X46:X49" si="31">($X$5)*C46</f>
        <v>11258.333333333332</v>
      </c>
      <c r="Y46" s="132">
        <f t="shared" ca="1" si="24"/>
        <v>10549.995000000001</v>
      </c>
      <c r="Z46" s="182"/>
      <c r="AA46" s="142">
        <v>0.96499999999999997</v>
      </c>
      <c r="AB46" s="182"/>
    </row>
    <row r="47" spans="2:28" x14ac:dyDescent="0.2">
      <c r="B47" s="117" t="s">
        <v>257</v>
      </c>
      <c r="C47" s="176">
        <v>7</v>
      </c>
      <c r="D47" s="177">
        <f>SUM(D18:D24)</f>
        <v>0</v>
      </c>
      <c r="E47" s="177">
        <f ca="1">SUM(C18:C24)</f>
        <v>0</v>
      </c>
      <c r="F47" s="181">
        <f>C47*$U$5</f>
        <v>11666.666666666668</v>
      </c>
      <c r="G47" s="177">
        <f ca="1">SUM(E18:E24)</f>
        <v>5425.34</v>
      </c>
      <c r="H47" s="177">
        <f ca="1">SUM(F18:F24)</f>
        <v>1027.7399999999998</v>
      </c>
      <c r="I47" s="177">
        <f ca="1">SUM(G18:G24)</f>
        <v>300</v>
      </c>
      <c r="J47" s="177">
        <f ca="1">SUM(P18:P24)</f>
        <v>0</v>
      </c>
      <c r="K47" s="177">
        <f>SUM(H18:H24)</f>
        <v>0</v>
      </c>
      <c r="L47" s="132">
        <f ca="1">P24</f>
        <v>0</v>
      </c>
      <c r="M47" s="132" t="str">
        <f ca="1">IF(ISERROR((L47+G47+J47-K47)/(E47)),"",((L47+G47+J47-K47)/(E47)))</f>
        <v/>
      </c>
      <c r="N47" s="179" t="str">
        <f t="shared" ca="1" si="25"/>
        <v/>
      </c>
      <c r="O47" s="180" t="str">
        <f t="shared" ca="1" si="26"/>
        <v/>
      </c>
      <c r="S47" s="117" t="str">
        <f t="shared" si="27"/>
        <v>WK 46</v>
      </c>
      <c r="T47" s="125">
        <f t="shared" ca="1" si="28"/>
        <v>0</v>
      </c>
      <c r="U47" s="125">
        <f t="shared" ref="U47:U49" si="32">F47</f>
        <v>11666.666666666668</v>
      </c>
      <c r="V47" s="132">
        <f t="shared" ca="1" si="29"/>
        <v>0</v>
      </c>
      <c r="W47" s="125">
        <f t="shared" ca="1" si="30"/>
        <v>5425.34</v>
      </c>
      <c r="X47" s="132">
        <f t="shared" si="31"/>
        <v>11258.333333333332</v>
      </c>
      <c r="Y47" s="132">
        <f t="shared" ca="1" si="24"/>
        <v>5425.34</v>
      </c>
      <c r="Z47" s="182"/>
      <c r="AA47" s="142">
        <v>0.96499999999999997</v>
      </c>
      <c r="AB47" s="182"/>
    </row>
    <row r="48" spans="2:28" x14ac:dyDescent="0.2">
      <c r="B48" s="117" t="s">
        <v>258</v>
      </c>
      <c r="C48" s="176">
        <v>7</v>
      </c>
      <c r="D48" s="177">
        <f>SUM(D25:D31)</f>
        <v>0</v>
      </c>
      <c r="E48" s="177">
        <f ca="1">SUM(C25:C31)</f>
        <v>0</v>
      </c>
      <c r="F48" s="181">
        <f>C48*$U$5</f>
        <v>11666.666666666668</v>
      </c>
      <c r="G48" s="177">
        <f ca="1">SUM(E25:E31)</f>
        <v>0</v>
      </c>
      <c r="H48" s="177">
        <f ca="1">SUM(F25:F31)</f>
        <v>0</v>
      </c>
      <c r="I48" s="177">
        <f ca="1">SUM(G25:G31)</f>
        <v>0</v>
      </c>
      <c r="J48" s="177">
        <f ca="1">SUM(P25:P31)</f>
        <v>0</v>
      </c>
      <c r="K48" s="177">
        <f>SUM(H25:H31)</f>
        <v>0</v>
      </c>
      <c r="L48" s="132">
        <f ca="1">P31</f>
        <v>0</v>
      </c>
      <c r="M48" s="132" t="str">
        <f ca="1">IF(ISERROR((L48+G48+J48-K48)/(E48)),"",((L48+G48+J48-K48)/(E48)))</f>
        <v/>
      </c>
      <c r="N48" s="179" t="str">
        <f t="shared" ca="1" si="25"/>
        <v/>
      </c>
      <c r="O48" s="180" t="str">
        <f t="shared" ca="1" si="26"/>
        <v/>
      </c>
      <c r="S48" s="117" t="str">
        <f t="shared" si="27"/>
        <v>WK 47</v>
      </c>
      <c r="T48" s="125">
        <f t="shared" ca="1" si="28"/>
        <v>0</v>
      </c>
      <c r="U48" s="125">
        <f t="shared" si="32"/>
        <v>11666.666666666668</v>
      </c>
      <c r="V48" s="132">
        <f t="shared" ca="1" si="29"/>
        <v>0</v>
      </c>
      <c r="W48" s="125">
        <f t="shared" ca="1" si="30"/>
        <v>0</v>
      </c>
      <c r="X48" s="132">
        <f t="shared" si="31"/>
        <v>11258.333333333332</v>
      </c>
      <c r="Y48" s="132">
        <f t="shared" ca="1" si="24"/>
        <v>0</v>
      </c>
      <c r="Z48" s="182"/>
      <c r="AA48" s="142">
        <v>0.96499999999999997</v>
      </c>
      <c r="AB48" s="182"/>
    </row>
    <row r="49" spans="2:28" x14ac:dyDescent="0.2">
      <c r="B49" s="117" t="s">
        <v>214</v>
      </c>
      <c r="C49" s="176">
        <v>6</v>
      </c>
      <c r="D49" s="177">
        <f>SUM(D32:D38)</f>
        <v>0</v>
      </c>
      <c r="E49" s="177">
        <f ca="1">SUM(C32:C38)</f>
        <v>0</v>
      </c>
      <c r="F49" s="181">
        <f>C49*$U$5</f>
        <v>10000</v>
      </c>
      <c r="G49" s="177">
        <f ca="1">SUM(E32:E38)</f>
        <v>0</v>
      </c>
      <c r="H49" s="177">
        <f ca="1">SUM(F32:F38)</f>
        <v>0</v>
      </c>
      <c r="I49" s="177">
        <f ca="1">SUM(G32:G38)</f>
        <v>0</v>
      </c>
      <c r="J49" s="177">
        <f ca="1">SUM(P32:P38)</f>
        <v>0</v>
      </c>
      <c r="K49" s="177">
        <f>SUM(H32:H38)</f>
        <v>0</v>
      </c>
      <c r="L49" s="132">
        <f ca="1">P38</f>
        <v>0</v>
      </c>
      <c r="M49" s="132" t="str">
        <f ca="1">IF(ISERROR((L49+G49+J49-K49)/(E49)),"",((L49+G49+J49-K49)/(E49)))</f>
        <v/>
      </c>
      <c r="N49" s="179" t="str">
        <f t="shared" ca="1" si="25"/>
        <v/>
      </c>
      <c r="O49" s="180" t="str">
        <f t="shared" ca="1" si="26"/>
        <v/>
      </c>
      <c r="S49" s="117" t="str">
        <f t="shared" si="27"/>
        <v>WK 48</v>
      </c>
      <c r="T49" s="125">
        <f t="shared" ca="1" si="28"/>
        <v>0</v>
      </c>
      <c r="U49" s="125">
        <f t="shared" si="32"/>
        <v>10000</v>
      </c>
      <c r="V49" s="132">
        <f t="shared" ca="1" si="29"/>
        <v>0</v>
      </c>
      <c r="W49" s="125">
        <f t="shared" ca="1" si="30"/>
        <v>0</v>
      </c>
      <c r="X49" s="132">
        <f t="shared" si="31"/>
        <v>9650</v>
      </c>
      <c r="Y49" s="132">
        <f t="shared" ca="1" si="24"/>
        <v>0</v>
      </c>
      <c r="Z49" s="182"/>
      <c r="AA49" s="142">
        <v>0.96499999999999997</v>
      </c>
      <c r="AB49" s="182"/>
    </row>
    <row r="50" spans="2:28" ht="7.5" customHeight="1" x14ac:dyDescent="0.2">
      <c r="B50" s="245"/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28" x14ac:dyDescent="0.2">
      <c r="B51" s="117" t="s">
        <v>259</v>
      </c>
      <c r="C51" s="132">
        <f t="shared" ref="C51:L51" si="33">SUM(C45:C49)</f>
        <v>30</v>
      </c>
      <c r="D51" s="132">
        <f t="shared" si="33"/>
        <v>0</v>
      </c>
      <c r="E51" s="132">
        <f t="shared" ca="1" si="33"/>
        <v>0</v>
      </c>
      <c r="F51" s="132">
        <f t="shared" si="33"/>
        <v>50000</v>
      </c>
      <c r="G51" s="132">
        <f t="shared" ca="1" si="33"/>
        <v>20742.195</v>
      </c>
      <c r="H51" s="132">
        <f t="shared" ca="1" si="33"/>
        <v>2602.1099999999997</v>
      </c>
      <c r="I51" s="132">
        <f t="shared" ca="1" si="33"/>
        <v>1650</v>
      </c>
      <c r="J51" s="132">
        <f t="shared" ca="1" si="33"/>
        <v>0</v>
      </c>
      <c r="K51" s="132">
        <f t="shared" si="33"/>
        <v>0</v>
      </c>
      <c r="L51" s="132">
        <f t="shared" ca="1" si="33"/>
        <v>544</v>
      </c>
      <c r="M51" s="132" t="str">
        <f ca="1">IF(ISERROR((L51+G51+J51-K51)/(E51)),"",((L51+G51+J51-K51)/(E51)))</f>
        <v/>
      </c>
      <c r="N51" s="132" t="str">
        <f t="shared" ca="1" si="25"/>
        <v/>
      </c>
      <c r="O51" s="132" t="str">
        <f t="shared" ca="1" si="26"/>
        <v/>
      </c>
    </row>
    <row r="52" spans="2:28" x14ac:dyDescent="0.2">
      <c r="B52" s="245"/>
      <c r="C52" s="245"/>
      <c r="D52" s="245"/>
      <c r="E52" s="119"/>
    </row>
    <row r="53" spans="2:28" ht="13.5" thickBot="1" x14ac:dyDescent="0.25">
      <c r="B53" s="245"/>
      <c r="C53" s="245"/>
      <c r="D53" s="245"/>
    </row>
    <row r="54" spans="2:28" x14ac:dyDescent="0.2">
      <c r="B54" s="245"/>
      <c r="C54" s="245"/>
      <c r="D54" s="154" t="s">
        <v>260</v>
      </c>
      <c r="E54" s="155" t="s">
        <v>261</v>
      </c>
    </row>
    <row r="55" spans="2:28" x14ac:dyDescent="0.2">
      <c r="B55" s="245"/>
      <c r="C55" s="245"/>
      <c r="D55" s="153" t="e">
        <f ca="1">((G51-K51)+(O29-O28))/D51</f>
        <v>#DIV/0!</v>
      </c>
      <c r="E55" s="156" t="e">
        <f ca="1">((G51-K51)+(O29-O28))/E51</f>
        <v>#DIV/0!</v>
      </c>
      <c r="G55" s="3" t="e">
        <f ca="1">(G51-K51)/D51</f>
        <v>#DIV/0!</v>
      </c>
    </row>
    <row r="56" spans="2:28" x14ac:dyDescent="0.2">
      <c r="B56" s="245"/>
      <c r="C56" s="245"/>
      <c r="D56" s="157"/>
      <c r="E56" s="158"/>
    </row>
    <row r="57" spans="2:28" ht="13.5" thickBot="1" x14ac:dyDescent="0.25">
      <c r="B57" s="245"/>
      <c r="C57" s="245"/>
      <c r="D57" s="159" t="e">
        <f ca="1">((G51-K51)+(L51))/D51</f>
        <v>#DIV/0!</v>
      </c>
      <c r="E57" s="160" t="e">
        <f ca="1">((G51-K51)+(L51))/E51</f>
        <v>#DIV/0!</v>
      </c>
    </row>
    <row r="58" spans="2:28" x14ac:dyDescent="0.2">
      <c r="B58" s="245"/>
      <c r="C58" s="245"/>
      <c r="D58" s="245"/>
    </row>
    <row r="59" spans="2:28" x14ac:dyDescent="0.2">
      <c r="B59" s="245"/>
      <c r="C59" s="245"/>
      <c r="D59" s="245"/>
    </row>
    <row r="60" spans="2:28" x14ac:dyDescent="0.2">
      <c r="B60" s="245"/>
      <c r="C60" s="245"/>
      <c r="D60" s="245"/>
    </row>
    <row r="61" spans="2:28" x14ac:dyDescent="0.2">
      <c r="B61" s="245"/>
      <c r="C61" s="245"/>
      <c r="D61" s="245"/>
    </row>
    <row r="62" spans="2:28" x14ac:dyDescent="0.2">
      <c r="B62" s="245"/>
      <c r="C62" s="245"/>
      <c r="D62" s="245"/>
    </row>
    <row r="63" spans="2:28" x14ac:dyDescent="0.2">
      <c r="B63" s="245"/>
      <c r="C63" s="245"/>
      <c r="D63" s="245"/>
    </row>
    <row r="64" spans="2:28" x14ac:dyDescent="0.2">
      <c r="B64" s="245"/>
      <c r="C64" s="245"/>
      <c r="D64" s="245"/>
    </row>
    <row r="65" spans="3:4" x14ac:dyDescent="0.2">
      <c r="C65" s="245"/>
      <c r="D65" s="245"/>
    </row>
  </sheetData>
  <customSheetViews>
    <customSheetView guid="{180A269B-7E32-4D24-945A-4A804FC4280D}" state="hidden" topLeftCell="A34">
      <selection activeCell="G45" sqref="G45:O49"/>
      <pageMargins left="0" right="0" top="0" bottom="0" header="0" footer="0"/>
      <pageSetup paperSize="9" orientation="portrait" r:id="rId1"/>
    </customSheetView>
    <customSheetView guid="{C7D8C3A9-FB79-4D22-935E-FEFA619A3CE5}" showPageBreaks="1" printArea="1" state="hidden" topLeftCell="A34">
      <selection activeCell="G45" sqref="G45:O49"/>
      <pageMargins left="0" right="0" top="0" bottom="0" header="0" footer="0"/>
      <pageSetup paperSize="9" orientation="portrait" r:id="rId2"/>
    </customSheetView>
    <customSheetView guid="{C5333697-7BE7-4020-97A4-B735E526926D}" showPageBreaks="1" printArea="1" state="hidden" topLeftCell="A34">
      <selection activeCell="G45" sqref="G45:O49"/>
      <pageMargins left="0" right="0" top="0" bottom="0" header="0" footer="0"/>
      <pageSetup paperSize="9" orientation="portrait" r:id="rId3"/>
    </customSheetView>
    <customSheetView guid="{9C22FFE9-00CF-47D0-BD99-D84A00825140}" showPageBreaks="1" printArea="1" state="hidden" topLeftCell="A34">
      <selection activeCell="G45" sqref="G45:O49"/>
      <pageMargins left="0" right="0" top="0" bottom="0" header="0" footer="0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Z91"/>
  <sheetViews>
    <sheetView showGridLines="0" zoomScale="85" zoomScaleNormal="70" workbookViewId="0">
      <selection activeCell="B61" sqref="B61:M87"/>
    </sheetView>
  </sheetViews>
  <sheetFormatPr defaultRowHeight="12.75" x14ac:dyDescent="0.2"/>
  <cols>
    <col min="1" max="1" width="2.5703125" customWidth="1"/>
    <col min="13" max="13" width="14" customWidth="1"/>
    <col min="14" max="14" width="2.42578125" customWidth="1"/>
    <col min="26" max="26" width="14.42578125" customWidth="1"/>
    <col min="27" max="27" width="2" customWidth="1"/>
    <col min="39" max="39" width="14.42578125" customWidth="1"/>
    <col min="40" max="40" width="2.5703125" customWidth="1"/>
    <col min="52" max="52" width="14.42578125" customWidth="1"/>
    <col min="53" max="53" width="3.85546875" customWidth="1"/>
  </cols>
  <sheetData>
    <row r="1" spans="2:52" ht="13.5" thickBot="1" x14ac:dyDescent="0.25"/>
    <row r="2" spans="2:52" s="186" customFormat="1" ht="36.75" customHeight="1" thickBot="1" x14ac:dyDescent="0.25">
      <c r="B2" s="290" t="s">
        <v>262</v>
      </c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2"/>
      <c r="O2" s="287" t="s">
        <v>263</v>
      </c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9"/>
      <c r="AB2" s="283" t="s">
        <v>264</v>
      </c>
      <c r="AC2" s="284"/>
      <c r="AD2" s="284"/>
      <c r="AE2" s="284"/>
      <c r="AF2" s="284"/>
      <c r="AG2" s="284"/>
      <c r="AH2" s="284"/>
      <c r="AI2" s="284"/>
      <c r="AJ2" s="284"/>
      <c r="AK2" s="285" t="s">
        <v>209</v>
      </c>
      <c r="AL2" s="286"/>
      <c r="AM2" s="192">
        <f>Summary!AD46</f>
        <v>0.96499999999999997</v>
      </c>
      <c r="AO2" s="283" t="s">
        <v>265</v>
      </c>
      <c r="AP2" s="284"/>
      <c r="AQ2" s="284"/>
      <c r="AR2" s="284"/>
      <c r="AS2" s="284"/>
      <c r="AT2" s="284"/>
      <c r="AU2" s="284"/>
      <c r="AV2" s="284"/>
      <c r="AW2" s="284"/>
      <c r="AX2" s="285" t="s">
        <v>209</v>
      </c>
      <c r="AY2" s="286"/>
      <c r="AZ2" s="192">
        <f>AM2</f>
        <v>0.96499999999999997</v>
      </c>
    </row>
    <row r="3" spans="2:52" x14ac:dyDescent="0.2">
      <c r="B3" s="264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6"/>
      <c r="O3" s="264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6"/>
      <c r="AB3" s="264"/>
      <c r="AC3" s="265"/>
      <c r="AD3" s="265"/>
      <c r="AE3" s="265"/>
      <c r="AF3" s="265"/>
      <c r="AG3" s="265"/>
      <c r="AH3" s="265"/>
      <c r="AI3" s="265"/>
      <c r="AJ3" s="265"/>
      <c r="AK3" s="268"/>
      <c r="AL3" s="268"/>
      <c r="AM3" s="269"/>
      <c r="AO3" s="264"/>
      <c r="AP3" s="265"/>
      <c r="AQ3" s="265"/>
      <c r="AR3" s="265"/>
      <c r="AS3" s="265"/>
      <c r="AT3" s="265"/>
      <c r="AU3" s="265"/>
      <c r="AV3" s="265"/>
      <c r="AW3" s="265"/>
      <c r="AX3" s="268"/>
      <c r="AY3" s="268"/>
      <c r="AZ3" s="269"/>
    </row>
    <row r="4" spans="2:52" x14ac:dyDescent="0.2">
      <c r="B4" s="267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9"/>
      <c r="O4" s="267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9"/>
      <c r="AB4" s="267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9"/>
      <c r="AO4" s="267"/>
      <c r="AP4" s="268"/>
      <c r="AQ4" s="268"/>
      <c r="AR4" s="268"/>
      <c r="AS4" s="268"/>
      <c r="AT4" s="268"/>
      <c r="AU4" s="268"/>
      <c r="AV4" s="268"/>
      <c r="AW4" s="268"/>
      <c r="AX4" s="268"/>
      <c r="AY4" s="268"/>
      <c r="AZ4" s="269"/>
    </row>
    <row r="5" spans="2:52" x14ac:dyDescent="0.2">
      <c r="B5" s="267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9"/>
      <c r="O5" s="267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9"/>
      <c r="AB5" s="267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9"/>
      <c r="AO5" s="267"/>
      <c r="AP5" s="268"/>
      <c r="AQ5" s="268"/>
      <c r="AR5" s="268"/>
      <c r="AS5" s="268"/>
      <c r="AT5" s="268"/>
      <c r="AU5" s="268"/>
      <c r="AV5" s="268"/>
      <c r="AW5" s="268"/>
      <c r="AX5" s="268"/>
      <c r="AY5" s="268"/>
      <c r="AZ5" s="269"/>
    </row>
    <row r="6" spans="2:52" x14ac:dyDescent="0.2">
      <c r="B6" s="267"/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9"/>
      <c r="O6" s="267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9"/>
      <c r="AB6" s="267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9"/>
      <c r="AO6" s="267"/>
      <c r="AP6" s="268"/>
      <c r="AQ6" s="268"/>
      <c r="AR6" s="268"/>
      <c r="AS6" s="268"/>
      <c r="AT6" s="268"/>
      <c r="AU6" s="268"/>
      <c r="AV6" s="268"/>
      <c r="AW6" s="268"/>
      <c r="AX6" s="268"/>
      <c r="AY6" s="268"/>
      <c r="AZ6" s="269"/>
    </row>
    <row r="7" spans="2:52" x14ac:dyDescent="0.2">
      <c r="B7" s="267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9"/>
      <c r="O7" s="267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9"/>
      <c r="AB7" s="267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9"/>
      <c r="AO7" s="267"/>
      <c r="AP7" s="268"/>
      <c r="AQ7" s="268"/>
      <c r="AR7" s="268"/>
      <c r="AS7" s="268"/>
      <c r="AT7" s="268"/>
      <c r="AU7" s="268"/>
      <c r="AV7" s="268"/>
      <c r="AW7" s="268"/>
      <c r="AX7" s="268"/>
      <c r="AY7" s="268"/>
      <c r="AZ7" s="269"/>
    </row>
    <row r="8" spans="2:52" x14ac:dyDescent="0.2">
      <c r="B8" s="267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9"/>
      <c r="O8" s="267"/>
      <c r="P8" s="268"/>
      <c r="Q8" s="268"/>
      <c r="R8" s="268"/>
      <c r="S8" s="268"/>
      <c r="T8" s="268"/>
      <c r="U8" s="268"/>
      <c r="V8" s="268"/>
      <c r="W8" s="268"/>
      <c r="X8" s="268"/>
      <c r="Y8" s="268"/>
      <c r="Z8" s="269"/>
      <c r="AB8" s="267"/>
      <c r="AC8" s="268"/>
      <c r="AD8" s="268"/>
      <c r="AE8" s="268"/>
      <c r="AF8" s="268"/>
      <c r="AG8" s="268"/>
      <c r="AH8" s="268"/>
      <c r="AI8" s="268"/>
      <c r="AJ8" s="268"/>
      <c r="AK8" s="268"/>
      <c r="AL8" s="268"/>
      <c r="AM8" s="269"/>
      <c r="AO8" s="267"/>
      <c r="AP8" s="268"/>
      <c r="AQ8" s="268"/>
      <c r="AR8" s="268"/>
      <c r="AS8" s="268"/>
      <c r="AT8" s="268"/>
      <c r="AU8" s="268"/>
      <c r="AV8" s="268"/>
      <c r="AW8" s="268"/>
      <c r="AX8" s="268"/>
      <c r="AY8" s="268"/>
      <c r="AZ8" s="269"/>
    </row>
    <row r="9" spans="2:52" x14ac:dyDescent="0.2">
      <c r="B9" s="267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9"/>
      <c r="O9" s="267"/>
      <c r="P9" s="268"/>
      <c r="Q9" s="268"/>
      <c r="R9" s="268"/>
      <c r="S9" s="268"/>
      <c r="T9" s="268"/>
      <c r="U9" s="268"/>
      <c r="V9" s="268"/>
      <c r="W9" s="268"/>
      <c r="X9" s="268"/>
      <c r="Y9" s="268"/>
      <c r="Z9" s="269"/>
      <c r="AB9" s="267"/>
      <c r="AC9" s="268"/>
      <c r="AD9" s="268"/>
      <c r="AE9" s="268"/>
      <c r="AF9" s="268"/>
      <c r="AG9" s="268"/>
      <c r="AH9" s="268"/>
      <c r="AI9" s="268"/>
      <c r="AJ9" s="268"/>
      <c r="AK9" s="268"/>
      <c r="AL9" s="268"/>
      <c r="AM9" s="269"/>
      <c r="AO9" s="267"/>
      <c r="AP9" s="268"/>
      <c r="AQ9" s="268"/>
      <c r="AR9" s="268"/>
      <c r="AS9" s="268"/>
      <c r="AT9" s="268"/>
      <c r="AU9" s="268"/>
      <c r="AV9" s="268"/>
      <c r="AW9" s="268"/>
      <c r="AX9" s="268"/>
      <c r="AY9" s="268"/>
      <c r="AZ9" s="269"/>
    </row>
    <row r="10" spans="2:52" x14ac:dyDescent="0.2">
      <c r="B10" s="267"/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9"/>
      <c r="O10" s="267"/>
      <c r="P10" s="268"/>
      <c r="Q10" s="268"/>
      <c r="R10" s="268"/>
      <c r="S10" s="268"/>
      <c r="T10" s="268"/>
      <c r="U10" s="268"/>
      <c r="V10" s="268"/>
      <c r="W10" s="268"/>
      <c r="X10" s="268"/>
      <c r="Y10" s="268"/>
      <c r="Z10" s="269"/>
      <c r="AB10" s="267"/>
      <c r="AC10" s="268"/>
      <c r="AD10" s="268"/>
      <c r="AE10" s="268"/>
      <c r="AF10" s="268"/>
      <c r="AG10" s="268"/>
      <c r="AH10" s="268"/>
      <c r="AI10" s="268"/>
      <c r="AJ10" s="268"/>
      <c r="AK10" s="268"/>
      <c r="AL10" s="268"/>
      <c r="AM10" s="269"/>
      <c r="AO10" s="267"/>
      <c r="AP10" s="268"/>
      <c r="AQ10" s="268"/>
      <c r="AR10" s="268"/>
      <c r="AS10" s="268"/>
      <c r="AT10" s="268"/>
      <c r="AU10" s="268"/>
      <c r="AV10" s="268"/>
      <c r="AW10" s="268"/>
      <c r="AX10" s="268"/>
      <c r="AY10" s="268"/>
      <c r="AZ10" s="269"/>
    </row>
    <row r="11" spans="2:52" x14ac:dyDescent="0.2">
      <c r="B11" s="267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9"/>
      <c r="O11" s="267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9"/>
      <c r="AB11" s="267"/>
      <c r="AC11" s="268"/>
      <c r="AD11" s="268"/>
      <c r="AE11" s="268"/>
      <c r="AF11" s="268"/>
      <c r="AG11" s="268"/>
      <c r="AH11" s="268"/>
      <c r="AI11" s="268"/>
      <c r="AJ11" s="268"/>
      <c r="AK11" s="268"/>
      <c r="AL11" s="268"/>
      <c r="AM11" s="269"/>
      <c r="AO11" s="267"/>
      <c r="AP11" s="268"/>
      <c r="AQ11" s="268"/>
      <c r="AR11" s="268"/>
      <c r="AS11" s="268"/>
      <c r="AT11" s="268"/>
      <c r="AU11" s="268"/>
      <c r="AV11" s="268"/>
      <c r="AW11" s="268"/>
      <c r="AX11" s="268"/>
      <c r="AY11" s="268"/>
      <c r="AZ11" s="269"/>
    </row>
    <row r="12" spans="2:52" x14ac:dyDescent="0.2">
      <c r="B12" s="267"/>
      <c r="C12" s="268"/>
      <c r="D12" s="268"/>
      <c r="E12" s="268"/>
      <c r="F12" s="268"/>
      <c r="G12" s="268"/>
      <c r="H12" s="268"/>
      <c r="I12" s="268"/>
      <c r="J12" s="268"/>
      <c r="K12" s="268"/>
      <c r="L12" s="268"/>
      <c r="M12" s="269"/>
      <c r="O12" s="267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9"/>
      <c r="AB12" s="267"/>
      <c r="AC12" s="268"/>
      <c r="AD12" s="268"/>
      <c r="AE12" s="268"/>
      <c r="AF12" s="268"/>
      <c r="AG12" s="268"/>
      <c r="AH12" s="268"/>
      <c r="AI12" s="268"/>
      <c r="AJ12" s="268"/>
      <c r="AK12" s="268"/>
      <c r="AL12" s="268"/>
      <c r="AM12" s="269"/>
      <c r="AO12" s="267"/>
      <c r="AP12" s="268"/>
      <c r="AQ12" s="268"/>
      <c r="AR12" s="268"/>
      <c r="AS12" s="268"/>
      <c r="AT12" s="268"/>
      <c r="AU12" s="268"/>
      <c r="AV12" s="268"/>
      <c r="AW12" s="268"/>
      <c r="AX12" s="268"/>
      <c r="AY12" s="268"/>
      <c r="AZ12" s="269"/>
    </row>
    <row r="13" spans="2:52" x14ac:dyDescent="0.2">
      <c r="B13" s="267"/>
      <c r="C13" s="268"/>
      <c r="D13" s="268"/>
      <c r="E13" s="268"/>
      <c r="F13" s="268"/>
      <c r="G13" s="268"/>
      <c r="H13" s="268"/>
      <c r="I13" s="268"/>
      <c r="J13" s="268"/>
      <c r="K13" s="268"/>
      <c r="L13" s="268"/>
      <c r="M13" s="269"/>
      <c r="O13" s="267"/>
      <c r="P13" s="268"/>
      <c r="Q13" s="268"/>
      <c r="R13" s="268"/>
      <c r="S13" s="268"/>
      <c r="T13" s="268"/>
      <c r="U13" s="268"/>
      <c r="V13" s="268"/>
      <c r="W13" s="268"/>
      <c r="X13" s="268"/>
      <c r="Y13" s="268"/>
      <c r="Z13" s="269"/>
      <c r="AB13" s="267"/>
      <c r="AC13" s="268"/>
      <c r="AD13" s="268"/>
      <c r="AE13" s="268"/>
      <c r="AF13" s="268"/>
      <c r="AG13" s="268"/>
      <c r="AH13" s="268"/>
      <c r="AI13" s="268"/>
      <c r="AJ13" s="268"/>
      <c r="AK13" s="268"/>
      <c r="AL13" s="268"/>
      <c r="AM13" s="269"/>
      <c r="AO13" s="267"/>
      <c r="AP13" s="268"/>
      <c r="AQ13" s="268"/>
      <c r="AR13" s="268"/>
      <c r="AS13" s="268"/>
      <c r="AT13" s="268"/>
      <c r="AU13" s="268"/>
      <c r="AV13" s="268"/>
      <c r="AW13" s="268"/>
      <c r="AX13" s="268"/>
      <c r="AY13" s="268"/>
      <c r="AZ13" s="269"/>
    </row>
    <row r="14" spans="2:52" x14ac:dyDescent="0.2">
      <c r="B14" s="267"/>
      <c r="C14" s="268"/>
      <c r="D14" s="268"/>
      <c r="E14" s="268"/>
      <c r="F14" s="268"/>
      <c r="G14" s="268"/>
      <c r="H14" s="268"/>
      <c r="I14" s="268"/>
      <c r="J14" s="268"/>
      <c r="K14" s="268"/>
      <c r="L14" s="268"/>
      <c r="M14" s="269"/>
      <c r="O14" s="267"/>
      <c r="P14" s="268"/>
      <c r="Q14" s="268"/>
      <c r="R14" s="268"/>
      <c r="S14" s="268"/>
      <c r="T14" s="268"/>
      <c r="U14" s="268"/>
      <c r="V14" s="268"/>
      <c r="W14" s="268"/>
      <c r="X14" s="268"/>
      <c r="Y14" s="268"/>
      <c r="Z14" s="269"/>
      <c r="AB14" s="267"/>
      <c r="AC14" s="268"/>
      <c r="AD14" s="268"/>
      <c r="AE14" s="268"/>
      <c r="AF14" s="268"/>
      <c r="AG14" s="268"/>
      <c r="AH14" s="268"/>
      <c r="AI14" s="268"/>
      <c r="AJ14" s="268"/>
      <c r="AK14" s="268"/>
      <c r="AL14" s="268"/>
      <c r="AM14" s="269"/>
      <c r="AO14" s="267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9"/>
    </row>
    <row r="15" spans="2:52" x14ac:dyDescent="0.2">
      <c r="B15" s="267"/>
      <c r="C15" s="268"/>
      <c r="D15" s="268"/>
      <c r="E15" s="268"/>
      <c r="F15" s="268"/>
      <c r="G15" s="268"/>
      <c r="H15" s="268"/>
      <c r="I15" s="268"/>
      <c r="J15" s="268"/>
      <c r="K15" s="268"/>
      <c r="L15" s="268"/>
      <c r="M15" s="269"/>
      <c r="O15" s="267"/>
      <c r="P15" s="268"/>
      <c r="Q15" s="268"/>
      <c r="R15" s="268"/>
      <c r="S15" s="268"/>
      <c r="T15" s="268"/>
      <c r="U15" s="268"/>
      <c r="V15" s="268"/>
      <c r="W15" s="268"/>
      <c r="X15" s="268"/>
      <c r="Y15" s="268"/>
      <c r="Z15" s="269"/>
      <c r="AB15" s="267"/>
      <c r="AC15" s="268"/>
      <c r="AD15" s="268"/>
      <c r="AE15" s="268"/>
      <c r="AF15" s="268"/>
      <c r="AG15" s="268"/>
      <c r="AH15" s="268"/>
      <c r="AI15" s="268"/>
      <c r="AJ15" s="268"/>
      <c r="AK15" s="268"/>
      <c r="AL15" s="268"/>
      <c r="AM15" s="269"/>
      <c r="AO15" s="267"/>
      <c r="AP15" s="268"/>
      <c r="AQ15" s="268"/>
      <c r="AR15" s="268"/>
      <c r="AS15" s="268"/>
      <c r="AT15" s="268"/>
      <c r="AU15" s="268"/>
      <c r="AV15" s="268"/>
      <c r="AW15" s="268"/>
      <c r="AX15" s="268"/>
      <c r="AY15" s="268"/>
      <c r="AZ15" s="269"/>
    </row>
    <row r="16" spans="2:52" x14ac:dyDescent="0.2">
      <c r="B16" s="267"/>
      <c r="C16" s="268"/>
      <c r="D16" s="268"/>
      <c r="E16" s="268"/>
      <c r="F16" s="268"/>
      <c r="G16" s="268"/>
      <c r="H16" s="268"/>
      <c r="I16" s="268"/>
      <c r="J16" s="268"/>
      <c r="K16" s="268"/>
      <c r="L16" s="268"/>
      <c r="M16" s="269"/>
      <c r="O16" s="267"/>
      <c r="P16" s="268"/>
      <c r="Q16" s="268"/>
      <c r="R16" s="268"/>
      <c r="S16" s="268"/>
      <c r="T16" s="268"/>
      <c r="U16" s="268"/>
      <c r="V16" s="268"/>
      <c r="W16" s="268"/>
      <c r="X16" s="268"/>
      <c r="Y16" s="268"/>
      <c r="Z16" s="269"/>
      <c r="AB16" s="267"/>
      <c r="AC16" s="268"/>
      <c r="AD16" s="268"/>
      <c r="AE16" s="268"/>
      <c r="AF16" s="268"/>
      <c r="AG16" s="268"/>
      <c r="AH16" s="268"/>
      <c r="AI16" s="268"/>
      <c r="AJ16" s="268"/>
      <c r="AK16" s="268"/>
      <c r="AL16" s="268"/>
      <c r="AM16" s="269"/>
      <c r="AO16" s="267"/>
      <c r="AP16" s="268"/>
      <c r="AQ16" s="268"/>
      <c r="AR16" s="268"/>
      <c r="AS16" s="268"/>
      <c r="AT16" s="268"/>
      <c r="AU16" s="268"/>
      <c r="AV16" s="268"/>
      <c r="AW16" s="268"/>
      <c r="AX16" s="268"/>
      <c r="AY16" s="268"/>
      <c r="AZ16" s="269"/>
    </row>
    <row r="17" spans="2:52" x14ac:dyDescent="0.2">
      <c r="B17" s="267"/>
      <c r="C17" s="268"/>
      <c r="D17" s="268"/>
      <c r="E17" s="268"/>
      <c r="F17" s="268"/>
      <c r="G17" s="268"/>
      <c r="H17" s="268"/>
      <c r="I17" s="268"/>
      <c r="J17" s="268"/>
      <c r="K17" s="268"/>
      <c r="L17" s="268"/>
      <c r="M17" s="269"/>
      <c r="O17" s="267"/>
      <c r="P17" s="268"/>
      <c r="Q17" s="268"/>
      <c r="R17" s="268"/>
      <c r="S17" s="268"/>
      <c r="T17" s="268"/>
      <c r="U17" s="268"/>
      <c r="V17" s="268"/>
      <c r="W17" s="268"/>
      <c r="X17" s="268"/>
      <c r="Y17" s="268"/>
      <c r="Z17" s="269"/>
      <c r="AB17" s="267"/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9"/>
      <c r="AO17" s="267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9"/>
    </row>
    <row r="18" spans="2:52" x14ac:dyDescent="0.2">
      <c r="B18" s="267"/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9"/>
      <c r="O18" s="267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9"/>
      <c r="AB18" s="267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9"/>
      <c r="AO18" s="267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9"/>
    </row>
    <row r="19" spans="2:52" x14ac:dyDescent="0.2">
      <c r="B19" s="267"/>
      <c r="C19" s="268"/>
      <c r="D19" s="268"/>
      <c r="E19" s="268"/>
      <c r="F19" s="268"/>
      <c r="G19" s="268"/>
      <c r="H19" s="268"/>
      <c r="I19" s="268"/>
      <c r="J19" s="268"/>
      <c r="K19" s="268"/>
      <c r="L19" s="268"/>
      <c r="M19" s="269"/>
      <c r="O19" s="267"/>
      <c r="P19" s="268"/>
      <c r="Q19" s="268"/>
      <c r="R19" s="268"/>
      <c r="S19" s="268"/>
      <c r="T19" s="268"/>
      <c r="U19" s="268"/>
      <c r="V19" s="268"/>
      <c r="W19" s="268"/>
      <c r="X19" s="268"/>
      <c r="Y19" s="268"/>
      <c r="Z19" s="269"/>
      <c r="AB19" s="267"/>
      <c r="AC19" s="268"/>
      <c r="AD19" s="268"/>
      <c r="AE19" s="268"/>
      <c r="AF19" s="268"/>
      <c r="AG19" s="268"/>
      <c r="AH19" s="268"/>
      <c r="AI19" s="268"/>
      <c r="AJ19" s="268"/>
      <c r="AK19" s="268"/>
      <c r="AL19" s="268"/>
      <c r="AM19" s="269"/>
      <c r="AO19" s="267"/>
      <c r="AP19" s="268"/>
      <c r="AQ19" s="268"/>
      <c r="AR19" s="268"/>
      <c r="AS19" s="268"/>
      <c r="AT19" s="268"/>
      <c r="AU19" s="268"/>
      <c r="AV19" s="268"/>
      <c r="AW19" s="268"/>
      <c r="AX19" s="268"/>
      <c r="AY19" s="268"/>
      <c r="AZ19" s="269"/>
    </row>
    <row r="20" spans="2:52" x14ac:dyDescent="0.2">
      <c r="B20" s="267"/>
      <c r="C20" s="268"/>
      <c r="D20" s="268"/>
      <c r="E20" s="268"/>
      <c r="F20" s="268"/>
      <c r="G20" s="268"/>
      <c r="H20" s="268"/>
      <c r="I20" s="268"/>
      <c r="J20" s="268"/>
      <c r="K20" s="268"/>
      <c r="L20" s="268"/>
      <c r="M20" s="269"/>
      <c r="O20" s="267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9"/>
      <c r="AB20" s="267"/>
      <c r="AC20" s="268"/>
      <c r="AD20" s="268"/>
      <c r="AE20" s="268"/>
      <c r="AF20" s="268"/>
      <c r="AG20" s="268"/>
      <c r="AH20" s="268"/>
      <c r="AI20" s="268"/>
      <c r="AJ20" s="268"/>
      <c r="AK20" s="268"/>
      <c r="AL20" s="268"/>
      <c r="AM20" s="269"/>
      <c r="AO20" s="267"/>
      <c r="AP20" s="268"/>
      <c r="AQ20" s="268"/>
      <c r="AR20" s="268"/>
      <c r="AS20" s="268"/>
      <c r="AT20" s="268"/>
      <c r="AU20" s="268"/>
      <c r="AV20" s="268"/>
      <c r="AW20" s="268"/>
      <c r="AX20" s="268"/>
      <c r="AY20" s="268"/>
      <c r="AZ20" s="269"/>
    </row>
    <row r="21" spans="2:52" x14ac:dyDescent="0.2">
      <c r="B21" s="267"/>
      <c r="C21" s="268"/>
      <c r="D21" s="268"/>
      <c r="E21" s="268"/>
      <c r="F21" s="268"/>
      <c r="G21" s="268"/>
      <c r="H21" s="268"/>
      <c r="I21" s="268"/>
      <c r="J21" s="268"/>
      <c r="K21" s="268"/>
      <c r="L21" s="268"/>
      <c r="M21" s="269"/>
      <c r="O21" s="267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9"/>
      <c r="AB21" s="267"/>
      <c r="AC21" s="268"/>
      <c r="AD21" s="268"/>
      <c r="AE21" s="268"/>
      <c r="AF21" s="268"/>
      <c r="AG21" s="268"/>
      <c r="AH21" s="268"/>
      <c r="AI21" s="268"/>
      <c r="AJ21" s="268"/>
      <c r="AK21" s="268"/>
      <c r="AL21" s="268"/>
      <c r="AM21" s="269"/>
      <c r="AO21" s="267"/>
      <c r="AP21" s="268"/>
      <c r="AQ21" s="268"/>
      <c r="AR21" s="268"/>
      <c r="AS21" s="268"/>
      <c r="AT21" s="268"/>
      <c r="AU21" s="268"/>
      <c r="AV21" s="268"/>
      <c r="AW21" s="268"/>
      <c r="AX21" s="268"/>
      <c r="AY21" s="268"/>
      <c r="AZ21" s="269"/>
    </row>
    <row r="22" spans="2:52" x14ac:dyDescent="0.2">
      <c r="B22" s="267"/>
      <c r="C22" s="268"/>
      <c r="D22" s="268"/>
      <c r="E22" s="268"/>
      <c r="F22" s="268"/>
      <c r="G22" s="268"/>
      <c r="H22" s="268"/>
      <c r="I22" s="268"/>
      <c r="J22" s="268"/>
      <c r="K22" s="268"/>
      <c r="L22" s="268"/>
      <c r="M22" s="269"/>
      <c r="O22" s="267"/>
      <c r="P22" s="268"/>
      <c r="Q22" s="268"/>
      <c r="R22" s="268"/>
      <c r="S22" s="268"/>
      <c r="T22" s="268"/>
      <c r="U22" s="268"/>
      <c r="V22" s="268"/>
      <c r="W22" s="268"/>
      <c r="X22" s="268"/>
      <c r="Y22" s="268"/>
      <c r="Z22" s="269"/>
      <c r="AB22" s="267"/>
      <c r="AC22" s="268"/>
      <c r="AD22" s="268"/>
      <c r="AE22" s="268"/>
      <c r="AF22" s="268"/>
      <c r="AG22" s="268"/>
      <c r="AH22" s="268"/>
      <c r="AI22" s="268"/>
      <c r="AJ22" s="268"/>
      <c r="AK22" s="268"/>
      <c r="AL22" s="268"/>
      <c r="AM22" s="269"/>
      <c r="AO22" s="267"/>
      <c r="AP22" s="268"/>
      <c r="AQ22" s="268"/>
      <c r="AR22" s="268"/>
      <c r="AS22" s="268"/>
      <c r="AT22" s="268"/>
      <c r="AU22" s="268"/>
      <c r="AV22" s="268"/>
      <c r="AW22" s="268"/>
      <c r="AX22" s="268"/>
      <c r="AY22" s="268"/>
      <c r="AZ22" s="269"/>
    </row>
    <row r="23" spans="2:52" x14ac:dyDescent="0.2">
      <c r="B23" s="267"/>
      <c r="C23" s="268"/>
      <c r="D23" s="268"/>
      <c r="E23" s="268"/>
      <c r="F23" s="268"/>
      <c r="G23" s="268"/>
      <c r="H23" s="268"/>
      <c r="I23" s="268"/>
      <c r="J23" s="268"/>
      <c r="K23" s="268"/>
      <c r="L23" s="268"/>
      <c r="M23" s="269"/>
      <c r="O23" s="267"/>
      <c r="P23" s="268"/>
      <c r="Q23" s="268"/>
      <c r="R23" s="268"/>
      <c r="S23" s="268"/>
      <c r="T23" s="268"/>
      <c r="U23" s="268"/>
      <c r="V23" s="268"/>
      <c r="W23" s="268"/>
      <c r="X23" s="268"/>
      <c r="Y23" s="268"/>
      <c r="Z23" s="269"/>
      <c r="AB23" s="267"/>
      <c r="AC23" s="268"/>
      <c r="AD23" s="268"/>
      <c r="AE23" s="268"/>
      <c r="AF23" s="268"/>
      <c r="AG23" s="268"/>
      <c r="AH23" s="268"/>
      <c r="AI23" s="268"/>
      <c r="AJ23" s="268"/>
      <c r="AK23" s="268"/>
      <c r="AL23" s="268"/>
      <c r="AM23" s="269"/>
      <c r="AO23" s="267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9"/>
    </row>
    <row r="24" spans="2:52" x14ac:dyDescent="0.2">
      <c r="B24" s="267"/>
      <c r="C24" s="268"/>
      <c r="D24" s="268"/>
      <c r="E24" s="268"/>
      <c r="F24" s="268"/>
      <c r="G24" s="268"/>
      <c r="H24" s="268"/>
      <c r="I24" s="268"/>
      <c r="J24" s="268"/>
      <c r="K24" s="268"/>
      <c r="L24" s="268"/>
      <c r="M24" s="269"/>
      <c r="O24" s="267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9"/>
      <c r="AB24" s="267"/>
      <c r="AC24" s="268"/>
      <c r="AD24" s="268"/>
      <c r="AE24" s="268"/>
      <c r="AF24" s="268"/>
      <c r="AG24" s="268"/>
      <c r="AH24" s="268"/>
      <c r="AI24" s="268"/>
      <c r="AJ24" s="268"/>
      <c r="AK24" s="268"/>
      <c r="AL24" s="268"/>
      <c r="AM24" s="269"/>
      <c r="AO24" s="267"/>
      <c r="AP24" s="268"/>
      <c r="AQ24" s="268"/>
      <c r="AR24" s="268"/>
      <c r="AS24" s="268"/>
      <c r="AT24" s="268"/>
      <c r="AU24" s="268"/>
      <c r="AV24" s="268"/>
      <c r="AW24" s="268"/>
      <c r="AX24" s="268"/>
      <c r="AY24" s="268"/>
      <c r="AZ24" s="269"/>
    </row>
    <row r="25" spans="2:52" x14ac:dyDescent="0.2">
      <c r="B25" s="267"/>
      <c r="C25" s="268"/>
      <c r="D25" s="268"/>
      <c r="E25" s="268"/>
      <c r="F25" s="268"/>
      <c r="G25" s="268"/>
      <c r="H25" s="268"/>
      <c r="I25" s="268"/>
      <c r="J25" s="268"/>
      <c r="K25" s="268"/>
      <c r="L25" s="268"/>
      <c r="M25" s="269"/>
      <c r="O25" s="267"/>
      <c r="P25" s="268"/>
      <c r="Q25" s="268"/>
      <c r="R25" s="268"/>
      <c r="S25" s="268"/>
      <c r="T25" s="268"/>
      <c r="U25" s="268"/>
      <c r="V25" s="268"/>
      <c r="W25" s="268"/>
      <c r="X25" s="268"/>
      <c r="Y25" s="268"/>
      <c r="Z25" s="269"/>
      <c r="AB25" s="267"/>
      <c r="AC25" s="268"/>
      <c r="AD25" s="268"/>
      <c r="AE25" s="268"/>
      <c r="AF25" s="268"/>
      <c r="AG25" s="268"/>
      <c r="AH25" s="268"/>
      <c r="AI25" s="268"/>
      <c r="AJ25" s="268"/>
      <c r="AK25" s="268"/>
      <c r="AL25" s="268"/>
      <c r="AM25" s="269"/>
      <c r="AO25" s="267"/>
      <c r="AP25" s="268"/>
      <c r="AQ25" s="268"/>
      <c r="AR25" s="268"/>
      <c r="AS25" s="268"/>
      <c r="AT25" s="268"/>
      <c r="AU25" s="268"/>
      <c r="AV25" s="268"/>
      <c r="AW25" s="268"/>
      <c r="AX25" s="268"/>
      <c r="AY25" s="268"/>
      <c r="AZ25" s="269"/>
    </row>
    <row r="26" spans="2:52" x14ac:dyDescent="0.2">
      <c r="B26" s="267"/>
      <c r="C26" s="268"/>
      <c r="D26" s="268"/>
      <c r="E26" s="268"/>
      <c r="F26" s="268"/>
      <c r="G26" s="268"/>
      <c r="H26" s="268"/>
      <c r="I26" s="268"/>
      <c r="J26" s="268"/>
      <c r="K26" s="268"/>
      <c r="L26" s="268"/>
      <c r="M26" s="269"/>
      <c r="O26" s="267"/>
      <c r="P26" s="268"/>
      <c r="Q26" s="268"/>
      <c r="R26" s="268"/>
      <c r="S26" s="268"/>
      <c r="T26" s="268"/>
      <c r="U26" s="268"/>
      <c r="V26" s="268"/>
      <c r="W26" s="268"/>
      <c r="X26" s="268"/>
      <c r="Y26" s="268"/>
      <c r="Z26" s="269"/>
      <c r="AB26" s="267"/>
      <c r="AC26" s="268"/>
      <c r="AD26" s="268"/>
      <c r="AE26" s="268"/>
      <c r="AF26" s="268"/>
      <c r="AG26" s="268"/>
      <c r="AH26" s="268"/>
      <c r="AI26" s="268"/>
      <c r="AJ26" s="268"/>
      <c r="AK26" s="268"/>
      <c r="AL26" s="268"/>
      <c r="AM26" s="269"/>
      <c r="AO26" s="267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9"/>
    </row>
    <row r="27" spans="2:52" x14ac:dyDescent="0.2">
      <c r="B27" s="267"/>
      <c r="C27" s="268"/>
      <c r="D27" s="268"/>
      <c r="E27" s="268"/>
      <c r="F27" s="268"/>
      <c r="G27" s="268"/>
      <c r="H27" s="268"/>
      <c r="I27" s="268"/>
      <c r="J27" s="268"/>
      <c r="K27" s="268"/>
      <c r="L27" s="268"/>
      <c r="M27" s="269"/>
      <c r="O27" s="267"/>
      <c r="P27" s="268"/>
      <c r="Q27" s="268"/>
      <c r="R27" s="268"/>
      <c r="S27" s="268"/>
      <c r="T27" s="268"/>
      <c r="U27" s="268"/>
      <c r="V27" s="268"/>
      <c r="W27" s="268"/>
      <c r="X27" s="268"/>
      <c r="Y27" s="268"/>
      <c r="Z27" s="269"/>
      <c r="AB27" s="267"/>
      <c r="AC27" s="268"/>
      <c r="AD27" s="268"/>
      <c r="AE27" s="268"/>
      <c r="AF27" s="268"/>
      <c r="AG27" s="268"/>
      <c r="AH27" s="268"/>
      <c r="AI27" s="268"/>
      <c r="AJ27" s="268"/>
      <c r="AK27" s="268"/>
      <c r="AL27" s="268"/>
      <c r="AM27" s="269"/>
      <c r="AO27" s="267"/>
      <c r="AP27" s="268"/>
      <c r="AQ27" s="268"/>
      <c r="AR27" s="268"/>
      <c r="AS27" s="268"/>
      <c r="AT27" s="268"/>
      <c r="AU27" s="268"/>
      <c r="AV27" s="268"/>
      <c r="AW27" s="268"/>
      <c r="AX27" s="268"/>
      <c r="AY27" s="268"/>
      <c r="AZ27" s="269"/>
    </row>
    <row r="28" spans="2:52" ht="13.5" thickBot="1" x14ac:dyDescent="0.25">
      <c r="B28" s="270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2"/>
      <c r="O28" s="270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2"/>
      <c r="AB28" s="270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2"/>
      <c r="AO28" s="270"/>
      <c r="AP28" s="271"/>
      <c r="AQ28" s="271"/>
      <c r="AR28" s="271"/>
      <c r="AS28" s="271"/>
      <c r="AT28" s="271"/>
      <c r="AU28" s="271"/>
      <c r="AV28" s="271"/>
      <c r="AW28" s="271"/>
      <c r="AX28" s="271"/>
      <c r="AY28" s="271"/>
      <c r="AZ28" s="272"/>
    </row>
    <row r="29" spans="2:52" ht="13.5" thickBot="1" x14ac:dyDescent="0.25"/>
    <row r="30" spans="2:52" ht="38.25" customHeight="1" thickBot="1" x14ac:dyDescent="0.25">
      <c r="B30" s="273" t="s">
        <v>266</v>
      </c>
      <c r="C30" s="274"/>
      <c r="D30" s="274"/>
      <c r="E30" s="274"/>
      <c r="F30" s="274"/>
      <c r="G30" s="274"/>
      <c r="H30" s="274"/>
      <c r="I30" s="274"/>
      <c r="J30" s="275"/>
      <c r="K30" s="276" t="s">
        <v>209</v>
      </c>
      <c r="L30" s="277"/>
      <c r="M30" s="187">
        <f>Summary!X5</f>
        <v>1800</v>
      </c>
      <c r="O30" s="278" t="s">
        <v>267</v>
      </c>
      <c r="P30" s="279"/>
      <c r="Q30" s="279"/>
      <c r="R30" s="279"/>
      <c r="S30" s="279"/>
      <c r="T30" s="279"/>
      <c r="U30" s="279"/>
      <c r="V30" s="279"/>
      <c r="W30" s="280"/>
      <c r="X30" s="281" t="s">
        <v>209</v>
      </c>
      <c r="Y30" s="282"/>
      <c r="Z30" s="189">
        <f>Summary!AA5</f>
        <v>1737</v>
      </c>
      <c r="AB30" s="283" t="s">
        <v>268</v>
      </c>
      <c r="AC30" s="284"/>
      <c r="AD30" s="284"/>
      <c r="AE30" s="284"/>
      <c r="AF30" s="284"/>
      <c r="AG30" s="284"/>
      <c r="AH30" s="284"/>
      <c r="AI30" s="284"/>
      <c r="AJ30" s="284"/>
      <c r="AK30" s="285" t="s">
        <v>209</v>
      </c>
      <c r="AL30" s="286"/>
      <c r="AM30" s="192">
        <f>AM2</f>
        <v>0.96499999999999997</v>
      </c>
      <c r="AO30" s="283" t="s">
        <v>269</v>
      </c>
      <c r="AP30" s="284"/>
      <c r="AQ30" s="284"/>
      <c r="AR30" s="284"/>
      <c r="AS30" s="284"/>
      <c r="AT30" s="284"/>
      <c r="AU30" s="284"/>
      <c r="AV30" s="284"/>
      <c r="AW30" s="284"/>
      <c r="AX30" s="285" t="s">
        <v>209</v>
      </c>
      <c r="AY30" s="286"/>
      <c r="AZ30" s="192">
        <f>AZ2</f>
        <v>0.96499999999999997</v>
      </c>
    </row>
    <row r="31" spans="2:52" x14ac:dyDescent="0.2">
      <c r="B31" s="264"/>
      <c r="C31" s="265"/>
      <c r="D31" s="265"/>
      <c r="E31" s="265"/>
      <c r="F31" s="265"/>
      <c r="G31" s="265"/>
      <c r="H31" s="265"/>
      <c r="I31" s="265"/>
      <c r="J31" s="265"/>
      <c r="K31" s="265"/>
      <c r="L31" s="265"/>
      <c r="M31" s="266"/>
      <c r="O31" s="264"/>
      <c r="P31" s="265"/>
      <c r="Q31" s="265"/>
      <c r="R31" s="265"/>
      <c r="S31" s="265"/>
      <c r="T31" s="265"/>
      <c r="U31" s="265"/>
      <c r="V31" s="265"/>
      <c r="W31" s="265"/>
      <c r="X31" s="265"/>
      <c r="Y31" s="265"/>
      <c r="Z31" s="266"/>
      <c r="AB31" s="264"/>
      <c r="AC31" s="265"/>
      <c r="AD31" s="265"/>
      <c r="AE31" s="265"/>
      <c r="AF31" s="265"/>
      <c r="AG31" s="265"/>
      <c r="AH31" s="265"/>
      <c r="AI31" s="265"/>
      <c r="AJ31" s="265"/>
      <c r="AK31" s="265"/>
      <c r="AL31" s="265"/>
      <c r="AM31" s="266"/>
      <c r="AO31" s="264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6"/>
    </row>
    <row r="32" spans="2:52" x14ac:dyDescent="0.2">
      <c r="B32" s="267"/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9"/>
      <c r="O32" s="267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9"/>
      <c r="AB32" s="267"/>
      <c r="AC32" s="268"/>
      <c r="AD32" s="268"/>
      <c r="AE32" s="268"/>
      <c r="AF32" s="268"/>
      <c r="AG32" s="268"/>
      <c r="AH32" s="268"/>
      <c r="AI32" s="268"/>
      <c r="AJ32" s="268"/>
      <c r="AK32" s="268"/>
      <c r="AL32" s="268"/>
      <c r="AM32" s="269"/>
      <c r="AO32" s="267"/>
      <c r="AP32" s="268"/>
      <c r="AQ32" s="268"/>
      <c r="AR32" s="268"/>
      <c r="AS32" s="268"/>
      <c r="AT32" s="268"/>
      <c r="AU32" s="268"/>
      <c r="AV32" s="268"/>
      <c r="AW32" s="268"/>
      <c r="AX32" s="268"/>
      <c r="AY32" s="268"/>
      <c r="AZ32" s="269"/>
    </row>
    <row r="33" spans="2:52" x14ac:dyDescent="0.2">
      <c r="B33" s="267"/>
      <c r="C33" s="268"/>
      <c r="D33" s="268"/>
      <c r="E33" s="268"/>
      <c r="F33" s="268"/>
      <c r="G33" s="268"/>
      <c r="H33" s="268"/>
      <c r="I33" s="268"/>
      <c r="J33" s="268"/>
      <c r="K33" s="268"/>
      <c r="L33" s="268"/>
      <c r="M33" s="269"/>
      <c r="O33" s="267"/>
      <c r="P33" s="268"/>
      <c r="Q33" s="268"/>
      <c r="R33" s="268"/>
      <c r="S33" s="268"/>
      <c r="T33" s="268"/>
      <c r="U33" s="268"/>
      <c r="V33" s="268"/>
      <c r="W33" s="268"/>
      <c r="X33" s="268"/>
      <c r="Y33" s="268"/>
      <c r="Z33" s="269"/>
      <c r="AB33" s="267"/>
      <c r="AC33" s="268"/>
      <c r="AD33" s="268"/>
      <c r="AE33" s="268"/>
      <c r="AF33" s="268"/>
      <c r="AG33" s="268"/>
      <c r="AH33" s="268"/>
      <c r="AI33" s="268"/>
      <c r="AJ33" s="268"/>
      <c r="AK33" s="268"/>
      <c r="AL33" s="268"/>
      <c r="AM33" s="269"/>
      <c r="AO33" s="267"/>
      <c r="AP33" s="268"/>
      <c r="AQ33" s="268"/>
      <c r="AR33" s="268"/>
      <c r="AS33" s="268"/>
      <c r="AT33" s="268"/>
      <c r="AU33" s="268"/>
      <c r="AV33" s="268"/>
      <c r="AW33" s="268"/>
      <c r="AX33" s="268"/>
      <c r="AY33" s="268"/>
      <c r="AZ33" s="269"/>
    </row>
    <row r="34" spans="2:52" x14ac:dyDescent="0.2">
      <c r="B34" s="267"/>
      <c r="C34" s="268"/>
      <c r="D34" s="268"/>
      <c r="E34" s="268"/>
      <c r="F34" s="268"/>
      <c r="G34" s="268"/>
      <c r="H34" s="268"/>
      <c r="I34" s="268"/>
      <c r="J34" s="268"/>
      <c r="K34" s="268"/>
      <c r="L34" s="268"/>
      <c r="M34" s="269"/>
      <c r="O34" s="267"/>
      <c r="P34" s="268"/>
      <c r="Q34" s="268"/>
      <c r="R34" s="268"/>
      <c r="S34" s="268"/>
      <c r="T34" s="268"/>
      <c r="U34" s="268"/>
      <c r="V34" s="268"/>
      <c r="W34" s="268"/>
      <c r="X34" s="268"/>
      <c r="Y34" s="268"/>
      <c r="Z34" s="269"/>
      <c r="AB34" s="267"/>
      <c r="AC34" s="268"/>
      <c r="AD34" s="268"/>
      <c r="AE34" s="268"/>
      <c r="AF34" s="268"/>
      <c r="AG34" s="268"/>
      <c r="AH34" s="268"/>
      <c r="AI34" s="268"/>
      <c r="AJ34" s="268"/>
      <c r="AK34" s="268"/>
      <c r="AL34" s="268"/>
      <c r="AM34" s="269"/>
      <c r="AO34" s="267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9"/>
    </row>
    <row r="35" spans="2:52" x14ac:dyDescent="0.2">
      <c r="B35" s="267"/>
      <c r="C35" s="268"/>
      <c r="D35" s="268"/>
      <c r="E35" s="268"/>
      <c r="F35" s="268"/>
      <c r="G35" s="268"/>
      <c r="H35" s="268"/>
      <c r="I35" s="268"/>
      <c r="J35" s="268"/>
      <c r="K35" s="268"/>
      <c r="L35" s="268"/>
      <c r="M35" s="269"/>
      <c r="O35" s="267"/>
      <c r="P35" s="268"/>
      <c r="Q35" s="268"/>
      <c r="R35" s="268"/>
      <c r="S35" s="268"/>
      <c r="T35" s="268"/>
      <c r="U35" s="268"/>
      <c r="V35" s="268"/>
      <c r="W35" s="268"/>
      <c r="X35" s="268"/>
      <c r="Y35" s="268"/>
      <c r="Z35" s="269"/>
      <c r="AB35" s="267"/>
      <c r="AC35" s="268"/>
      <c r="AD35" s="268"/>
      <c r="AE35" s="268"/>
      <c r="AF35" s="268"/>
      <c r="AG35" s="268"/>
      <c r="AH35" s="268"/>
      <c r="AI35" s="268"/>
      <c r="AJ35" s="268"/>
      <c r="AK35" s="268"/>
      <c r="AL35" s="268"/>
      <c r="AM35" s="269"/>
      <c r="AO35" s="267"/>
      <c r="AP35" s="268"/>
      <c r="AQ35" s="268"/>
      <c r="AR35" s="268"/>
      <c r="AS35" s="268"/>
      <c r="AT35" s="268"/>
      <c r="AU35" s="268"/>
      <c r="AV35" s="268"/>
      <c r="AW35" s="268"/>
      <c r="AX35" s="268"/>
      <c r="AY35" s="268"/>
      <c r="AZ35" s="269"/>
    </row>
    <row r="36" spans="2:52" x14ac:dyDescent="0.2">
      <c r="B36" s="267"/>
      <c r="C36" s="268"/>
      <c r="D36" s="268"/>
      <c r="E36" s="268"/>
      <c r="F36" s="268"/>
      <c r="G36" s="268"/>
      <c r="H36" s="268"/>
      <c r="I36" s="268"/>
      <c r="J36" s="268"/>
      <c r="K36" s="268"/>
      <c r="L36" s="268"/>
      <c r="M36" s="269"/>
      <c r="O36" s="267"/>
      <c r="P36" s="268"/>
      <c r="Q36" s="268"/>
      <c r="R36" s="268"/>
      <c r="S36" s="268"/>
      <c r="T36" s="268"/>
      <c r="U36" s="268"/>
      <c r="V36" s="268"/>
      <c r="W36" s="268"/>
      <c r="X36" s="268"/>
      <c r="Y36" s="268"/>
      <c r="Z36" s="269"/>
      <c r="AB36" s="267"/>
      <c r="AC36" s="268"/>
      <c r="AD36" s="268"/>
      <c r="AE36" s="268"/>
      <c r="AF36" s="268"/>
      <c r="AG36" s="268"/>
      <c r="AH36" s="268"/>
      <c r="AI36" s="268"/>
      <c r="AJ36" s="268"/>
      <c r="AK36" s="268"/>
      <c r="AL36" s="268"/>
      <c r="AM36" s="269"/>
      <c r="AO36" s="267"/>
      <c r="AP36" s="268"/>
      <c r="AQ36" s="268"/>
      <c r="AR36" s="268"/>
      <c r="AS36" s="268"/>
      <c r="AT36" s="268"/>
      <c r="AU36" s="268"/>
      <c r="AV36" s="268"/>
      <c r="AW36" s="268"/>
      <c r="AX36" s="268"/>
      <c r="AY36" s="268"/>
      <c r="AZ36" s="269"/>
    </row>
    <row r="37" spans="2:52" x14ac:dyDescent="0.2">
      <c r="B37" s="267"/>
      <c r="C37" s="268"/>
      <c r="D37" s="268"/>
      <c r="E37" s="268"/>
      <c r="F37" s="268"/>
      <c r="G37" s="268"/>
      <c r="H37" s="268"/>
      <c r="I37" s="268"/>
      <c r="J37" s="268"/>
      <c r="K37" s="268"/>
      <c r="L37" s="268"/>
      <c r="M37" s="269"/>
      <c r="O37" s="267"/>
      <c r="P37" s="268"/>
      <c r="Q37" s="268"/>
      <c r="R37" s="268"/>
      <c r="S37" s="268"/>
      <c r="T37" s="268"/>
      <c r="U37" s="268"/>
      <c r="V37" s="268"/>
      <c r="W37" s="268"/>
      <c r="X37" s="268"/>
      <c r="Y37" s="268"/>
      <c r="Z37" s="269"/>
      <c r="AB37" s="267"/>
      <c r="AC37" s="268"/>
      <c r="AD37" s="268"/>
      <c r="AE37" s="268"/>
      <c r="AF37" s="268"/>
      <c r="AG37" s="268"/>
      <c r="AH37" s="268"/>
      <c r="AI37" s="268"/>
      <c r="AJ37" s="268"/>
      <c r="AK37" s="268"/>
      <c r="AL37" s="268"/>
      <c r="AM37" s="269"/>
      <c r="AO37" s="267"/>
      <c r="AP37" s="268"/>
      <c r="AQ37" s="268"/>
      <c r="AR37" s="268"/>
      <c r="AS37" s="268"/>
      <c r="AT37" s="268"/>
      <c r="AU37" s="268"/>
      <c r="AV37" s="268"/>
      <c r="AW37" s="268"/>
      <c r="AX37" s="268"/>
      <c r="AY37" s="268"/>
      <c r="AZ37" s="269"/>
    </row>
    <row r="38" spans="2:52" x14ac:dyDescent="0.2">
      <c r="B38" s="267"/>
      <c r="C38" s="268"/>
      <c r="D38" s="268"/>
      <c r="E38" s="268"/>
      <c r="F38" s="268"/>
      <c r="G38" s="268"/>
      <c r="H38" s="268"/>
      <c r="I38" s="268"/>
      <c r="J38" s="268"/>
      <c r="K38" s="268"/>
      <c r="L38" s="268"/>
      <c r="M38" s="269"/>
      <c r="O38" s="267"/>
      <c r="P38" s="268"/>
      <c r="Q38" s="268"/>
      <c r="R38" s="268"/>
      <c r="S38" s="268"/>
      <c r="T38" s="268"/>
      <c r="U38" s="268"/>
      <c r="V38" s="268"/>
      <c r="W38" s="268"/>
      <c r="X38" s="268"/>
      <c r="Y38" s="268"/>
      <c r="Z38" s="269"/>
      <c r="AB38" s="267"/>
      <c r="AC38" s="268"/>
      <c r="AD38" s="268"/>
      <c r="AE38" s="268"/>
      <c r="AF38" s="268"/>
      <c r="AG38" s="268"/>
      <c r="AH38" s="268"/>
      <c r="AI38" s="268"/>
      <c r="AJ38" s="268"/>
      <c r="AK38" s="268"/>
      <c r="AL38" s="268"/>
      <c r="AM38" s="269"/>
      <c r="AO38" s="267"/>
      <c r="AP38" s="268"/>
      <c r="AQ38" s="268"/>
      <c r="AR38" s="268"/>
      <c r="AS38" s="268"/>
      <c r="AT38" s="268"/>
      <c r="AU38" s="268"/>
      <c r="AV38" s="268"/>
      <c r="AW38" s="268"/>
      <c r="AX38" s="268"/>
      <c r="AY38" s="268"/>
      <c r="AZ38" s="269"/>
    </row>
    <row r="39" spans="2:52" x14ac:dyDescent="0.2">
      <c r="B39" s="267"/>
      <c r="C39" s="268"/>
      <c r="D39" s="268"/>
      <c r="E39" s="268"/>
      <c r="F39" s="268"/>
      <c r="G39" s="268"/>
      <c r="H39" s="268"/>
      <c r="I39" s="268"/>
      <c r="J39" s="268"/>
      <c r="K39" s="268"/>
      <c r="L39" s="268"/>
      <c r="M39" s="269"/>
      <c r="O39" s="267"/>
      <c r="P39" s="268"/>
      <c r="Q39" s="268"/>
      <c r="R39" s="268"/>
      <c r="S39" s="268"/>
      <c r="T39" s="268"/>
      <c r="U39" s="268"/>
      <c r="V39" s="268"/>
      <c r="W39" s="268"/>
      <c r="X39" s="268"/>
      <c r="Y39" s="268"/>
      <c r="Z39" s="269"/>
      <c r="AB39" s="267"/>
      <c r="AC39" s="268"/>
      <c r="AD39" s="268"/>
      <c r="AE39" s="268"/>
      <c r="AF39" s="268"/>
      <c r="AG39" s="268"/>
      <c r="AH39" s="268"/>
      <c r="AI39" s="268"/>
      <c r="AJ39" s="268"/>
      <c r="AK39" s="268"/>
      <c r="AL39" s="268"/>
      <c r="AM39" s="269"/>
      <c r="AO39" s="267"/>
      <c r="AP39" s="268"/>
      <c r="AQ39" s="268"/>
      <c r="AR39" s="268"/>
      <c r="AS39" s="268"/>
      <c r="AT39" s="268"/>
      <c r="AU39" s="268"/>
      <c r="AV39" s="268"/>
      <c r="AW39" s="268"/>
      <c r="AX39" s="268"/>
      <c r="AY39" s="268"/>
      <c r="AZ39" s="269"/>
    </row>
    <row r="40" spans="2:52" x14ac:dyDescent="0.2">
      <c r="B40" s="267"/>
      <c r="C40" s="268"/>
      <c r="D40" s="268"/>
      <c r="E40" s="268"/>
      <c r="F40" s="268"/>
      <c r="G40" s="268"/>
      <c r="H40" s="268"/>
      <c r="I40" s="268"/>
      <c r="J40" s="268"/>
      <c r="K40" s="268"/>
      <c r="L40" s="268"/>
      <c r="M40" s="269"/>
      <c r="O40" s="267"/>
      <c r="P40" s="268"/>
      <c r="Q40" s="268"/>
      <c r="R40" s="268"/>
      <c r="S40" s="268"/>
      <c r="T40" s="268"/>
      <c r="U40" s="268"/>
      <c r="V40" s="268"/>
      <c r="W40" s="268"/>
      <c r="X40" s="268"/>
      <c r="Y40" s="268"/>
      <c r="Z40" s="269"/>
      <c r="AB40" s="267"/>
      <c r="AC40" s="268"/>
      <c r="AD40" s="268"/>
      <c r="AE40" s="268"/>
      <c r="AF40" s="268"/>
      <c r="AG40" s="268"/>
      <c r="AH40" s="268"/>
      <c r="AI40" s="268"/>
      <c r="AJ40" s="268"/>
      <c r="AK40" s="268"/>
      <c r="AL40" s="268"/>
      <c r="AM40" s="269"/>
      <c r="AO40" s="267"/>
      <c r="AP40" s="268"/>
      <c r="AQ40" s="268"/>
      <c r="AR40" s="268"/>
      <c r="AS40" s="268"/>
      <c r="AT40" s="268"/>
      <c r="AU40" s="268"/>
      <c r="AV40" s="268"/>
      <c r="AW40" s="268"/>
      <c r="AX40" s="268"/>
      <c r="AY40" s="268"/>
      <c r="AZ40" s="269"/>
    </row>
    <row r="41" spans="2:52" x14ac:dyDescent="0.2">
      <c r="B41" s="267"/>
      <c r="C41" s="268"/>
      <c r="D41" s="268"/>
      <c r="E41" s="268"/>
      <c r="F41" s="268"/>
      <c r="G41" s="268"/>
      <c r="H41" s="268"/>
      <c r="I41" s="268"/>
      <c r="J41" s="268"/>
      <c r="K41" s="268"/>
      <c r="L41" s="268"/>
      <c r="M41" s="269"/>
      <c r="O41" s="267"/>
      <c r="P41" s="268"/>
      <c r="Q41" s="268"/>
      <c r="R41" s="268"/>
      <c r="S41" s="268"/>
      <c r="T41" s="268"/>
      <c r="U41" s="268"/>
      <c r="V41" s="268"/>
      <c r="W41" s="268"/>
      <c r="X41" s="268"/>
      <c r="Y41" s="268"/>
      <c r="Z41" s="269"/>
      <c r="AB41" s="267"/>
      <c r="AC41" s="268"/>
      <c r="AD41" s="268"/>
      <c r="AE41" s="268"/>
      <c r="AF41" s="268"/>
      <c r="AG41" s="268"/>
      <c r="AH41" s="268"/>
      <c r="AI41" s="268"/>
      <c r="AJ41" s="268"/>
      <c r="AK41" s="268"/>
      <c r="AL41" s="268"/>
      <c r="AM41" s="269"/>
      <c r="AO41" s="267"/>
      <c r="AP41" s="268"/>
      <c r="AQ41" s="268"/>
      <c r="AR41" s="268"/>
      <c r="AS41" s="268"/>
      <c r="AT41" s="268"/>
      <c r="AU41" s="268"/>
      <c r="AV41" s="268"/>
      <c r="AW41" s="268"/>
      <c r="AX41" s="268"/>
      <c r="AY41" s="268"/>
      <c r="AZ41" s="269"/>
    </row>
    <row r="42" spans="2:52" x14ac:dyDescent="0.2">
      <c r="B42" s="267"/>
      <c r="C42" s="268"/>
      <c r="D42" s="268"/>
      <c r="E42" s="268"/>
      <c r="F42" s="268"/>
      <c r="G42" s="268"/>
      <c r="H42" s="268"/>
      <c r="I42" s="268"/>
      <c r="J42" s="268"/>
      <c r="K42" s="268"/>
      <c r="L42" s="268"/>
      <c r="M42" s="269"/>
      <c r="O42" s="267"/>
      <c r="P42" s="268"/>
      <c r="Q42" s="268"/>
      <c r="R42" s="268"/>
      <c r="S42" s="268"/>
      <c r="T42" s="268"/>
      <c r="U42" s="268"/>
      <c r="V42" s="268"/>
      <c r="W42" s="268"/>
      <c r="X42" s="268"/>
      <c r="Y42" s="268"/>
      <c r="Z42" s="269"/>
      <c r="AB42" s="267"/>
      <c r="AC42" s="268"/>
      <c r="AD42" s="268"/>
      <c r="AE42" s="268"/>
      <c r="AF42" s="268"/>
      <c r="AG42" s="268"/>
      <c r="AH42" s="268"/>
      <c r="AI42" s="268"/>
      <c r="AJ42" s="268"/>
      <c r="AK42" s="268"/>
      <c r="AL42" s="268"/>
      <c r="AM42" s="269"/>
      <c r="AO42" s="267"/>
      <c r="AP42" s="268"/>
      <c r="AQ42" s="268"/>
      <c r="AR42" s="268"/>
      <c r="AS42" s="268"/>
      <c r="AT42" s="268"/>
      <c r="AU42" s="268"/>
      <c r="AV42" s="268"/>
      <c r="AW42" s="268"/>
      <c r="AX42" s="268"/>
      <c r="AY42" s="268"/>
      <c r="AZ42" s="269"/>
    </row>
    <row r="43" spans="2:52" x14ac:dyDescent="0.2">
      <c r="B43" s="267"/>
      <c r="C43" s="268"/>
      <c r="D43" s="268"/>
      <c r="E43" s="268"/>
      <c r="F43" s="268"/>
      <c r="G43" s="268"/>
      <c r="H43" s="268"/>
      <c r="I43" s="268"/>
      <c r="J43" s="268"/>
      <c r="K43" s="268"/>
      <c r="L43" s="268"/>
      <c r="M43" s="269"/>
      <c r="O43" s="267"/>
      <c r="P43" s="268"/>
      <c r="Q43" s="268"/>
      <c r="R43" s="268"/>
      <c r="S43" s="268"/>
      <c r="T43" s="268"/>
      <c r="U43" s="268"/>
      <c r="V43" s="268"/>
      <c r="W43" s="268"/>
      <c r="X43" s="268"/>
      <c r="Y43" s="268"/>
      <c r="Z43" s="269"/>
      <c r="AB43" s="267"/>
      <c r="AC43" s="268"/>
      <c r="AD43" s="268"/>
      <c r="AE43" s="268"/>
      <c r="AF43" s="268"/>
      <c r="AG43" s="268"/>
      <c r="AH43" s="268"/>
      <c r="AI43" s="268"/>
      <c r="AJ43" s="268"/>
      <c r="AK43" s="268"/>
      <c r="AL43" s="268"/>
      <c r="AM43" s="269"/>
      <c r="AO43" s="267"/>
      <c r="AP43" s="268"/>
      <c r="AQ43" s="268"/>
      <c r="AR43" s="268"/>
      <c r="AS43" s="268"/>
      <c r="AT43" s="268"/>
      <c r="AU43" s="268"/>
      <c r="AV43" s="268"/>
      <c r="AW43" s="268"/>
      <c r="AX43" s="268"/>
      <c r="AY43" s="268"/>
      <c r="AZ43" s="269"/>
    </row>
    <row r="44" spans="2:52" x14ac:dyDescent="0.2">
      <c r="B44" s="267"/>
      <c r="C44" s="268"/>
      <c r="D44" s="268"/>
      <c r="E44" s="268"/>
      <c r="F44" s="268"/>
      <c r="G44" s="268"/>
      <c r="H44" s="268"/>
      <c r="I44" s="268"/>
      <c r="J44" s="268"/>
      <c r="K44" s="268"/>
      <c r="L44" s="268"/>
      <c r="M44" s="269"/>
      <c r="O44" s="267"/>
      <c r="P44" s="268"/>
      <c r="Q44" s="268"/>
      <c r="R44" s="268"/>
      <c r="S44" s="268"/>
      <c r="T44" s="268"/>
      <c r="U44" s="268"/>
      <c r="V44" s="268"/>
      <c r="W44" s="268"/>
      <c r="X44" s="268"/>
      <c r="Y44" s="268"/>
      <c r="Z44" s="269"/>
      <c r="AB44" s="267"/>
      <c r="AC44" s="268"/>
      <c r="AD44" s="268"/>
      <c r="AE44" s="268"/>
      <c r="AF44" s="268"/>
      <c r="AG44" s="268"/>
      <c r="AH44" s="268"/>
      <c r="AI44" s="268"/>
      <c r="AJ44" s="268"/>
      <c r="AK44" s="268"/>
      <c r="AL44" s="268"/>
      <c r="AM44" s="269"/>
      <c r="AO44" s="267"/>
      <c r="AP44" s="268"/>
      <c r="AQ44" s="268"/>
      <c r="AR44" s="268"/>
      <c r="AS44" s="268"/>
      <c r="AT44" s="268"/>
      <c r="AU44" s="268"/>
      <c r="AV44" s="268"/>
      <c r="AW44" s="268"/>
      <c r="AX44" s="268"/>
      <c r="AY44" s="268"/>
      <c r="AZ44" s="269"/>
    </row>
    <row r="45" spans="2:52" x14ac:dyDescent="0.2">
      <c r="B45" s="267"/>
      <c r="C45" s="268"/>
      <c r="D45" s="268"/>
      <c r="E45" s="268"/>
      <c r="F45" s="268"/>
      <c r="G45" s="268"/>
      <c r="H45" s="268"/>
      <c r="I45" s="268"/>
      <c r="J45" s="268"/>
      <c r="K45" s="268"/>
      <c r="L45" s="268"/>
      <c r="M45" s="269"/>
      <c r="O45" s="267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9"/>
      <c r="AB45" s="267"/>
      <c r="AC45" s="268"/>
      <c r="AD45" s="268"/>
      <c r="AE45" s="268"/>
      <c r="AF45" s="268"/>
      <c r="AG45" s="268"/>
      <c r="AH45" s="268"/>
      <c r="AI45" s="268"/>
      <c r="AJ45" s="268"/>
      <c r="AK45" s="268"/>
      <c r="AL45" s="268"/>
      <c r="AM45" s="269"/>
      <c r="AO45" s="267"/>
      <c r="AP45" s="268"/>
      <c r="AQ45" s="268"/>
      <c r="AR45" s="268"/>
      <c r="AS45" s="268"/>
      <c r="AT45" s="268"/>
      <c r="AU45" s="268"/>
      <c r="AV45" s="268"/>
      <c r="AW45" s="268"/>
      <c r="AX45" s="268"/>
      <c r="AY45" s="268"/>
      <c r="AZ45" s="269"/>
    </row>
    <row r="46" spans="2:52" x14ac:dyDescent="0.2">
      <c r="B46" s="267"/>
      <c r="C46" s="268"/>
      <c r="D46" s="268"/>
      <c r="E46" s="268"/>
      <c r="F46" s="268"/>
      <c r="G46" s="268"/>
      <c r="H46" s="268"/>
      <c r="I46" s="268"/>
      <c r="J46" s="268"/>
      <c r="K46" s="268"/>
      <c r="L46" s="268"/>
      <c r="M46" s="269"/>
      <c r="O46" s="267"/>
      <c r="P46" s="268"/>
      <c r="Q46" s="268"/>
      <c r="R46" s="268"/>
      <c r="S46" s="268"/>
      <c r="T46" s="268"/>
      <c r="U46" s="268"/>
      <c r="V46" s="268"/>
      <c r="W46" s="268"/>
      <c r="X46" s="268"/>
      <c r="Y46" s="268"/>
      <c r="Z46" s="269"/>
      <c r="AB46" s="267"/>
      <c r="AC46" s="268"/>
      <c r="AD46" s="268"/>
      <c r="AE46" s="268"/>
      <c r="AF46" s="268"/>
      <c r="AG46" s="268"/>
      <c r="AH46" s="268"/>
      <c r="AI46" s="268"/>
      <c r="AJ46" s="268"/>
      <c r="AK46" s="268"/>
      <c r="AL46" s="268"/>
      <c r="AM46" s="269"/>
      <c r="AO46" s="267"/>
      <c r="AP46" s="268"/>
      <c r="AQ46" s="268"/>
      <c r="AR46" s="268"/>
      <c r="AS46" s="268"/>
      <c r="AT46" s="268"/>
      <c r="AU46" s="268"/>
      <c r="AV46" s="268"/>
      <c r="AW46" s="268"/>
      <c r="AX46" s="268"/>
      <c r="AY46" s="268"/>
      <c r="AZ46" s="269"/>
    </row>
    <row r="47" spans="2:52" x14ac:dyDescent="0.2">
      <c r="B47" s="267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9"/>
      <c r="O47" s="267"/>
      <c r="P47" s="268"/>
      <c r="Q47" s="268"/>
      <c r="R47" s="268"/>
      <c r="S47" s="268"/>
      <c r="T47" s="268"/>
      <c r="U47" s="268"/>
      <c r="V47" s="268"/>
      <c r="W47" s="268"/>
      <c r="X47" s="268"/>
      <c r="Y47" s="268"/>
      <c r="Z47" s="269"/>
      <c r="AB47" s="267"/>
      <c r="AC47" s="268"/>
      <c r="AD47" s="268"/>
      <c r="AE47" s="268"/>
      <c r="AF47" s="268"/>
      <c r="AG47" s="268"/>
      <c r="AH47" s="268"/>
      <c r="AI47" s="268"/>
      <c r="AJ47" s="268"/>
      <c r="AK47" s="268"/>
      <c r="AL47" s="268"/>
      <c r="AM47" s="269"/>
      <c r="AO47" s="267"/>
      <c r="AP47" s="268"/>
      <c r="AQ47" s="268"/>
      <c r="AR47" s="268"/>
      <c r="AS47" s="268"/>
      <c r="AT47" s="268"/>
      <c r="AU47" s="268"/>
      <c r="AV47" s="268"/>
      <c r="AW47" s="268"/>
      <c r="AX47" s="268"/>
      <c r="AY47" s="268"/>
      <c r="AZ47" s="269"/>
    </row>
    <row r="48" spans="2:52" x14ac:dyDescent="0.2">
      <c r="B48" s="267"/>
      <c r="C48" s="268"/>
      <c r="D48" s="268"/>
      <c r="E48" s="268"/>
      <c r="F48" s="268"/>
      <c r="G48" s="268"/>
      <c r="H48" s="268"/>
      <c r="I48" s="268"/>
      <c r="J48" s="268"/>
      <c r="K48" s="268"/>
      <c r="L48" s="268"/>
      <c r="M48" s="269"/>
      <c r="O48" s="267"/>
      <c r="P48" s="268"/>
      <c r="Q48" s="268"/>
      <c r="R48" s="268"/>
      <c r="S48" s="268"/>
      <c r="T48" s="268"/>
      <c r="U48" s="268"/>
      <c r="V48" s="268"/>
      <c r="W48" s="268"/>
      <c r="X48" s="268"/>
      <c r="Y48" s="268"/>
      <c r="Z48" s="269"/>
      <c r="AB48" s="267"/>
      <c r="AC48" s="268"/>
      <c r="AD48" s="268"/>
      <c r="AE48" s="268"/>
      <c r="AF48" s="268"/>
      <c r="AG48" s="268"/>
      <c r="AH48" s="268"/>
      <c r="AI48" s="268"/>
      <c r="AJ48" s="268"/>
      <c r="AK48" s="268"/>
      <c r="AL48" s="268"/>
      <c r="AM48" s="269"/>
      <c r="AO48" s="267"/>
      <c r="AP48" s="268"/>
      <c r="AQ48" s="268"/>
      <c r="AR48" s="268"/>
      <c r="AS48" s="268"/>
      <c r="AT48" s="268"/>
      <c r="AU48" s="268"/>
      <c r="AV48" s="268"/>
      <c r="AW48" s="268"/>
      <c r="AX48" s="268"/>
      <c r="AY48" s="268"/>
      <c r="AZ48" s="269"/>
    </row>
    <row r="49" spans="2:52" x14ac:dyDescent="0.2">
      <c r="B49" s="267"/>
      <c r="C49" s="268"/>
      <c r="D49" s="268"/>
      <c r="E49" s="268"/>
      <c r="F49" s="268"/>
      <c r="G49" s="268"/>
      <c r="H49" s="268"/>
      <c r="I49" s="268"/>
      <c r="J49" s="268"/>
      <c r="K49" s="268"/>
      <c r="L49" s="268"/>
      <c r="M49" s="269"/>
      <c r="O49" s="267"/>
      <c r="P49" s="268"/>
      <c r="Q49" s="268"/>
      <c r="R49" s="268"/>
      <c r="S49" s="268"/>
      <c r="T49" s="268"/>
      <c r="U49" s="268"/>
      <c r="V49" s="268"/>
      <c r="W49" s="268"/>
      <c r="X49" s="268"/>
      <c r="Y49" s="268"/>
      <c r="Z49" s="269"/>
      <c r="AB49" s="267"/>
      <c r="AC49" s="268"/>
      <c r="AD49" s="268"/>
      <c r="AE49" s="268"/>
      <c r="AF49" s="268"/>
      <c r="AG49" s="268"/>
      <c r="AH49" s="268"/>
      <c r="AI49" s="268"/>
      <c r="AJ49" s="268"/>
      <c r="AK49" s="268"/>
      <c r="AL49" s="268"/>
      <c r="AM49" s="269"/>
      <c r="AO49" s="267"/>
      <c r="AP49" s="268"/>
      <c r="AQ49" s="268"/>
      <c r="AR49" s="268"/>
      <c r="AS49" s="268"/>
      <c r="AT49" s="268"/>
      <c r="AU49" s="268"/>
      <c r="AV49" s="268"/>
      <c r="AW49" s="268"/>
      <c r="AX49" s="268"/>
      <c r="AY49" s="268"/>
      <c r="AZ49" s="269"/>
    </row>
    <row r="50" spans="2:52" x14ac:dyDescent="0.2">
      <c r="B50" s="267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9"/>
      <c r="O50" s="267"/>
      <c r="P50" s="268"/>
      <c r="Q50" s="268"/>
      <c r="R50" s="268"/>
      <c r="S50" s="268"/>
      <c r="T50" s="268"/>
      <c r="U50" s="268"/>
      <c r="V50" s="268"/>
      <c r="W50" s="268"/>
      <c r="X50" s="268"/>
      <c r="Y50" s="268"/>
      <c r="Z50" s="269"/>
      <c r="AB50" s="267"/>
      <c r="AC50" s="268"/>
      <c r="AD50" s="268"/>
      <c r="AE50" s="268"/>
      <c r="AF50" s="268"/>
      <c r="AG50" s="268"/>
      <c r="AH50" s="268"/>
      <c r="AI50" s="268"/>
      <c r="AJ50" s="268"/>
      <c r="AK50" s="268"/>
      <c r="AL50" s="268"/>
      <c r="AM50" s="269"/>
      <c r="AO50" s="267"/>
      <c r="AP50" s="268"/>
      <c r="AQ50" s="268"/>
      <c r="AR50" s="268"/>
      <c r="AS50" s="268"/>
      <c r="AT50" s="268"/>
      <c r="AU50" s="268"/>
      <c r="AV50" s="268"/>
      <c r="AW50" s="268"/>
      <c r="AX50" s="268"/>
      <c r="AY50" s="268"/>
      <c r="AZ50" s="269"/>
    </row>
    <row r="51" spans="2:52" x14ac:dyDescent="0.2">
      <c r="B51" s="267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9"/>
      <c r="O51" s="267"/>
      <c r="P51" s="268"/>
      <c r="Q51" s="268"/>
      <c r="R51" s="268"/>
      <c r="S51" s="268"/>
      <c r="T51" s="268"/>
      <c r="U51" s="268"/>
      <c r="V51" s="268"/>
      <c r="W51" s="268"/>
      <c r="X51" s="268"/>
      <c r="Y51" s="268"/>
      <c r="Z51" s="269"/>
      <c r="AB51" s="267"/>
      <c r="AC51" s="268"/>
      <c r="AD51" s="268"/>
      <c r="AE51" s="268"/>
      <c r="AF51" s="268"/>
      <c r="AG51" s="268"/>
      <c r="AH51" s="268"/>
      <c r="AI51" s="268"/>
      <c r="AJ51" s="268"/>
      <c r="AK51" s="268"/>
      <c r="AL51" s="268"/>
      <c r="AM51" s="269"/>
      <c r="AO51" s="267"/>
      <c r="AP51" s="268"/>
      <c r="AQ51" s="268"/>
      <c r="AR51" s="268"/>
      <c r="AS51" s="268"/>
      <c r="AT51" s="268"/>
      <c r="AU51" s="268"/>
      <c r="AV51" s="268"/>
      <c r="AW51" s="268"/>
      <c r="AX51" s="268"/>
      <c r="AY51" s="268"/>
      <c r="AZ51" s="269"/>
    </row>
    <row r="52" spans="2:52" x14ac:dyDescent="0.2">
      <c r="B52" s="267"/>
      <c r="C52" s="268"/>
      <c r="D52" s="268"/>
      <c r="E52" s="268"/>
      <c r="F52" s="268"/>
      <c r="G52" s="268"/>
      <c r="H52" s="268"/>
      <c r="I52" s="268"/>
      <c r="J52" s="268"/>
      <c r="K52" s="268"/>
      <c r="L52" s="268"/>
      <c r="M52" s="269"/>
      <c r="O52" s="267"/>
      <c r="P52" s="268"/>
      <c r="Q52" s="268"/>
      <c r="R52" s="268"/>
      <c r="S52" s="268"/>
      <c r="T52" s="268"/>
      <c r="U52" s="268"/>
      <c r="V52" s="268"/>
      <c r="W52" s="268"/>
      <c r="X52" s="268"/>
      <c r="Y52" s="268"/>
      <c r="Z52" s="269"/>
      <c r="AB52" s="267"/>
      <c r="AC52" s="268"/>
      <c r="AD52" s="268"/>
      <c r="AE52" s="268"/>
      <c r="AF52" s="268"/>
      <c r="AG52" s="268"/>
      <c r="AH52" s="268"/>
      <c r="AI52" s="268"/>
      <c r="AJ52" s="268"/>
      <c r="AK52" s="268"/>
      <c r="AL52" s="268"/>
      <c r="AM52" s="269"/>
      <c r="AO52" s="267"/>
      <c r="AP52" s="268"/>
      <c r="AQ52" s="268"/>
      <c r="AR52" s="268"/>
      <c r="AS52" s="268"/>
      <c r="AT52" s="268"/>
      <c r="AU52" s="268"/>
      <c r="AV52" s="268"/>
      <c r="AW52" s="268"/>
      <c r="AX52" s="268"/>
      <c r="AY52" s="268"/>
      <c r="AZ52" s="269"/>
    </row>
    <row r="53" spans="2:52" x14ac:dyDescent="0.2">
      <c r="B53" s="267"/>
      <c r="C53" s="268"/>
      <c r="D53" s="268"/>
      <c r="E53" s="268"/>
      <c r="F53" s="268"/>
      <c r="G53" s="268"/>
      <c r="H53" s="268"/>
      <c r="I53" s="268"/>
      <c r="J53" s="268"/>
      <c r="K53" s="268"/>
      <c r="L53" s="268"/>
      <c r="M53" s="269"/>
      <c r="O53" s="267"/>
      <c r="P53" s="268"/>
      <c r="Q53" s="268"/>
      <c r="R53" s="268"/>
      <c r="S53" s="268"/>
      <c r="T53" s="268"/>
      <c r="U53" s="268"/>
      <c r="V53" s="268"/>
      <c r="W53" s="268"/>
      <c r="X53" s="268"/>
      <c r="Y53" s="268"/>
      <c r="Z53" s="269"/>
      <c r="AB53" s="267"/>
      <c r="AC53" s="268"/>
      <c r="AD53" s="268"/>
      <c r="AE53" s="268"/>
      <c r="AF53" s="268"/>
      <c r="AG53" s="268"/>
      <c r="AH53" s="268"/>
      <c r="AI53" s="268"/>
      <c r="AJ53" s="268"/>
      <c r="AK53" s="268"/>
      <c r="AL53" s="268"/>
      <c r="AM53" s="269"/>
      <c r="AO53" s="267"/>
      <c r="AP53" s="268"/>
      <c r="AQ53" s="268"/>
      <c r="AR53" s="268"/>
      <c r="AS53" s="268"/>
      <c r="AT53" s="268"/>
      <c r="AU53" s="268"/>
      <c r="AV53" s="268"/>
      <c r="AW53" s="268"/>
      <c r="AX53" s="268"/>
      <c r="AY53" s="268"/>
      <c r="AZ53" s="269"/>
    </row>
    <row r="54" spans="2:52" x14ac:dyDescent="0.2">
      <c r="B54" s="267"/>
      <c r="C54" s="268"/>
      <c r="D54" s="268"/>
      <c r="E54" s="268"/>
      <c r="F54" s="268"/>
      <c r="G54" s="268"/>
      <c r="H54" s="268"/>
      <c r="I54" s="268"/>
      <c r="J54" s="268"/>
      <c r="K54" s="268"/>
      <c r="L54" s="268"/>
      <c r="M54" s="269"/>
      <c r="O54" s="267"/>
      <c r="P54" s="268"/>
      <c r="Q54" s="268"/>
      <c r="R54" s="268"/>
      <c r="S54" s="268"/>
      <c r="T54" s="268"/>
      <c r="U54" s="268"/>
      <c r="V54" s="268"/>
      <c r="W54" s="268"/>
      <c r="X54" s="268"/>
      <c r="Y54" s="268"/>
      <c r="Z54" s="269"/>
      <c r="AB54" s="267"/>
      <c r="AC54" s="268"/>
      <c r="AD54" s="268"/>
      <c r="AE54" s="268"/>
      <c r="AF54" s="268"/>
      <c r="AG54" s="268"/>
      <c r="AH54" s="268"/>
      <c r="AI54" s="268"/>
      <c r="AJ54" s="268"/>
      <c r="AK54" s="268"/>
      <c r="AL54" s="268"/>
      <c r="AM54" s="269"/>
      <c r="AO54" s="267"/>
      <c r="AP54" s="268"/>
      <c r="AQ54" s="268"/>
      <c r="AR54" s="268"/>
      <c r="AS54" s="268"/>
      <c r="AT54" s="268"/>
      <c r="AU54" s="268"/>
      <c r="AV54" s="268"/>
      <c r="AW54" s="268"/>
      <c r="AX54" s="268"/>
      <c r="AY54" s="268"/>
      <c r="AZ54" s="269"/>
    </row>
    <row r="55" spans="2:52" x14ac:dyDescent="0.2">
      <c r="B55" s="267"/>
      <c r="C55" s="268"/>
      <c r="D55" s="268"/>
      <c r="E55" s="268"/>
      <c r="F55" s="268"/>
      <c r="G55" s="268"/>
      <c r="H55" s="268"/>
      <c r="I55" s="268"/>
      <c r="J55" s="268"/>
      <c r="K55" s="268"/>
      <c r="L55" s="268"/>
      <c r="M55" s="269"/>
      <c r="O55" s="267"/>
      <c r="P55" s="268"/>
      <c r="Q55" s="268"/>
      <c r="R55" s="268"/>
      <c r="S55" s="268"/>
      <c r="T55" s="268"/>
      <c r="U55" s="268"/>
      <c r="V55" s="268"/>
      <c r="W55" s="268"/>
      <c r="X55" s="268"/>
      <c r="Y55" s="268"/>
      <c r="Z55" s="269"/>
      <c r="AB55" s="267"/>
      <c r="AC55" s="268"/>
      <c r="AD55" s="268"/>
      <c r="AE55" s="268"/>
      <c r="AF55" s="268"/>
      <c r="AG55" s="268"/>
      <c r="AH55" s="268"/>
      <c r="AI55" s="268"/>
      <c r="AJ55" s="268"/>
      <c r="AK55" s="268"/>
      <c r="AL55" s="268"/>
      <c r="AM55" s="269"/>
      <c r="AO55" s="267"/>
      <c r="AP55" s="268"/>
      <c r="AQ55" s="268"/>
      <c r="AR55" s="268"/>
      <c r="AS55" s="268"/>
      <c r="AT55" s="268"/>
      <c r="AU55" s="268"/>
      <c r="AV55" s="268"/>
      <c r="AW55" s="268"/>
      <c r="AX55" s="268"/>
      <c r="AY55" s="268"/>
      <c r="AZ55" s="269"/>
    </row>
    <row r="56" spans="2:52" x14ac:dyDescent="0.2">
      <c r="B56" s="267"/>
      <c r="C56" s="268"/>
      <c r="D56" s="268"/>
      <c r="E56" s="268"/>
      <c r="F56" s="268"/>
      <c r="G56" s="268"/>
      <c r="H56" s="268"/>
      <c r="I56" s="268"/>
      <c r="J56" s="268"/>
      <c r="K56" s="268"/>
      <c r="L56" s="268"/>
      <c r="M56" s="269"/>
      <c r="O56" s="267"/>
      <c r="P56" s="268"/>
      <c r="Q56" s="268"/>
      <c r="R56" s="268"/>
      <c r="S56" s="268"/>
      <c r="T56" s="268"/>
      <c r="U56" s="268"/>
      <c r="V56" s="268"/>
      <c r="W56" s="268"/>
      <c r="X56" s="268"/>
      <c r="Y56" s="268"/>
      <c r="Z56" s="269"/>
      <c r="AB56" s="267"/>
      <c r="AC56" s="268"/>
      <c r="AD56" s="268"/>
      <c r="AE56" s="268"/>
      <c r="AF56" s="268"/>
      <c r="AG56" s="268"/>
      <c r="AH56" s="268"/>
      <c r="AI56" s="268"/>
      <c r="AJ56" s="268"/>
      <c r="AK56" s="268"/>
      <c r="AL56" s="268"/>
      <c r="AM56" s="269"/>
      <c r="AO56" s="267"/>
      <c r="AP56" s="268"/>
      <c r="AQ56" s="268"/>
      <c r="AR56" s="268"/>
      <c r="AS56" s="268"/>
      <c r="AT56" s="268"/>
      <c r="AU56" s="268"/>
      <c r="AV56" s="268"/>
      <c r="AW56" s="268"/>
      <c r="AX56" s="268"/>
      <c r="AY56" s="268"/>
      <c r="AZ56" s="269"/>
    </row>
    <row r="57" spans="2:52" ht="13.5" thickBot="1" x14ac:dyDescent="0.25">
      <c r="B57" s="270"/>
      <c r="C57" s="271"/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O57" s="270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2"/>
      <c r="AB57" s="270"/>
      <c r="AC57" s="271"/>
      <c r="AD57" s="271"/>
      <c r="AE57" s="271"/>
      <c r="AF57" s="271"/>
      <c r="AG57" s="271"/>
      <c r="AH57" s="271"/>
      <c r="AI57" s="271"/>
      <c r="AJ57" s="271"/>
      <c r="AK57" s="271"/>
      <c r="AL57" s="271"/>
      <c r="AM57" s="272"/>
      <c r="AO57" s="270"/>
      <c r="AP57" s="271"/>
      <c r="AQ57" s="271"/>
      <c r="AR57" s="271"/>
      <c r="AS57" s="271"/>
      <c r="AT57" s="271"/>
      <c r="AU57" s="271"/>
      <c r="AV57" s="271"/>
      <c r="AW57" s="271"/>
      <c r="AX57" s="271"/>
      <c r="AY57" s="271"/>
      <c r="AZ57" s="272"/>
    </row>
    <row r="58" spans="2:52" x14ac:dyDescent="0.2"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 ht="13.5" thickBot="1" x14ac:dyDescent="0.25"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 ht="38.25" customHeight="1" thickBot="1" x14ac:dyDescent="0.25">
      <c r="B60" s="273" t="s">
        <v>270</v>
      </c>
      <c r="C60" s="274"/>
      <c r="D60" s="274"/>
      <c r="E60" s="274"/>
      <c r="F60" s="274"/>
      <c r="G60" s="274"/>
      <c r="H60" s="274"/>
      <c r="I60" s="274"/>
      <c r="J60" s="275"/>
      <c r="K60" s="276" t="str">
        <f>Summary!C57</f>
        <v>WK 51</v>
      </c>
      <c r="L60" s="277"/>
      <c r="M60" s="187">
        <f>Summary!F48</f>
        <v>12600</v>
      </c>
      <c r="O60" s="278" t="s">
        <v>271</v>
      </c>
      <c r="P60" s="279"/>
      <c r="Q60" s="279"/>
      <c r="R60" s="279"/>
      <c r="S60" s="279"/>
      <c r="T60" s="279"/>
      <c r="U60" s="279"/>
      <c r="V60" s="279"/>
      <c r="W60" s="280"/>
      <c r="X60" s="281" t="str">
        <f>Summary!C57</f>
        <v>WK 51</v>
      </c>
      <c r="Y60" s="282"/>
      <c r="Z60" s="189">
        <f>SUM(Summary!AA60:AA66)</f>
        <v>12159</v>
      </c>
      <c r="AB60" s="283" t="s">
        <v>268</v>
      </c>
      <c r="AC60" s="284"/>
      <c r="AD60" s="284"/>
      <c r="AE60" s="284"/>
      <c r="AF60" s="284"/>
      <c r="AG60" s="284"/>
      <c r="AH60" s="284"/>
      <c r="AI60" s="284"/>
      <c r="AJ60" s="284"/>
      <c r="AK60" s="285" t="str">
        <f>Summary!C57</f>
        <v>WK 51</v>
      </c>
      <c r="AL60" s="286"/>
      <c r="AM60" s="192">
        <f>Summary!AD5</f>
        <v>0.96499999999999997</v>
      </c>
      <c r="AO60" s="283" t="s">
        <v>269</v>
      </c>
      <c r="AP60" s="284"/>
      <c r="AQ60" s="284"/>
      <c r="AR60" s="284"/>
      <c r="AS60" s="284"/>
      <c r="AT60" s="284"/>
      <c r="AU60" s="284"/>
      <c r="AV60" s="284"/>
      <c r="AW60" s="284"/>
      <c r="AX60" s="285" t="str">
        <f>Summary!C57</f>
        <v>WK 51</v>
      </c>
      <c r="AY60" s="286"/>
      <c r="AZ60" s="192">
        <f>AM60</f>
        <v>0.96499999999999997</v>
      </c>
    </row>
    <row r="61" spans="2:52" x14ac:dyDescent="0.2">
      <c r="B61" s="264"/>
      <c r="C61" s="265"/>
      <c r="D61" s="265"/>
      <c r="E61" s="265"/>
      <c r="F61" s="265"/>
      <c r="G61" s="265"/>
      <c r="H61" s="265"/>
      <c r="I61" s="265"/>
      <c r="J61" s="265"/>
      <c r="K61" s="265"/>
      <c r="L61" s="265"/>
      <c r="M61" s="266"/>
      <c r="O61" s="264"/>
      <c r="P61" s="265"/>
      <c r="Q61" s="265"/>
      <c r="R61" s="265"/>
      <c r="S61" s="265"/>
      <c r="T61" s="265"/>
      <c r="U61" s="265"/>
      <c r="V61" s="265"/>
      <c r="W61" s="265"/>
      <c r="X61" s="265"/>
      <c r="Y61" s="265"/>
      <c r="Z61" s="266"/>
      <c r="AB61" s="264"/>
      <c r="AC61" s="265"/>
      <c r="AD61" s="265"/>
      <c r="AE61" s="265"/>
      <c r="AF61" s="265"/>
      <c r="AG61" s="265"/>
      <c r="AH61" s="265"/>
      <c r="AI61" s="265"/>
      <c r="AJ61" s="265"/>
      <c r="AK61" s="265"/>
      <c r="AL61" s="265"/>
      <c r="AM61" s="266"/>
      <c r="AO61" s="264"/>
      <c r="AP61" s="265"/>
      <c r="AQ61" s="265"/>
      <c r="AR61" s="265"/>
      <c r="AS61" s="265"/>
      <c r="AT61" s="265"/>
      <c r="AU61" s="265"/>
      <c r="AV61" s="265"/>
      <c r="AW61" s="265"/>
      <c r="AX61" s="265"/>
      <c r="AY61" s="265"/>
      <c r="AZ61" s="266"/>
    </row>
    <row r="62" spans="2:52" x14ac:dyDescent="0.2">
      <c r="B62" s="267"/>
      <c r="C62" s="268"/>
      <c r="D62" s="268"/>
      <c r="E62" s="268"/>
      <c r="F62" s="268"/>
      <c r="G62" s="268"/>
      <c r="H62" s="268"/>
      <c r="I62" s="268"/>
      <c r="J62" s="268"/>
      <c r="K62" s="268"/>
      <c r="L62" s="268"/>
      <c r="M62" s="269"/>
      <c r="O62" s="267"/>
      <c r="P62" s="268"/>
      <c r="Q62" s="268"/>
      <c r="R62" s="268"/>
      <c r="S62" s="268"/>
      <c r="T62" s="268"/>
      <c r="U62" s="268"/>
      <c r="V62" s="268"/>
      <c r="W62" s="268"/>
      <c r="X62" s="268"/>
      <c r="Y62" s="268"/>
      <c r="Z62" s="269"/>
      <c r="AB62" s="267"/>
      <c r="AC62" s="268"/>
      <c r="AD62" s="268"/>
      <c r="AE62" s="268"/>
      <c r="AF62" s="268"/>
      <c r="AG62" s="268"/>
      <c r="AH62" s="268"/>
      <c r="AI62" s="268"/>
      <c r="AJ62" s="268"/>
      <c r="AK62" s="268"/>
      <c r="AL62" s="268"/>
      <c r="AM62" s="269"/>
      <c r="AO62" s="267"/>
      <c r="AP62" s="268"/>
      <c r="AQ62" s="268"/>
      <c r="AR62" s="268"/>
      <c r="AS62" s="268"/>
      <c r="AT62" s="268"/>
      <c r="AU62" s="268"/>
      <c r="AV62" s="268"/>
      <c r="AW62" s="268"/>
      <c r="AX62" s="268"/>
      <c r="AY62" s="268"/>
      <c r="AZ62" s="269"/>
    </row>
    <row r="63" spans="2:52" x14ac:dyDescent="0.2">
      <c r="B63" s="267"/>
      <c r="C63" s="268"/>
      <c r="D63" s="268"/>
      <c r="E63" s="268"/>
      <c r="F63" s="268"/>
      <c r="G63" s="268"/>
      <c r="H63" s="268"/>
      <c r="I63" s="268"/>
      <c r="J63" s="268"/>
      <c r="K63" s="268"/>
      <c r="L63" s="268"/>
      <c r="M63" s="269"/>
      <c r="O63" s="267"/>
      <c r="P63" s="268"/>
      <c r="Q63" s="268"/>
      <c r="R63" s="268"/>
      <c r="S63" s="268"/>
      <c r="T63" s="268"/>
      <c r="U63" s="268"/>
      <c r="V63" s="268"/>
      <c r="W63" s="268"/>
      <c r="X63" s="268"/>
      <c r="Y63" s="268"/>
      <c r="Z63" s="269"/>
      <c r="AB63" s="267"/>
      <c r="AC63" s="268"/>
      <c r="AD63" s="268"/>
      <c r="AE63" s="268"/>
      <c r="AF63" s="268"/>
      <c r="AG63" s="268"/>
      <c r="AH63" s="268"/>
      <c r="AI63" s="268"/>
      <c r="AJ63" s="268"/>
      <c r="AK63" s="268"/>
      <c r="AL63" s="268"/>
      <c r="AM63" s="269"/>
      <c r="AO63" s="267"/>
      <c r="AP63" s="268"/>
      <c r="AQ63" s="268"/>
      <c r="AR63" s="268"/>
      <c r="AS63" s="268"/>
      <c r="AT63" s="268"/>
      <c r="AU63" s="268"/>
      <c r="AV63" s="268"/>
      <c r="AW63" s="268"/>
      <c r="AX63" s="268"/>
      <c r="AY63" s="268"/>
      <c r="AZ63" s="269"/>
    </row>
    <row r="64" spans="2:52" x14ac:dyDescent="0.2">
      <c r="B64" s="267"/>
      <c r="C64" s="268"/>
      <c r="D64" s="268"/>
      <c r="E64" s="268"/>
      <c r="F64" s="268"/>
      <c r="G64" s="268"/>
      <c r="H64" s="268"/>
      <c r="I64" s="268"/>
      <c r="J64" s="268"/>
      <c r="K64" s="268"/>
      <c r="L64" s="268"/>
      <c r="M64" s="269"/>
      <c r="O64" s="267"/>
      <c r="P64" s="268"/>
      <c r="Q64" s="268"/>
      <c r="R64" s="268"/>
      <c r="S64" s="268"/>
      <c r="T64" s="268"/>
      <c r="U64" s="268"/>
      <c r="V64" s="268"/>
      <c r="W64" s="268"/>
      <c r="X64" s="268"/>
      <c r="Y64" s="268"/>
      <c r="Z64" s="269"/>
      <c r="AB64" s="267"/>
      <c r="AC64" s="268"/>
      <c r="AD64" s="268"/>
      <c r="AE64" s="268"/>
      <c r="AF64" s="268"/>
      <c r="AG64" s="268"/>
      <c r="AH64" s="268"/>
      <c r="AI64" s="268"/>
      <c r="AJ64" s="268"/>
      <c r="AK64" s="268"/>
      <c r="AL64" s="268"/>
      <c r="AM64" s="269"/>
      <c r="AO64" s="267"/>
      <c r="AP64" s="268"/>
      <c r="AQ64" s="268"/>
      <c r="AR64" s="268"/>
      <c r="AS64" s="268"/>
      <c r="AT64" s="268"/>
      <c r="AU64" s="268"/>
      <c r="AV64" s="268"/>
      <c r="AW64" s="268"/>
      <c r="AX64" s="268"/>
      <c r="AY64" s="268"/>
      <c r="AZ64" s="269"/>
    </row>
    <row r="65" spans="2:52" x14ac:dyDescent="0.2">
      <c r="B65" s="267"/>
      <c r="C65" s="268"/>
      <c r="D65" s="268"/>
      <c r="E65" s="268"/>
      <c r="F65" s="268"/>
      <c r="G65" s="268"/>
      <c r="H65" s="268"/>
      <c r="I65" s="268"/>
      <c r="J65" s="268"/>
      <c r="K65" s="268"/>
      <c r="L65" s="268"/>
      <c r="M65" s="269"/>
      <c r="O65" s="267"/>
      <c r="P65" s="268"/>
      <c r="Q65" s="268"/>
      <c r="R65" s="268"/>
      <c r="S65" s="268"/>
      <c r="T65" s="268"/>
      <c r="U65" s="268"/>
      <c r="V65" s="268"/>
      <c r="W65" s="268"/>
      <c r="X65" s="268"/>
      <c r="Y65" s="268"/>
      <c r="Z65" s="269"/>
      <c r="AB65" s="267"/>
      <c r="AC65" s="268"/>
      <c r="AD65" s="268"/>
      <c r="AE65" s="268"/>
      <c r="AF65" s="268"/>
      <c r="AG65" s="268"/>
      <c r="AH65" s="268"/>
      <c r="AI65" s="268"/>
      <c r="AJ65" s="268"/>
      <c r="AK65" s="268"/>
      <c r="AL65" s="268"/>
      <c r="AM65" s="269"/>
      <c r="AO65" s="267"/>
      <c r="AP65" s="268"/>
      <c r="AQ65" s="268"/>
      <c r="AR65" s="268"/>
      <c r="AS65" s="268"/>
      <c r="AT65" s="268"/>
      <c r="AU65" s="268"/>
      <c r="AV65" s="268"/>
      <c r="AW65" s="268"/>
      <c r="AX65" s="268"/>
      <c r="AY65" s="268"/>
      <c r="AZ65" s="269"/>
    </row>
    <row r="66" spans="2:52" x14ac:dyDescent="0.2">
      <c r="B66" s="267"/>
      <c r="C66" s="268"/>
      <c r="D66" s="268"/>
      <c r="E66" s="268"/>
      <c r="F66" s="268"/>
      <c r="G66" s="268"/>
      <c r="H66" s="268"/>
      <c r="I66" s="268"/>
      <c r="J66" s="268"/>
      <c r="K66" s="268"/>
      <c r="L66" s="268"/>
      <c r="M66" s="269"/>
      <c r="O66" s="267"/>
      <c r="P66" s="268"/>
      <c r="Q66" s="268"/>
      <c r="R66" s="268"/>
      <c r="S66" s="268"/>
      <c r="T66" s="268"/>
      <c r="U66" s="268"/>
      <c r="V66" s="268"/>
      <c r="W66" s="268"/>
      <c r="X66" s="268"/>
      <c r="Y66" s="268"/>
      <c r="Z66" s="269"/>
      <c r="AB66" s="267"/>
      <c r="AC66" s="268"/>
      <c r="AD66" s="268"/>
      <c r="AE66" s="268"/>
      <c r="AF66" s="268"/>
      <c r="AG66" s="268"/>
      <c r="AH66" s="268"/>
      <c r="AI66" s="268"/>
      <c r="AJ66" s="268"/>
      <c r="AK66" s="268"/>
      <c r="AL66" s="268"/>
      <c r="AM66" s="269"/>
      <c r="AO66" s="267"/>
      <c r="AP66" s="268"/>
      <c r="AQ66" s="268"/>
      <c r="AR66" s="268"/>
      <c r="AS66" s="268"/>
      <c r="AT66" s="268"/>
      <c r="AU66" s="268"/>
      <c r="AV66" s="268"/>
      <c r="AW66" s="268"/>
      <c r="AX66" s="268"/>
      <c r="AY66" s="268"/>
      <c r="AZ66" s="269"/>
    </row>
    <row r="67" spans="2:52" x14ac:dyDescent="0.2">
      <c r="B67" s="267"/>
      <c r="C67" s="268"/>
      <c r="D67" s="268"/>
      <c r="E67" s="268"/>
      <c r="F67" s="268"/>
      <c r="G67" s="268"/>
      <c r="H67" s="268"/>
      <c r="I67" s="268"/>
      <c r="J67" s="268"/>
      <c r="K67" s="268"/>
      <c r="L67" s="268"/>
      <c r="M67" s="269"/>
      <c r="O67" s="267"/>
      <c r="P67" s="268"/>
      <c r="Q67" s="268"/>
      <c r="R67" s="268"/>
      <c r="S67" s="268"/>
      <c r="T67" s="268"/>
      <c r="U67" s="268"/>
      <c r="V67" s="268"/>
      <c r="W67" s="268"/>
      <c r="X67" s="268"/>
      <c r="Y67" s="268"/>
      <c r="Z67" s="269"/>
      <c r="AB67" s="267"/>
      <c r="AC67" s="268"/>
      <c r="AD67" s="268"/>
      <c r="AE67" s="268"/>
      <c r="AF67" s="268"/>
      <c r="AG67" s="268"/>
      <c r="AH67" s="268"/>
      <c r="AI67" s="268"/>
      <c r="AJ67" s="268"/>
      <c r="AK67" s="268"/>
      <c r="AL67" s="268"/>
      <c r="AM67" s="269"/>
      <c r="AO67" s="267"/>
      <c r="AP67" s="268"/>
      <c r="AQ67" s="268"/>
      <c r="AR67" s="268"/>
      <c r="AS67" s="268"/>
      <c r="AT67" s="268"/>
      <c r="AU67" s="268"/>
      <c r="AV67" s="268"/>
      <c r="AW67" s="268"/>
      <c r="AX67" s="268"/>
      <c r="AY67" s="268"/>
      <c r="AZ67" s="269"/>
    </row>
    <row r="68" spans="2:52" x14ac:dyDescent="0.2">
      <c r="B68" s="267"/>
      <c r="C68" s="268"/>
      <c r="D68" s="268"/>
      <c r="E68" s="268"/>
      <c r="F68" s="268"/>
      <c r="G68" s="268"/>
      <c r="H68" s="268"/>
      <c r="I68" s="268"/>
      <c r="J68" s="268"/>
      <c r="K68" s="268"/>
      <c r="L68" s="268"/>
      <c r="M68" s="269"/>
      <c r="O68" s="267"/>
      <c r="P68" s="268"/>
      <c r="Q68" s="268"/>
      <c r="R68" s="268"/>
      <c r="S68" s="268"/>
      <c r="T68" s="268"/>
      <c r="U68" s="268"/>
      <c r="V68" s="268"/>
      <c r="W68" s="268"/>
      <c r="X68" s="268"/>
      <c r="Y68" s="268"/>
      <c r="Z68" s="269"/>
      <c r="AB68" s="267"/>
      <c r="AC68" s="268"/>
      <c r="AD68" s="268"/>
      <c r="AE68" s="268"/>
      <c r="AF68" s="268"/>
      <c r="AG68" s="268"/>
      <c r="AH68" s="268"/>
      <c r="AI68" s="268"/>
      <c r="AJ68" s="268"/>
      <c r="AK68" s="268"/>
      <c r="AL68" s="268"/>
      <c r="AM68" s="269"/>
      <c r="AO68" s="267"/>
      <c r="AP68" s="268"/>
      <c r="AQ68" s="268"/>
      <c r="AR68" s="268"/>
      <c r="AS68" s="268"/>
      <c r="AT68" s="268"/>
      <c r="AU68" s="268"/>
      <c r="AV68" s="268"/>
      <c r="AW68" s="268"/>
      <c r="AX68" s="268"/>
      <c r="AY68" s="268"/>
      <c r="AZ68" s="269"/>
    </row>
    <row r="69" spans="2:52" x14ac:dyDescent="0.2">
      <c r="B69" s="267"/>
      <c r="C69" s="268"/>
      <c r="D69" s="268"/>
      <c r="E69" s="268"/>
      <c r="F69" s="268"/>
      <c r="G69" s="268"/>
      <c r="H69" s="268"/>
      <c r="I69" s="268"/>
      <c r="J69" s="268"/>
      <c r="K69" s="268"/>
      <c r="L69" s="268"/>
      <c r="M69" s="269"/>
      <c r="O69" s="267"/>
      <c r="P69" s="268"/>
      <c r="Q69" s="268"/>
      <c r="R69" s="268"/>
      <c r="S69" s="268"/>
      <c r="T69" s="268"/>
      <c r="U69" s="268"/>
      <c r="V69" s="268"/>
      <c r="W69" s="268"/>
      <c r="X69" s="268"/>
      <c r="Y69" s="268"/>
      <c r="Z69" s="269"/>
      <c r="AB69" s="267"/>
      <c r="AC69" s="268"/>
      <c r="AD69" s="268"/>
      <c r="AE69" s="268"/>
      <c r="AF69" s="268"/>
      <c r="AG69" s="268"/>
      <c r="AH69" s="268"/>
      <c r="AI69" s="268"/>
      <c r="AJ69" s="268"/>
      <c r="AK69" s="268"/>
      <c r="AL69" s="268"/>
      <c r="AM69" s="269"/>
      <c r="AO69" s="267"/>
      <c r="AP69" s="268"/>
      <c r="AQ69" s="268"/>
      <c r="AR69" s="268"/>
      <c r="AS69" s="268"/>
      <c r="AT69" s="268"/>
      <c r="AU69" s="268"/>
      <c r="AV69" s="268"/>
      <c r="AW69" s="268"/>
      <c r="AX69" s="268"/>
      <c r="AY69" s="268"/>
      <c r="AZ69" s="269"/>
    </row>
    <row r="70" spans="2:52" x14ac:dyDescent="0.2">
      <c r="B70" s="267"/>
      <c r="C70" s="268"/>
      <c r="D70" s="268"/>
      <c r="E70" s="268"/>
      <c r="F70" s="268"/>
      <c r="G70" s="268"/>
      <c r="H70" s="268"/>
      <c r="I70" s="268"/>
      <c r="J70" s="268"/>
      <c r="K70" s="268"/>
      <c r="L70" s="268"/>
      <c r="M70" s="269"/>
      <c r="O70" s="267"/>
      <c r="P70" s="268"/>
      <c r="Q70" s="268"/>
      <c r="R70" s="268"/>
      <c r="S70" s="268"/>
      <c r="T70" s="268"/>
      <c r="U70" s="268"/>
      <c r="V70" s="268"/>
      <c r="W70" s="268"/>
      <c r="X70" s="268"/>
      <c r="Y70" s="268"/>
      <c r="Z70" s="269"/>
      <c r="AB70" s="267"/>
      <c r="AC70" s="268"/>
      <c r="AD70" s="268"/>
      <c r="AE70" s="268"/>
      <c r="AF70" s="268"/>
      <c r="AG70" s="268"/>
      <c r="AH70" s="268"/>
      <c r="AI70" s="268"/>
      <c r="AJ70" s="268"/>
      <c r="AK70" s="268"/>
      <c r="AL70" s="268"/>
      <c r="AM70" s="269"/>
      <c r="AO70" s="267"/>
      <c r="AP70" s="268"/>
      <c r="AQ70" s="268"/>
      <c r="AR70" s="268"/>
      <c r="AS70" s="268"/>
      <c r="AT70" s="268"/>
      <c r="AU70" s="268"/>
      <c r="AV70" s="268"/>
      <c r="AW70" s="268"/>
      <c r="AX70" s="268"/>
      <c r="AY70" s="268"/>
      <c r="AZ70" s="269"/>
    </row>
    <row r="71" spans="2:52" x14ac:dyDescent="0.2">
      <c r="B71" s="267"/>
      <c r="C71" s="268"/>
      <c r="D71" s="268"/>
      <c r="E71" s="268"/>
      <c r="F71" s="268"/>
      <c r="G71" s="268"/>
      <c r="H71" s="268"/>
      <c r="I71" s="268"/>
      <c r="J71" s="268"/>
      <c r="K71" s="268"/>
      <c r="L71" s="268"/>
      <c r="M71" s="269"/>
      <c r="O71" s="267"/>
      <c r="P71" s="268"/>
      <c r="Q71" s="268"/>
      <c r="R71" s="268"/>
      <c r="S71" s="268"/>
      <c r="T71" s="268"/>
      <c r="U71" s="268"/>
      <c r="V71" s="268"/>
      <c r="W71" s="268"/>
      <c r="X71" s="268"/>
      <c r="Y71" s="268"/>
      <c r="Z71" s="269"/>
      <c r="AB71" s="267"/>
      <c r="AC71" s="268"/>
      <c r="AD71" s="268"/>
      <c r="AE71" s="268"/>
      <c r="AF71" s="268"/>
      <c r="AG71" s="268"/>
      <c r="AH71" s="268"/>
      <c r="AI71" s="268"/>
      <c r="AJ71" s="268"/>
      <c r="AK71" s="268"/>
      <c r="AL71" s="268"/>
      <c r="AM71" s="269"/>
      <c r="AO71" s="267"/>
      <c r="AP71" s="268"/>
      <c r="AQ71" s="268"/>
      <c r="AR71" s="268"/>
      <c r="AS71" s="268"/>
      <c r="AT71" s="268"/>
      <c r="AU71" s="268"/>
      <c r="AV71" s="268"/>
      <c r="AW71" s="268"/>
      <c r="AX71" s="268"/>
      <c r="AY71" s="268"/>
      <c r="AZ71" s="269"/>
    </row>
    <row r="72" spans="2:52" x14ac:dyDescent="0.2">
      <c r="B72" s="267"/>
      <c r="C72" s="268"/>
      <c r="D72" s="268"/>
      <c r="E72" s="268"/>
      <c r="F72" s="268"/>
      <c r="G72" s="268"/>
      <c r="H72" s="268"/>
      <c r="I72" s="268"/>
      <c r="J72" s="268"/>
      <c r="K72" s="268"/>
      <c r="L72" s="268"/>
      <c r="M72" s="269"/>
      <c r="O72" s="267"/>
      <c r="P72" s="268"/>
      <c r="Q72" s="268"/>
      <c r="R72" s="268"/>
      <c r="S72" s="268"/>
      <c r="T72" s="268"/>
      <c r="U72" s="268"/>
      <c r="V72" s="268"/>
      <c r="W72" s="268"/>
      <c r="X72" s="268"/>
      <c r="Y72" s="268"/>
      <c r="Z72" s="269"/>
      <c r="AB72" s="267"/>
      <c r="AC72" s="268"/>
      <c r="AD72" s="268"/>
      <c r="AE72" s="268"/>
      <c r="AF72" s="268"/>
      <c r="AG72" s="268"/>
      <c r="AH72" s="268"/>
      <c r="AI72" s="268"/>
      <c r="AJ72" s="268"/>
      <c r="AK72" s="268"/>
      <c r="AL72" s="268"/>
      <c r="AM72" s="269"/>
      <c r="AO72" s="267"/>
      <c r="AP72" s="268"/>
      <c r="AQ72" s="268"/>
      <c r="AR72" s="268"/>
      <c r="AS72" s="268"/>
      <c r="AT72" s="268"/>
      <c r="AU72" s="268"/>
      <c r="AV72" s="268"/>
      <c r="AW72" s="268"/>
      <c r="AX72" s="268"/>
      <c r="AY72" s="268"/>
      <c r="AZ72" s="269"/>
    </row>
    <row r="73" spans="2:52" x14ac:dyDescent="0.2">
      <c r="B73" s="267"/>
      <c r="C73" s="268"/>
      <c r="D73" s="268"/>
      <c r="E73" s="268"/>
      <c r="F73" s="268"/>
      <c r="G73" s="268"/>
      <c r="H73" s="268"/>
      <c r="I73" s="268"/>
      <c r="J73" s="268"/>
      <c r="K73" s="268"/>
      <c r="L73" s="268"/>
      <c r="M73" s="269"/>
      <c r="O73" s="267"/>
      <c r="P73" s="268"/>
      <c r="Q73" s="268"/>
      <c r="R73" s="268"/>
      <c r="S73" s="268"/>
      <c r="T73" s="268"/>
      <c r="U73" s="268"/>
      <c r="V73" s="268"/>
      <c r="W73" s="268"/>
      <c r="X73" s="268"/>
      <c r="Y73" s="268"/>
      <c r="Z73" s="269"/>
      <c r="AB73" s="267"/>
      <c r="AC73" s="268"/>
      <c r="AD73" s="268"/>
      <c r="AE73" s="268"/>
      <c r="AF73" s="268"/>
      <c r="AG73" s="268"/>
      <c r="AH73" s="268"/>
      <c r="AI73" s="268"/>
      <c r="AJ73" s="268"/>
      <c r="AK73" s="268"/>
      <c r="AL73" s="268"/>
      <c r="AM73" s="269"/>
      <c r="AO73" s="267"/>
      <c r="AP73" s="268"/>
      <c r="AQ73" s="268"/>
      <c r="AR73" s="268"/>
      <c r="AS73" s="268"/>
      <c r="AT73" s="268"/>
      <c r="AU73" s="268"/>
      <c r="AV73" s="268"/>
      <c r="AW73" s="268"/>
      <c r="AX73" s="268"/>
      <c r="AY73" s="268"/>
      <c r="AZ73" s="269"/>
    </row>
    <row r="74" spans="2:52" x14ac:dyDescent="0.2">
      <c r="B74" s="267"/>
      <c r="C74" s="268"/>
      <c r="D74" s="268"/>
      <c r="E74" s="268"/>
      <c r="F74" s="268"/>
      <c r="G74" s="268"/>
      <c r="H74" s="268"/>
      <c r="I74" s="268"/>
      <c r="J74" s="268"/>
      <c r="K74" s="268"/>
      <c r="L74" s="268"/>
      <c r="M74" s="269"/>
      <c r="O74" s="267"/>
      <c r="P74" s="268"/>
      <c r="Q74" s="268"/>
      <c r="R74" s="268"/>
      <c r="S74" s="268"/>
      <c r="T74" s="268"/>
      <c r="U74" s="268"/>
      <c r="V74" s="268"/>
      <c r="W74" s="268"/>
      <c r="X74" s="268"/>
      <c r="Y74" s="268"/>
      <c r="Z74" s="269"/>
      <c r="AB74" s="267"/>
      <c r="AC74" s="268"/>
      <c r="AD74" s="268"/>
      <c r="AE74" s="268"/>
      <c r="AF74" s="268"/>
      <c r="AG74" s="268"/>
      <c r="AH74" s="268"/>
      <c r="AI74" s="268"/>
      <c r="AJ74" s="268"/>
      <c r="AK74" s="268"/>
      <c r="AL74" s="268"/>
      <c r="AM74" s="269"/>
      <c r="AO74" s="267"/>
      <c r="AP74" s="268"/>
      <c r="AQ74" s="268"/>
      <c r="AR74" s="268"/>
      <c r="AS74" s="268"/>
      <c r="AT74" s="268"/>
      <c r="AU74" s="268"/>
      <c r="AV74" s="268"/>
      <c r="AW74" s="268"/>
      <c r="AX74" s="268"/>
      <c r="AY74" s="268"/>
      <c r="AZ74" s="269"/>
    </row>
    <row r="75" spans="2:52" x14ac:dyDescent="0.2">
      <c r="B75" s="267"/>
      <c r="C75" s="268"/>
      <c r="D75" s="268"/>
      <c r="E75" s="268"/>
      <c r="F75" s="268"/>
      <c r="G75" s="268"/>
      <c r="H75" s="268"/>
      <c r="I75" s="268"/>
      <c r="J75" s="268"/>
      <c r="K75" s="268"/>
      <c r="L75" s="268"/>
      <c r="M75" s="269"/>
      <c r="O75" s="267"/>
      <c r="P75" s="268"/>
      <c r="Q75" s="268"/>
      <c r="R75" s="268"/>
      <c r="S75" s="268"/>
      <c r="T75" s="268"/>
      <c r="U75" s="268"/>
      <c r="V75" s="268"/>
      <c r="W75" s="268"/>
      <c r="X75" s="268"/>
      <c r="Y75" s="268"/>
      <c r="Z75" s="269"/>
      <c r="AB75" s="267"/>
      <c r="AC75" s="268"/>
      <c r="AD75" s="268"/>
      <c r="AE75" s="268"/>
      <c r="AF75" s="268"/>
      <c r="AG75" s="268"/>
      <c r="AH75" s="268"/>
      <c r="AI75" s="268"/>
      <c r="AJ75" s="268"/>
      <c r="AK75" s="268"/>
      <c r="AL75" s="268"/>
      <c r="AM75" s="269"/>
      <c r="AO75" s="267"/>
      <c r="AP75" s="268"/>
      <c r="AQ75" s="268"/>
      <c r="AR75" s="268"/>
      <c r="AS75" s="268"/>
      <c r="AT75" s="268"/>
      <c r="AU75" s="268"/>
      <c r="AV75" s="268"/>
      <c r="AW75" s="268"/>
      <c r="AX75" s="268"/>
      <c r="AY75" s="268"/>
      <c r="AZ75" s="269"/>
    </row>
    <row r="76" spans="2:52" x14ac:dyDescent="0.2">
      <c r="B76" s="267"/>
      <c r="C76" s="268"/>
      <c r="D76" s="268"/>
      <c r="E76" s="268"/>
      <c r="F76" s="268"/>
      <c r="G76" s="268"/>
      <c r="H76" s="268"/>
      <c r="I76" s="268"/>
      <c r="J76" s="268"/>
      <c r="K76" s="268"/>
      <c r="L76" s="268"/>
      <c r="M76" s="269"/>
      <c r="O76" s="267"/>
      <c r="P76" s="268"/>
      <c r="Q76" s="268"/>
      <c r="R76" s="268"/>
      <c r="S76" s="268"/>
      <c r="T76" s="268"/>
      <c r="U76" s="268"/>
      <c r="V76" s="268"/>
      <c r="W76" s="268"/>
      <c r="X76" s="268"/>
      <c r="Y76" s="268"/>
      <c r="Z76" s="269"/>
      <c r="AB76" s="267"/>
      <c r="AC76" s="268"/>
      <c r="AD76" s="268"/>
      <c r="AE76" s="268"/>
      <c r="AF76" s="268"/>
      <c r="AG76" s="268"/>
      <c r="AH76" s="268"/>
      <c r="AI76" s="268"/>
      <c r="AJ76" s="268"/>
      <c r="AK76" s="268"/>
      <c r="AL76" s="268"/>
      <c r="AM76" s="269"/>
      <c r="AO76" s="267"/>
      <c r="AP76" s="268"/>
      <c r="AQ76" s="268"/>
      <c r="AR76" s="268"/>
      <c r="AS76" s="268"/>
      <c r="AT76" s="268"/>
      <c r="AU76" s="268"/>
      <c r="AV76" s="268"/>
      <c r="AW76" s="268"/>
      <c r="AX76" s="268"/>
      <c r="AY76" s="268"/>
      <c r="AZ76" s="269"/>
    </row>
    <row r="77" spans="2:52" x14ac:dyDescent="0.2">
      <c r="B77" s="267"/>
      <c r="C77" s="268"/>
      <c r="D77" s="268"/>
      <c r="E77" s="268"/>
      <c r="F77" s="268"/>
      <c r="G77" s="268"/>
      <c r="H77" s="268"/>
      <c r="I77" s="268"/>
      <c r="J77" s="268"/>
      <c r="K77" s="268"/>
      <c r="L77" s="268"/>
      <c r="M77" s="269"/>
      <c r="O77" s="267"/>
      <c r="P77" s="268"/>
      <c r="Q77" s="268"/>
      <c r="R77" s="268"/>
      <c r="S77" s="268"/>
      <c r="T77" s="268"/>
      <c r="U77" s="268"/>
      <c r="V77" s="268"/>
      <c r="W77" s="268"/>
      <c r="X77" s="268"/>
      <c r="Y77" s="268"/>
      <c r="Z77" s="269"/>
      <c r="AB77" s="267"/>
      <c r="AC77" s="268"/>
      <c r="AD77" s="268"/>
      <c r="AE77" s="268"/>
      <c r="AF77" s="268"/>
      <c r="AG77" s="268"/>
      <c r="AH77" s="268"/>
      <c r="AI77" s="268"/>
      <c r="AJ77" s="268"/>
      <c r="AK77" s="268"/>
      <c r="AL77" s="268"/>
      <c r="AM77" s="269"/>
      <c r="AO77" s="267"/>
      <c r="AP77" s="268"/>
      <c r="AQ77" s="268"/>
      <c r="AR77" s="268"/>
      <c r="AS77" s="268"/>
      <c r="AT77" s="268"/>
      <c r="AU77" s="268"/>
      <c r="AV77" s="268"/>
      <c r="AW77" s="268"/>
      <c r="AX77" s="268"/>
      <c r="AY77" s="268"/>
      <c r="AZ77" s="269"/>
    </row>
    <row r="78" spans="2:52" x14ac:dyDescent="0.2">
      <c r="B78" s="267"/>
      <c r="C78" s="268"/>
      <c r="D78" s="268"/>
      <c r="E78" s="268"/>
      <c r="F78" s="268"/>
      <c r="G78" s="268"/>
      <c r="H78" s="268"/>
      <c r="I78" s="268"/>
      <c r="J78" s="268"/>
      <c r="K78" s="268"/>
      <c r="L78" s="268"/>
      <c r="M78" s="269"/>
      <c r="O78" s="267"/>
      <c r="P78" s="268"/>
      <c r="Q78" s="268"/>
      <c r="R78" s="268"/>
      <c r="S78" s="268"/>
      <c r="T78" s="268"/>
      <c r="U78" s="268"/>
      <c r="V78" s="268"/>
      <c r="W78" s="268"/>
      <c r="X78" s="268"/>
      <c r="Y78" s="268"/>
      <c r="Z78" s="269"/>
      <c r="AB78" s="267"/>
      <c r="AC78" s="268"/>
      <c r="AD78" s="268"/>
      <c r="AE78" s="268"/>
      <c r="AF78" s="268"/>
      <c r="AG78" s="268"/>
      <c r="AH78" s="268"/>
      <c r="AI78" s="268"/>
      <c r="AJ78" s="268"/>
      <c r="AK78" s="268"/>
      <c r="AL78" s="268"/>
      <c r="AM78" s="269"/>
      <c r="AO78" s="267"/>
      <c r="AP78" s="268"/>
      <c r="AQ78" s="268"/>
      <c r="AR78" s="268"/>
      <c r="AS78" s="268"/>
      <c r="AT78" s="268"/>
      <c r="AU78" s="268"/>
      <c r="AV78" s="268"/>
      <c r="AW78" s="268"/>
      <c r="AX78" s="268"/>
      <c r="AY78" s="268"/>
      <c r="AZ78" s="269"/>
    </row>
    <row r="79" spans="2:52" x14ac:dyDescent="0.2">
      <c r="B79" s="267"/>
      <c r="C79" s="268"/>
      <c r="D79" s="268"/>
      <c r="E79" s="268"/>
      <c r="F79" s="268"/>
      <c r="G79" s="268"/>
      <c r="H79" s="268"/>
      <c r="I79" s="268"/>
      <c r="J79" s="268"/>
      <c r="K79" s="268"/>
      <c r="L79" s="268"/>
      <c r="M79" s="269"/>
      <c r="O79" s="267"/>
      <c r="P79" s="268"/>
      <c r="Q79" s="268"/>
      <c r="R79" s="268"/>
      <c r="S79" s="268"/>
      <c r="T79" s="268"/>
      <c r="U79" s="268"/>
      <c r="V79" s="268"/>
      <c r="W79" s="268"/>
      <c r="X79" s="268"/>
      <c r="Y79" s="268"/>
      <c r="Z79" s="269"/>
      <c r="AB79" s="267"/>
      <c r="AC79" s="268"/>
      <c r="AD79" s="268"/>
      <c r="AE79" s="268"/>
      <c r="AF79" s="268"/>
      <c r="AG79" s="268"/>
      <c r="AH79" s="268"/>
      <c r="AI79" s="268"/>
      <c r="AJ79" s="268"/>
      <c r="AK79" s="268"/>
      <c r="AL79" s="268"/>
      <c r="AM79" s="269"/>
      <c r="AO79" s="267"/>
      <c r="AP79" s="268"/>
      <c r="AQ79" s="268"/>
      <c r="AR79" s="268"/>
      <c r="AS79" s="268"/>
      <c r="AT79" s="268"/>
      <c r="AU79" s="268"/>
      <c r="AV79" s="268"/>
      <c r="AW79" s="268"/>
      <c r="AX79" s="268"/>
      <c r="AY79" s="268"/>
      <c r="AZ79" s="269"/>
    </row>
    <row r="80" spans="2:52" x14ac:dyDescent="0.2">
      <c r="B80" s="267"/>
      <c r="C80" s="268"/>
      <c r="D80" s="268"/>
      <c r="E80" s="268"/>
      <c r="F80" s="268"/>
      <c r="G80" s="268"/>
      <c r="H80" s="268"/>
      <c r="I80" s="268"/>
      <c r="J80" s="268"/>
      <c r="K80" s="268"/>
      <c r="L80" s="268"/>
      <c r="M80" s="269"/>
      <c r="O80" s="267"/>
      <c r="P80" s="268"/>
      <c r="Q80" s="268"/>
      <c r="R80" s="268"/>
      <c r="S80" s="268"/>
      <c r="T80" s="268"/>
      <c r="U80" s="268"/>
      <c r="V80" s="268"/>
      <c r="W80" s="268"/>
      <c r="X80" s="268"/>
      <c r="Y80" s="268"/>
      <c r="Z80" s="269"/>
      <c r="AB80" s="267"/>
      <c r="AC80" s="268"/>
      <c r="AD80" s="268"/>
      <c r="AE80" s="268"/>
      <c r="AF80" s="268"/>
      <c r="AG80" s="268"/>
      <c r="AH80" s="268"/>
      <c r="AI80" s="268"/>
      <c r="AJ80" s="268"/>
      <c r="AK80" s="268"/>
      <c r="AL80" s="268"/>
      <c r="AM80" s="269"/>
      <c r="AO80" s="267"/>
      <c r="AP80" s="268"/>
      <c r="AQ80" s="268"/>
      <c r="AR80" s="268"/>
      <c r="AS80" s="268"/>
      <c r="AT80" s="268"/>
      <c r="AU80" s="268"/>
      <c r="AV80" s="268"/>
      <c r="AW80" s="268"/>
      <c r="AX80" s="268"/>
      <c r="AY80" s="268"/>
      <c r="AZ80" s="269"/>
    </row>
    <row r="81" spans="2:52" x14ac:dyDescent="0.2">
      <c r="B81" s="267"/>
      <c r="C81" s="268"/>
      <c r="D81" s="268"/>
      <c r="E81" s="268"/>
      <c r="F81" s="268"/>
      <c r="G81" s="268"/>
      <c r="H81" s="268"/>
      <c r="I81" s="268"/>
      <c r="J81" s="268"/>
      <c r="K81" s="268"/>
      <c r="L81" s="268"/>
      <c r="M81" s="269"/>
      <c r="O81" s="267"/>
      <c r="P81" s="268"/>
      <c r="Q81" s="268"/>
      <c r="R81" s="268"/>
      <c r="S81" s="268"/>
      <c r="T81" s="268"/>
      <c r="U81" s="268"/>
      <c r="V81" s="268"/>
      <c r="W81" s="268"/>
      <c r="X81" s="268"/>
      <c r="Y81" s="268"/>
      <c r="Z81" s="269"/>
      <c r="AB81" s="267"/>
      <c r="AC81" s="268"/>
      <c r="AD81" s="268"/>
      <c r="AE81" s="268"/>
      <c r="AF81" s="268"/>
      <c r="AG81" s="268"/>
      <c r="AH81" s="268"/>
      <c r="AI81" s="268"/>
      <c r="AJ81" s="268"/>
      <c r="AK81" s="268"/>
      <c r="AL81" s="268"/>
      <c r="AM81" s="269"/>
      <c r="AO81" s="267"/>
      <c r="AP81" s="268"/>
      <c r="AQ81" s="268"/>
      <c r="AR81" s="268"/>
      <c r="AS81" s="268"/>
      <c r="AT81" s="268"/>
      <c r="AU81" s="268"/>
      <c r="AV81" s="268"/>
      <c r="AW81" s="268"/>
      <c r="AX81" s="268"/>
      <c r="AY81" s="268"/>
      <c r="AZ81" s="269"/>
    </row>
    <row r="82" spans="2:52" x14ac:dyDescent="0.2">
      <c r="B82" s="267"/>
      <c r="C82" s="268"/>
      <c r="D82" s="268"/>
      <c r="E82" s="268"/>
      <c r="F82" s="268"/>
      <c r="G82" s="268"/>
      <c r="H82" s="268"/>
      <c r="I82" s="268"/>
      <c r="J82" s="268"/>
      <c r="K82" s="268"/>
      <c r="L82" s="268"/>
      <c r="M82" s="269"/>
      <c r="O82" s="267"/>
      <c r="P82" s="268"/>
      <c r="Q82" s="268"/>
      <c r="R82" s="268"/>
      <c r="S82" s="268"/>
      <c r="T82" s="268"/>
      <c r="U82" s="268"/>
      <c r="V82" s="268"/>
      <c r="W82" s="268"/>
      <c r="X82" s="268"/>
      <c r="Y82" s="268"/>
      <c r="Z82" s="269"/>
      <c r="AB82" s="267"/>
      <c r="AC82" s="268"/>
      <c r="AD82" s="268"/>
      <c r="AE82" s="268"/>
      <c r="AF82" s="268"/>
      <c r="AG82" s="268"/>
      <c r="AH82" s="268"/>
      <c r="AI82" s="268"/>
      <c r="AJ82" s="268"/>
      <c r="AK82" s="268"/>
      <c r="AL82" s="268"/>
      <c r="AM82" s="269"/>
      <c r="AO82" s="267"/>
      <c r="AP82" s="268"/>
      <c r="AQ82" s="268"/>
      <c r="AR82" s="268"/>
      <c r="AS82" s="268"/>
      <c r="AT82" s="268"/>
      <c r="AU82" s="268"/>
      <c r="AV82" s="268"/>
      <c r="AW82" s="268"/>
      <c r="AX82" s="268"/>
      <c r="AY82" s="268"/>
      <c r="AZ82" s="269"/>
    </row>
    <row r="83" spans="2:52" x14ac:dyDescent="0.2">
      <c r="B83" s="267"/>
      <c r="C83" s="268"/>
      <c r="D83" s="268"/>
      <c r="E83" s="268"/>
      <c r="F83" s="268"/>
      <c r="G83" s="268"/>
      <c r="H83" s="268"/>
      <c r="I83" s="268"/>
      <c r="J83" s="268"/>
      <c r="K83" s="268"/>
      <c r="L83" s="268"/>
      <c r="M83" s="269"/>
      <c r="O83" s="267"/>
      <c r="P83" s="268"/>
      <c r="Q83" s="268"/>
      <c r="R83" s="268"/>
      <c r="S83" s="268"/>
      <c r="T83" s="268"/>
      <c r="U83" s="268"/>
      <c r="V83" s="268"/>
      <c r="W83" s="268"/>
      <c r="X83" s="268"/>
      <c r="Y83" s="268"/>
      <c r="Z83" s="269"/>
      <c r="AB83" s="267"/>
      <c r="AC83" s="268"/>
      <c r="AD83" s="268"/>
      <c r="AE83" s="268"/>
      <c r="AF83" s="268"/>
      <c r="AG83" s="268"/>
      <c r="AH83" s="268"/>
      <c r="AI83" s="268"/>
      <c r="AJ83" s="268"/>
      <c r="AK83" s="268"/>
      <c r="AL83" s="268"/>
      <c r="AM83" s="269"/>
      <c r="AO83" s="267"/>
      <c r="AP83" s="268"/>
      <c r="AQ83" s="268"/>
      <c r="AR83" s="268"/>
      <c r="AS83" s="268"/>
      <c r="AT83" s="268"/>
      <c r="AU83" s="268"/>
      <c r="AV83" s="268"/>
      <c r="AW83" s="268"/>
      <c r="AX83" s="268"/>
      <c r="AY83" s="268"/>
      <c r="AZ83" s="269"/>
    </row>
    <row r="84" spans="2:52" x14ac:dyDescent="0.2">
      <c r="B84" s="267"/>
      <c r="C84" s="268"/>
      <c r="D84" s="268"/>
      <c r="E84" s="268"/>
      <c r="F84" s="268"/>
      <c r="G84" s="268"/>
      <c r="H84" s="268"/>
      <c r="I84" s="268"/>
      <c r="J84" s="268"/>
      <c r="K84" s="268"/>
      <c r="L84" s="268"/>
      <c r="M84" s="269"/>
      <c r="O84" s="267"/>
      <c r="P84" s="268"/>
      <c r="Q84" s="268"/>
      <c r="R84" s="268"/>
      <c r="S84" s="268"/>
      <c r="T84" s="268"/>
      <c r="U84" s="268"/>
      <c r="V84" s="268"/>
      <c r="W84" s="268"/>
      <c r="X84" s="268"/>
      <c r="Y84" s="268"/>
      <c r="Z84" s="269"/>
      <c r="AB84" s="267"/>
      <c r="AC84" s="268"/>
      <c r="AD84" s="268"/>
      <c r="AE84" s="268"/>
      <c r="AF84" s="268"/>
      <c r="AG84" s="268"/>
      <c r="AH84" s="268"/>
      <c r="AI84" s="268"/>
      <c r="AJ84" s="268"/>
      <c r="AK84" s="268"/>
      <c r="AL84" s="268"/>
      <c r="AM84" s="269"/>
      <c r="AO84" s="267"/>
      <c r="AP84" s="268"/>
      <c r="AQ84" s="268"/>
      <c r="AR84" s="268"/>
      <c r="AS84" s="268"/>
      <c r="AT84" s="268"/>
      <c r="AU84" s="268"/>
      <c r="AV84" s="268"/>
      <c r="AW84" s="268"/>
      <c r="AX84" s="268"/>
      <c r="AY84" s="268"/>
      <c r="AZ84" s="269"/>
    </row>
    <row r="85" spans="2:52" x14ac:dyDescent="0.2">
      <c r="B85" s="267"/>
      <c r="C85" s="268"/>
      <c r="D85" s="268"/>
      <c r="E85" s="268"/>
      <c r="F85" s="268"/>
      <c r="G85" s="268"/>
      <c r="H85" s="268"/>
      <c r="I85" s="268"/>
      <c r="J85" s="268"/>
      <c r="K85" s="268"/>
      <c r="L85" s="268"/>
      <c r="M85" s="269"/>
      <c r="O85" s="267"/>
      <c r="P85" s="268"/>
      <c r="Q85" s="268"/>
      <c r="R85" s="268"/>
      <c r="S85" s="268"/>
      <c r="T85" s="268"/>
      <c r="U85" s="268"/>
      <c r="V85" s="268"/>
      <c r="W85" s="268"/>
      <c r="X85" s="268"/>
      <c r="Y85" s="268"/>
      <c r="Z85" s="269"/>
      <c r="AB85" s="267"/>
      <c r="AC85" s="268"/>
      <c r="AD85" s="268"/>
      <c r="AE85" s="268"/>
      <c r="AF85" s="268"/>
      <c r="AG85" s="268"/>
      <c r="AH85" s="268"/>
      <c r="AI85" s="268"/>
      <c r="AJ85" s="268"/>
      <c r="AK85" s="268"/>
      <c r="AL85" s="268"/>
      <c r="AM85" s="269"/>
      <c r="AO85" s="267"/>
      <c r="AP85" s="268"/>
      <c r="AQ85" s="268"/>
      <c r="AR85" s="268"/>
      <c r="AS85" s="268"/>
      <c r="AT85" s="268"/>
      <c r="AU85" s="268"/>
      <c r="AV85" s="268"/>
      <c r="AW85" s="268"/>
      <c r="AX85" s="268"/>
      <c r="AY85" s="268"/>
      <c r="AZ85" s="269"/>
    </row>
    <row r="86" spans="2:52" x14ac:dyDescent="0.2">
      <c r="B86" s="267"/>
      <c r="C86" s="268"/>
      <c r="D86" s="268"/>
      <c r="E86" s="268"/>
      <c r="F86" s="268"/>
      <c r="G86" s="268"/>
      <c r="H86" s="268"/>
      <c r="I86" s="268"/>
      <c r="J86" s="268"/>
      <c r="K86" s="268"/>
      <c r="L86" s="268"/>
      <c r="M86" s="269"/>
      <c r="O86" s="267"/>
      <c r="P86" s="268"/>
      <c r="Q86" s="268"/>
      <c r="R86" s="268"/>
      <c r="S86" s="268"/>
      <c r="T86" s="268"/>
      <c r="U86" s="268"/>
      <c r="V86" s="268"/>
      <c r="W86" s="268"/>
      <c r="X86" s="268"/>
      <c r="Y86" s="268"/>
      <c r="Z86" s="269"/>
      <c r="AB86" s="267"/>
      <c r="AC86" s="268"/>
      <c r="AD86" s="268"/>
      <c r="AE86" s="268"/>
      <c r="AF86" s="268"/>
      <c r="AG86" s="268"/>
      <c r="AH86" s="268"/>
      <c r="AI86" s="268"/>
      <c r="AJ86" s="268"/>
      <c r="AK86" s="268"/>
      <c r="AL86" s="268"/>
      <c r="AM86" s="269"/>
      <c r="AO86" s="267"/>
      <c r="AP86" s="268"/>
      <c r="AQ86" s="268"/>
      <c r="AR86" s="268"/>
      <c r="AS86" s="268"/>
      <c r="AT86" s="268"/>
      <c r="AU86" s="268"/>
      <c r="AV86" s="268"/>
      <c r="AW86" s="268"/>
      <c r="AX86" s="268"/>
      <c r="AY86" s="268"/>
      <c r="AZ86" s="269"/>
    </row>
    <row r="87" spans="2:52" ht="13.5" thickBot="1" x14ac:dyDescent="0.25">
      <c r="B87" s="270"/>
      <c r="C87" s="271"/>
      <c r="D87" s="271"/>
      <c r="E87" s="271"/>
      <c r="F87" s="271"/>
      <c r="G87" s="271"/>
      <c r="H87" s="271"/>
      <c r="I87" s="271"/>
      <c r="J87" s="271"/>
      <c r="K87" s="271"/>
      <c r="L87" s="271"/>
      <c r="M87" s="272"/>
      <c r="O87" s="270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2"/>
      <c r="AB87" s="270"/>
      <c r="AC87" s="271"/>
      <c r="AD87" s="271"/>
      <c r="AE87" s="271"/>
      <c r="AF87" s="271"/>
      <c r="AG87" s="271"/>
      <c r="AH87" s="271"/>
      <c r="AI87" s="271"/>
      <c r="AJ87" s="271"/>
      <c r="AK87" s="271"/>
      <c r="AL87" s="271"/>
      <c r="AM87" s="272"/>
      <c r="AO87" s="270"/>
      <c r="AP87" s="271"/>
      <c r="AQ87" s="271"/>
      <c r="AR87" s="271"/>
      <c r="AS87" s="271"/>
      <c r="AT87" s="271"/>
      <c r="AU87" s="271"/>
      <c r="AV87" s="271"/>
      <c r="AW87" s="271"/>
      <c r="AX87" s="271"/>
      <c r="AY87" s="271"/>
      <c r="AZ87" s="272"/>
    </row>
    <row r="88" spans="2:52" x14ac:dyDescent="0.2"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2:52" x14ac:dyDescent="0.2"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2:52" x14ac:dyDescent="0.2"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2:52" x14ac:dyDescent="0.2"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</sheetData>
  <customSheetViews>
    <customSheetView guid="{180A269B-7E32-4D24-945A-4A804FC4280D}" scale="85" showGridLines="0">
      <selection activeCell="U28" sqref="U28"/>
      <pageMargins left="0" right="0" top="0" bottom="0" header="0" footer="0"/>
    </customSheetView>
    <customSheetView guid="{F0BD4916-1611-48FD-8208-19E7D9B71F1A}" scale="85" showGridLines="0">
      <selection activeCell="U28" sqref="U28"/>
      <pageMargins left="0" right="0" top="0" bottom="0" header="0" footer="0"/>
    </customSheetView>
    <customSheetView guid="{1DCC370E-2FC6-43E0-BC38-BCA3EE5D5128}" scale="85" showGridLines="0">
      <selection activeCell="U28" sqref="U28"/>
      <pageMargins left="0" right="0" top="0" bottom="0" header="0" footer="0"/>
    </customSheetView>
    <customSheetView guid="{C7D8C3A9-FB79-4D22-935E-FEFA619A3CE5}" scale="85" showGridLines="0">
      <selection activeCell="U28" sqref="U28"/>
      <pageMargins left="0" right="0" top="0" bottom="0" header="0" footer="0"/>
    </customSheetView>
    <customSheetView guid="{C5333697-7BE7-4020-97A4-B735E526926D}" scale="70" topLeftCell="A34">
      <selection activeCell="B61" sqref="B61:M87"/>
      <pageMargins left="0" right="0" top="0" bottom="0" header="0" footer="0"/>
    </customSheetView>
    <customSheetView guid="{9C22FFE9-00CF-47D0-BD99-D84A00825140}" scale="85" showGridLines="0">
      <selection activeCell="B61" sqref="B61:M87"/>
      <pageMargins left="0" right="0" top="0" bottom="0" header="0" footer="0"/>
    </customSheetView>
  </customSheetViews>
  <mergeCells count="34">
    <mergeCell ref="B2:M2"/>
    <mergeCell ref="B3:M28"/>
    <mergeCell ref="B31:M57"/>
    <mergeCell ref="K30:L30"/>
    <mergeCell ref="B30:J30"/>
    <mergeCell ref="AB3:AM28"/>
    <mergeCell ref="AB30:AJ30"/>
    <mergeCell ref="AK30:AL30"/>
    <mergeCell ref="AB31:AM57"/>
    <mergeCell ref="AB2:AJ2"/>
    <mergeCell ref="AK2:AL2"/>
    <mergeCell ref="O2:Z2"/>
    <mergeCell ref="O3:Z28"/>
    <mergeCell ref="O30:W30"/>
    <mergeCell ref="X30:Y30"/>
    <mergeCell ref="O31:Z57"/>
    <mergeCell ref="AO2:AW2"/>
    <mergeCell ref="AX2:AY2"/>
    <mergeCell ref="AO3:AZ28"/>
    <mergeCell ref="AO30:AW30"/>
    <mergeCell ref="AX30:AY30"/>
    <mergeCell ref="B61:M87"/>
    <mergeCell ref="O61:Z87"/>
    <mergeCell ref="AB61:AM87"/>
    <mergeCell ref="AO61:AZ87"/>
    <mergeCell ref="AO31:AZ57"/>
    <mergeCell ref="B60:J60"/>
    <mergeCell ref="K60:L60"/>
    <mergeCell ref="O60:W60"/>
    <mergeCell ref="X60:Y60"/>
    <mergeCell ref="AB60:AJ60"/>
    <mergeCell ref="AK60:AL60"/>
    <mergeCell ref="AO60:AW60"/>
    <mergeCell ref="AX60:AY6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85" zoomScaleNormal="85" workbookViewId="0"/>
  </sheetViews>
  <sheetFormatPr defaultRowHeight="12.75" x14ac:dyDescent="0.2"/>
  <sheetData/>
  <customSheetViews>
    <customSheetView guid="{180A269B-7E32-4D24-945A-4A804FC4280D}" scale="85" showGridLines="0" state="hidden">
      <pageMargins left="0" right="0" top="0" bottom="0" header="0" footer="0"/>
      <pageSetup paperSize="9" orientation="portrait" r:id="rId1"/>
    </customSheetView>
    <customSheetView guid="{C7D8C3A9-FB79-4D22-935E-FEFA619A3CE5}" scale="85" showGridLines="0" state="hidden">
      <pageMargins left="0" right="0" top="0" bottom="0" header="0" footer="0"/>
      <pageSetup paperSize="9" orientation="portrait" r:id="rId2"/>
    </customSheetView>
    <customSheetView guid="{C5333697-7BE7-4020-97A4-B735E526926D}" scale="85" showGridLines="0" state="hidden">
      <pageMargins left="0" right="0" top="0" bottom="0" header="0" footer="0"/>
      <pageSetup paperSize="9" orientation="portrait" r:id="rId3"/>
    </customSheetView>
    <customSheetView guid="{9C22FFE9-00CF-47D0-BD99-D84A00825140}" scale="85" showGridLines="0" state="hidden">
      <pageMargins left="0" right="0" top="0" bottom="0" header="0" footer="0"/>
      <pageSetup paperSize="9" orientation="portrait" r:id="rId4"/>
    </customSheetView>
  </customSheetViews>
  <pageMargins left="0.7" right="0.7" top="0.75" bottom="0.75" header="0.3" footer="0.3"/>
  <pageSetup paperSize="9" orientation="portrait" r:id="rId5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88"/>
  <sheetViews>
    <sheetView showGridLines="0" tabSelected="1" view="pageBreakPreview" zoomScale="90" zoomScaleNormal="90" zoomScaleSheetLayoutView="80" zoomScalePageLayoutView="80" workbookViewId="0">
      <selection activeCell="P39" sqref="P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</v>
      </c>
      <c r="L2" s="36" t="s">
        <v>274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1780.82</v>
      </c>
      <c r="K6" s="391"/>
      <c r="L6" s="391">
        <f ca="1">Summary!G9</f>
        <v>1807.63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120</v>
      </c>
      <c r="E7" s="84">
        <v>50</v>
      </c>
      <c r="F7" s="366">
        <v>60</v>
      </c>
      <c r="G7" s="367"/>
      <c r="H7" s="345">
        <f>SUM(D7:D10)</f>
        <v>580.33000000000004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140</v>
      </c>
      <c r="E8" s="86">
        <v>50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160</v>
      </c>
      <c r="E9" s="86">
        <v>50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160.33000000000001</v>
      </c>
      <c r="E10" s="88">
        <v>50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130</v>
      </c>
      <c r="E11" s="90">
        <v>50</v>
      </c>
      <c r="F11" s="357">
        <v>60</v>
      </c>
      <c r="G11" s="358"/>
      <c r="H11" s="359">
        <f>SUM(D11:D14)</f>
        <v>600.27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140</v>
      </c>
      <c r="E12" s="92">
        <v>50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160</v>
      </c>
      <c r="E13" s="92">
        <v>50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170.27</v>
      </c>
      <c r="E14" s="94">
        <v>50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130</v>
      </c>
      <c r="E15" s="96">
        <v>50</v>
      </c>
      <c r="F15" s="343">
        <v>60</v>
      </c>
      <c r="G15" s="344"/>
      <c r="H15" s="345">
        <f>SUM(D15:D18)</f>
        <v>600.22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160</v>
      </c>
      <c r="E16" s="98">
        <v>50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150</v>
      </c>
      <c r="E17" s="98">
        <v>50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160.22</v>
      </c>
      <c r="E18" s="100">
        <v>50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1780.82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8</v>
      </c>
      <c r="D25" s="102">
        <v>152</v>
      </c>
      <c r="E25" s="56">
        <v>7</v>
      </c>
      <c r="F25" s="107">
        <v>230</v>
      </c>
      <c r="G25" s="381">
        <v>8</v>
      </c>
      <c r="H25" s="382"/>
      <c r="I25" s="111">
        <v>198</v>
      </c>
      <c r="J25" s="38">
        <f t="shared" ref="J25:J40" si="0">C25+E25+G25</f>
        <v>23</v>
      </c>
      <c r="K25" s="383">
        <f>D25+F25+I25</f>
        <v>580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6</v>
      </c>
      <c r="D26" s="103">
        <v>76</v>
      </c>
      <c r="E26" s="57">
        <v>5</v>
      </c>
      <c r="F26" s="108">
        <v>64</v>
      </c>
      <c r="G26" s="377">
        <v>6</v>
      </c>
      <c r="H26" s="378"/>
      <c r="I26" s="112">
        <v>64</v>
      </c>
      <c r="J26" s="25">
        <f t="shared" si="0"/>
        <v>17</v>
      </c>
      <c r="K26" s="379">
        <f t="shared" ref="K26:K37" si="1">D26+F26+I26</f>
        <v>204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176</v>
      </c>
      <c r="E27" s="57"/>
      <c r="F27" s="108">
        <v>124</v>
      </c>
      <c r="G27" s="377"/>
      <c r="H27" s="378"/>
      <c r="I27" s="112">
        <v>134</v>
      </c>
      <c r="J27" s="25">
        <f t="shared" si="0"/>
        <v>0</v>
      </c>
      <c r="K27" s="379">
        <f t="shared" si="1"/>
        <v>434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6</v>
      </c>
      <c r="D28" s="103"/>
      <c r="E28" s="57">
        <v>7</v>
      </c>
      <c r="F28" s="108"/>
      <c r="G28" s="377">
        <v>6</v>
      </c>
      <c r="H28" s="378"/>
      <c r="I28" s="112"/>
      <c r="J28" s="25">
        <f t="shared" si="0"/>
        <v>19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4</v>
      </c>
      <c r="D29" s="103"/>
      <c r="E29" s="57">
        <v>4</v>
      </c>
      <c r="F29" s="108"/>
      <c r="G29" s="377">
        <v>5</v>
      </c>
      <c r="H29" s="378"/>
      <c r="I29" s="112"/>
      <c r="J29" s="25">
        <f t="shared" si="0"/>
        <v>13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/>
      <c r="E30" s="57"/>
      <c r="F30" s="108">
        <v>27</v>
      </c>
      <c r="G30" s="377">
        <v>1</v>
      </c>
      <c r="H30" s="378"/>
      <c r="I30" s="112"/>
      <c r="J30" s="25">
        <f t="shared" si="0"/>
        <v>2</v>
      </c>
      <c r="K30" s="379">
        <f t="shared" si="1"/>
        <v>27</v>
      </c>
      <c r="L30" s="380"/>
      <c r="N30" s="245"/>
    </row>
    <row r="31" spans="2:14" ht="14.1" customHeight="1" x14ac:dyDescent="0.2">
      <c r="B31" s="80" t="s">
        <v>313</v>
      </c>
      <c r="C31" s="45">
        <v>3</v>
      </c>
      <c r="D31" s="103"/>
      <c r="E31" s="57">
        <v>3</v>
      </c>
      <c r="F31" s="108"/>
      <c r="G31" s="377">
        <v>3</v>
      </c>
      <c r="H31" s="378"/>
      <c r="I31" s="112"/>
      <c r="J31" s="25">
        <f t="shared" si="0"/>
        <v>9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2</v>
      </c>
      <c r="H32" s="378"/>
      <c r="I32" s="112"/>
      <c r="J32" s="25">
        <f t="shared" si="0"/>
        <v>4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>
        <v>25.15</v>
      </c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25.15</v>
      </c>
      <c r="L33" s="380"/>
      <c r="N33" s="245"/>
    </row>
    <row r="34" spans="1:16" ht="14.1" customHeight="1" x14ac:dyDescent="0.2">
      <c r="B34" s="80" t="s">
        <v>316</v>
      </c>
      <c r="C34" s="45">
        <v>1</v>
      </c>
      <c r="D34" s="103"/>
      <c r="E34" s="57"/>
      <c r="F34" s="108"/>
      <c r="G34" s="377">
        <v>1</v>
      </c>
      <c r="H34" s="378"/>
      <c r="I34" s="112"/>
      <c r="J34" s="25">
        <f t="shared" si="0"/>
        <v>2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ref="K35" si="2">D35+F35+I35</f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11</v>
      </c>
      <c r="E37" s="58"/>
      <c r="F37" s="109"/>
      <c r="G37" s="377"/>
      <c r="H37" s="378"/>
      <c r="I37" s="113">
        <v>4</v>
      </c>
      <c r="J37" s="25">
        <f t="shared" si="0"/>
        <v>0</v>
      </c>
      <c r="K37" s="379">
        <f t="shared" si="1"/>
        <v>15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0</v>
      </c>
      <c r="J38" s="25">
        <f t="shared" si="0"/>
        <v>0</v>
      </c>
      <c r="K38" s="379">
        <f t="shared" ref="K38:K39" si="3">D38+F38+I38</f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135</v>
      </c>
      <c r="J39" s="25">
        <f t="shared" si="0"/>
        <v>0</v>
      </c>
      <c r="K39" s="379">
        <f t="shared" si="3"/>
        <v>135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118.56</v>
      </c>
      <c r="E40" s="59"/>
      <c r="F40" s="110">
        <v>149.4</v>
      </c>
      <c r="G40" s="444"/>
      <c r="H40" s="445"/>
      <c r="I40" s="114">
        <v>119.52</v>
      </c>
      <c r="J40" s="26">
        <f t="shared" si="0"/>
        <v>0</v>
      </c>
      <c r="K40" s="446">
        <f>D40+F40+I40</f>
        <v>387.48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30</v>
      </c>
      <c r="D41" s="106">
        <f>SUM(D25:D40)</f>
        <v>558.71</v>
      </c>
      <c r="E41" s="16">
        <f>SUM(E25:E40)</f>
        <v>27</v>
      </c>
      <c r="F41" s="106">
        <f>SUM(F25:F40)</f>
        <v>594.4</v>
      </c>
      <c r="G41" s="401">
        <f>SUM(G25:H40)</f>
        <v>32</v>
      </c>
      <c r="H41" s="401"/>
      <c r="I41" s="106">
        <f>SUM(I25:I40)</f>
        <v>654.52</v>
      </c>
      <c r="J41" s="16">
        <f>SUM(J25:J40)</f>
        <v>89</v>
      </c>
      <c r="K41" s="448">
        <f>SUM(K25:L40)</f>
        <v>1807.63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/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0</v>
      </c>
      <c r="D59" s="403"/>
      <c r="E59" s="404"/>
      <c r="F59" s="405" t="s">
        <v>347</v>
      </c>
      <c r="G59" s="406"/>
      <c r="H59" s="407">
        <f>IF(ISERROR(SUM(H58:I58)/$H$19),"",(SUM(H58:I58)/$H$19))</f>
        <v>0</v>
      </c>
      <c r="I59" s="408"/>
      <c r="J59" s="405" t="s">
        <v>348</v>
      </c>
      <c r="K59" s="406"/>
      <c r="L59" s="115">
        <f>IF(ISERROR(L58/$H$19),"",(L58/$H$19))</f>
        <v>0</v>
      </c>
      <c r="M59" s="116">
        <f>IF(ISERROR(M58/$H$19),"",(M58/$H$19))</f>
        <v>0</v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0.42361111111111094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94" si="4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23</v>
      </c>
      <c r="E64" s="293"/>
      <c r="F64" s="295"/>
      <c r="G64" s="293" t="s">
        <v>357</v>
      </c>
      <c r="H64" s="294"/>
      <c r="I64" s="294"/>
      <c r="J64" s="295"/>
      <c r="K64" s="238">
        <v>0.40972222222222227</v>
      </c>
      <c r="L64" s="238">
        <v>0.4513888888888889</v>
      </c>
      <c r="M64" s="236"/>
      <c r="N64" s="237" t="str">
        <f t="shared" si="4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4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 t="s">
        <v>6</v>
      </c>
      <c r="C66" s="236" t="s">
        <v>25</v>
      </c>
      <c r="D66" s="236" t="s">
        <v>23</v>
      </c>
      <c r="E66" s="293" t="s">
        <v>97</v>
      </c>
      <c r="F66" s="295"/>
      <c r="G66" s="293" t="s">
        <v>358</v>
      </c>
      <c r="H66" s="294"/>
      <c r="I66" s="294"/>
      <c r="J66" s="295"/>
      <c r="K66" s="239">
        <v>0.71527777777777779</v>
      </c>
      <c r="L66" s="239">
        <v>0.74305555555555547</v>
      </c>
      <c r="M66" s="236" t="s">
        <v>9</v>
      </c>
      <c r="N66" s="237">
        <f t="shared" si="4"/>
        <v>2.7777777777777679E-2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29</v>
      </c>
      <c r="E67" s="293"/>
      <c r="F67" s="295"/>
      <c r="G67" s="293" t="s">
        <v>359</v>
      </c>
      <c r="H67" s="294"/>
      <c r="I67" s="294"/>
      <c r="J67" s="295"/>
      <c r="K67" s="238">
        <v>0.68055555555555547</v>
      </c>
      <c r="L67" s="238">
        <v>0.70138888888888884</v>
      </c>
      <c r="M67" s="236" t="s">
        <v>9</v>
      </c>
      <c r="N67" s="237">
        <f t="shared" si="4"/>
        <v>2.083333333333337E-2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93"/>
      <c r="F68" s="295"/>
      <c r="G68" s="293" t="s">
        <v>357</v>
      </c>
      <c r="H68" s="294"/>
      <c r="I68" s="294"/>
      <c r="J68" s="295"/>
      <c r="K68" s="239">
        <v>0.61805555555555558</v>
      </c>
      <c r="L68" s="239">
        <v>0.65972222222222221</v>
      </c>
      <c r="M68" s="236" t="s">
        <v>9</v>
      </c>
      <c r="N68" s="237">
        <f t="shared" si="4"/>
        <v>4.166666666666663E-2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293"/>
      <c r="F69" s="295"/>
      <c r="G69" s="293" t="s">
        <v>357</v>
      </c>
      <c r="H69" s="294"/>
      <c r="I69" s="294"/>
      <c r="J69" s="295"/>
      <c r="K69" s="239">
        <v>0.6875</v>
      </c>
      <c r="L69" s="239">
        <v>0.71527777777777779</v>
      </c>
      <c r="M69" s="236" t="s">
        <v>9</v>
      </c>
      <c r="N69" s="237">
        <f t="shared" si="4"/>
        <v>2.777777777777779E-2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93"/>
      <c r="F70" s="295"/>
      <c r="G70" s="293" t="s">
        <v>357</v>
      </c>
      <c r="H70" s="294"/>
      <c r="I70" s="294"/>
      <c r="J70" s="295"/>
      <c r="K70" s="239">
        <v>0.81944444444444453</v>
      </c>
      <c r="L70" s="239">
        <v>0.84722222222222221</v>
      </c>
      <c r="M70" s="236" t="s">
        <v>9</v>
      </c>
      <c r="N70" s="237">
        <f t="shared" si="4"/>
        <v>2.7777777777777679E-2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4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10</v>
      </c>
      <c r="C72" s="236" t="s">
        <v>28</v>
      </c>
      <c r="D72" s="236" t="s">
        <v>29</v>
      </c>
      <c r="E72" s="293" t="s">
        <v>106</v>
      </c>
      <c r="F72" s="295"/>
      <c r="G72" s="293" t="s">
        <v>360</v>
      </c>
      <c r="H72" s="294"/>
      <c r="I72" s="294"/>
      <c r="J72" s="295"/>
      <c r="K72" s="239">
        <v>0.1388888888888889</v>
      </c>
      <c r="L72" s="239">
        <v>0.16666666666666666</v>
      </c>
      <c r="M72" s="236" t="s">
        <v>9</v>
      </c>
      <c r="N72" s="237">
        <f t="shared" si="4"/>
        <v>2.7777777777777762E-2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29</v>
      </c>
      <c r="E73" s="293" t="s">
        <v>106</v>
      </c>
      <c r="F73" s="295"/>
      <c r="G73" s="293" t="s">
        <v>361</v>
      </c>
      <c r="H73" s="294"/>
      <c r="I73" s="294"/>
      <c r="J73" s="295"/>
      <c r="K73" s="239">
        <v>0.20833333333333334</v>
      </c>
      <c r="L73" s="239">
        <v>0.23611111111111113</v>
      </c>
      <c r="M73" s="236" t="s">
        <v>9</v>
      </c>
      <c r="N73" s="237">
        <f t="shared" si="4"/>
        <v>2.777777777777779E-2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293"/>
      <c r="F74" s="295"/>
      <c r="G74" s="293" t="s">
        <v>362</v>
      </c>
      <c r="H74" s="294"/>
      <c r="I74" s="294"/>
      <c r="J74" s="295"/>
      <c r="K74" s="238">
        <v>4.1666666666666664E-2</v>
      </c>
      <c r="L74" s="238">
        <v>9.0277777777777776E-2</v>
      </c>
      <c r="M74" s="236" t="s">
        <v>9</v>
      </c>
      <c r="N74" s="237">
        <f t="shared" si="4"/>
        <v>4.8611111111111112E-2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>
        <v>0.1111111111111111</v>
      </c>
      <c r="L75" s="239">
        <v>0.15277777777777776</v>
      </c>
      <c r="M75" s="236" t="s">
        <v>9</v>
      </c>
      <c r="N75" s="237">
        <f t="shared" si="4"/>
        <v>4.1666666666666657E-2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>
        <v>0.19444444444444445</v>
      </c>
      <c r="L76" s="239">
        <v>0.22916666666666666</v>
      </c>
      <c r="M76" s="236" t="s">
        <v>9</v>
      </c>
      <c r="N76" s="237">
        <f t="shared" si="4"/>
        <v>3.472222222222221E-2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>
        <v>0.25</v>
      </c>
      <c r="L77" s="238"/>
      <c r="M77" s="236"/>
      <c r="N77" s="237" t="str">
        <f t="shared" si="4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26</v>
      </c>
      <c r="E78" s="293"/>
      <c r="F78" s="295"/>
      <c r="G78" s="293" t="s">
        <v>363</v>
      </c>
      <c r="H78" s="294"/>
      <c r="I78" s="294"/>
      <c r="J78" s="295"/>
      <c r="K78" s="239">
        <v>1.0208333333333333</v>
      </c>
      <c r="L78" s="239">
        <v>6.9444444444444434E-2</v>
      </c>
      <c r="M78" s="236" t="s">
        <v>9</v>
      </c>
      <c r="N78" s="237">
        <f t="shared" si="4"/>
        <v>4.861111111111116E-2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>
        <v>0.17361111111111113</v>
      </c>
      <c r="L79" s="239">
        <v>0.22222222222222221</v>
      </c>
      <c r="M79" s="236" t="s">
        <v>9</v>
      </c>
      <c r="N79" s="237">
        <f t="shared" si="4"/>
        <v>4.8611111111111077E-2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4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4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4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4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4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4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4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4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4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4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4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4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4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4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4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ref="N95:N126" si="5">IF(M95="No","",IF(M95="Yes",(L95-K95+(L95&lt;K95)),""))</f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5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5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5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5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5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5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5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5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5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5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5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5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5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5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5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5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5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5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5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5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5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5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5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5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5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5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5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5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5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5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5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6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6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6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6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6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366</v>
      </c>
      <c r="D136" s="452"/>
      <c r="E136" s="434" t="s">
        <v>367</v>
      </c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 t="s">
        <v>369</v>
      </c>
      <c r="F137" s="435"/>
      <c r="G137" s="423" t="s">
        <v>370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9</v>
      </c>
      <c r="D144" s="306" t="s">
        <v>376</v>
      </c>
      <c r="E144" s="306"/>
      <c r="F144" s="306"/>
      <c r="G144" s="307" t="s">
        <v>377</v>
      </c>
      <c r="H144" s="307"/>
      <c r="I144" s="307"/>
      <c r="J144" s="307">
        <v>28</v>
      </c>
      <c r="K144" s="307"/>
      <c r="L144" s="306" t="s">
        <v>378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06" t="s">
        <v>379</v>
      </c>
      <c r="E145" s="306"/>
      <c r="F145" s="306"/>
      <c r="G145" s="307" t="s">
        <v>380</v>
      </c>
      <c r="H145" s="307"/>
      <c r="I145" s="307"/>
      <c r="J145" s="307">
        <v>42</v>
      </c>
      <c r="K145" s="307"/>
      <c r="L145" s="306" t="s">
        <v>378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381</v>
      </c>
      <c r="D146" s="306" t="s">
        <v>382</v>
      </c>
      <c r="E146" s="306"/>
      <c r="F146" s="306"/>
      <c r="G146" s="307" t="s">
        <v>383</v>
      </c>
      <c r="H146" s="307"/>
      <c r="I146" s="307"/>
      <c r="J146" s="307">
        <v>28</v>
      </c>
      <c r="K146" s="307"/>
      <c r="L146" s="306" t="s">
        <v>378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306" t="s">
        <v>384</v>
      </c>
      <c r="E147" s="306"/>
      <c r="F147" s="306"/>
      <c r="G147" s="307" t="s">
        <v>385</v>
      </c>
      <c r="H147" s="307"/>
      <c r="I147" s="307"/>
      <c r="J147" s="307">
        <v>15</v>
      </c>
      <c r="K147" s="307"/>
      <c r="L147" s="306" t="s">
        <v>378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06" t="s">
        <v>376</v>
      </c>
      <c r="E148" s="306"/>
      <c r="F148" s="306"/>
      <c r="G148" s="307" t="s">
        <v>386</v>
      </c>
      <c r="H148" s="307"/>
      <c r="I148" s="307"/>
      <c r="J148" s="307">
        <v>38</v>
      </c>
      <c r="K148" s="307"/>
      <c r="L148" s="306" t="s">
        <v>378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06" t="s">
        <v>384</v>
      </c>
      <c r="E149" s="306"/>
      <c r="F149" s="306"/>
      <c r="G149" s="307" t="s">
        <v>387</v>
      </c>
      <c r="H149" s="307"/>
      <c r="I149" s="307"/>
      <c r="J149" s="307">
        <v>17</v>
      </c>
      <c r="K149" s="307"/>
      <c r="L149" s="306" t="s">
        <v>378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24</v>
      </c>
      <c r="D150" s="306" t="s">
        <v>388</v>
      </c>
      <c r="E150" s="306"/>
      <c r="F150" s="306"/>
      <c r="G150" s="307" t="s">
        <v>389</v>
      </c>
      <c r="H150" s="307"/>
      <c r="I150" s="307"/>
      <c r="J150" s="307">
        <v>343</v>
      </c>
      <c r="K150" s="307"/>
      <c r="L150" s="306" t="s">
        <v>378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306" t="s">
        <v>390</v>
      </c>
      <c r="E151" s="306"/>
      <c r="F151" s="306"/>
      <c r="G151" s="307" t="s">
        <v>391</v>
      </c>
      <c r="H151" s="307"/>
      <c r="I151" s="307"/>
      <c r="J151" s="307">
        <v>39</v>
      </c>
      <c r="K151" s="307"/>
      <c r="L151" s="306" t="s">
        <v>378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12</v>
      </c>
      <c r="D152" s="306" t="s">
        <v>390</v>
      </c>
      <c r="E152" s="306"/>
      <c r="F152" s="306"/>
      <c r="G152" s="307" t="s">
        <v>392</v>
      </c>
      <c r="H152" s="307"/>
      <c r="I152" s="307"/>
      <c r="J152" s="307">
        <v>55</v>
      </c>
      <c r="K152" s="307"/>
      <c r="L152" s="306" t="s">
        <v>378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 t="s">
        <v>246</v>
      </c>
      <c r="C154" s="215">
        <v>9</v>
      </c>
      <c r="D154" s="306" t="s">
        <v>393</v>
      </c>
      <c r="E154" s="306"/>
      <c r="F154" s="306"/>
      <c r="G154" s="307" t="s">
        <v>377</v>
      </c>
      <c r="H154" s="307"/>
      <c r="I154" s="307"/>
      <c r="J154" s="307">
        <v>32</v>
      </c>
      <c r="K154" s="307"/>
      <c r="L154" s="306" t="s">
        <v>378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3</v>
      </c>
      <c r="D155" s="306" t="s">
        <v>394</v>
      </c>
      <c r="E155" s="306"/>
      <c r="F155" s="306"/>
      <c r="G155" s="307" t="s">
        <v>380</v>
      </c>
      <c r="H155" s="307"/>
      <c r="I155" s="307"/>
      <c r="J155" s="307">
        <v>43</v>
      </c>
      <c r="K155" s="307"/>
      <c r="L155" s="306" t="s">
        <v>378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19</v>
      </c>
      <c r="D156" s="306" t="s">
        <v>395</v>
      </c>
      <c r="E156" s="306"/>
      <c r="F156" s="306"/>
      <c r="G156" s="307" t="s">
        <v>396</v>
      </c>
      <c r="H156" s="307"/>
      <c r="I156" s="307"/>
      <c r="J156" s="307">
        <v>14</v>
      </c>
      <c r="K156" s="307"/>
      <c r="L156" s="306" t="s">
        <v>378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306" t="s">
        <v>397</v>
      </c>
      <c r="E157" s="306"/>
      <c r="F157" s="306"/>
      <c r="G157" s="307" t="s">
        <v>398</v>
      </c>
      <c r="H157" s="307"/>
      <c r="I157" s="307"/>
      <c r="J157" s="307">
        <v>38</v>
      </c>
      <c r="K157" s="307"/>
      <c r="L157" s="306" t="s">
        <v>378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06" t="s">
        <v>393</v>
      </c>
      <c r="E158" s="306"/>
      <c r="F158" s="306"/>
      <c r="G158" s="307" t="s">
        <v>386</v>
      </c>
      <c r="H158" s="307"/>
      <c r="I158" s="307"/>
      <c r="J158" s="307">
        <v>37</v>
      </c>
      <c r="K158" s="307"/>
      <c r="L158" s="306" t="s">
        <v>378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24</v>
      </c>
      <c r="D159" s="306" t="s">
        <v>399</v>
      </c>
      <c r="E159" s="306"/>
      <c r="F159" s="306"/>
      <c r="G159" s="307" t="s">
        <v>389</v>
      </c>
      <c r="H159" s="307"/>
      <c r="I159" s="307"/>
      <c r="J159" s="307">
        <v>350</v>
      </c>
      <c r="K159" s="307"/>
      <c r="L159" s="306" t="s">
        <v>378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306" t="s">
        <v>395</v>
      </c>
      <c r="E160" s="306"/>
      <c r="F160" s="306"/>
      <c r="G160" s="307" t="s">
        <v>387</v>
      </c>
      <c r="H160" s="307"/>
      <c r="I160" s="307"/>
      <c r="J160" s="307">
        <v>16</v>
      </c>
      <c r="K160" s="307"/>
      <c r="L160" s="306" t="s">
        <v>378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12</v>
      </c>
      <c r="D161" s="306" t="s">
        <v>400</v>
      </c>
      <c r="E161" s="306"/>
      <c r="F161" s="306"/>
      <c r="G161" s="307" t="s">
        <v>392</v>
      </c>
      <c r="H161" s="307"/>
      <c r="I161" s="307"/>
      <c r="J161" s="307">
        <v>59</v>
      </c>
      <c r="K161" s="307"/>
      <c r="L161" s="306" t="s">
        <v>378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12</v>
      </c>
      <c r="D162" s="306" t="s">
        <v>400</v>
      </c>
      <c r="E162" s="306"/>
      <c r="F162" s="306"/>
      <c r="G162" s="307" t="s">
        <v>392</v>
      </c>
      <c r="H162" s="307"/>
      <c r="I162" s="307"/>
      <c r="J162" s="307">
        <v>60</v>
      </c>
      <c r="K162" s="307"/>
      <c r="L162" s="306" t="s">
        <v>378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 t="s">
        <v>247</v>
      </c>
      <c r="C164" s="215">
        <v>12</v>
      </c>
      <c r="D164" s="306" t="s">
        <v>401</v>
      </c>
      <c r="E164" s="306"/>
      <c r="F164" s="306"/>
      <c r="G164" s="307" t="s">
        <v>392</v>
      </c>
      <c r="H164" s="307"/>
      <c r="I164" s="307"/>
      <c r="J164" s="307">
        <v>67</v>
      </c>
      <c r="K164" s="307"/>
      <c r="L164" s="306" t="s">
        <v>378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3</v>
      </c>
      <c r="D165" s="306" t="s">
        <v>402</v>
      </c>
      <c r="E165" s="306"/>
      <c r="F165" s="306"/>
      <c r="G165" s="307" t="s">
        <v>380</v>
      </c>
      <c r="H165" s="307"/>
      <c r="I165" s="307"/>
      <c r="J165" s="307">
        <v>32</v>
      </c>
      <c r="K165" s="307"/>
      <c r="L165" s="306" t="s">
        <v>378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 t="s">
        <v>403</v>
      </c>
      <c r="D166" s="306" t="s">
        <v>404</v>
      </c>
      <c r="E166" s="306"/>
      <c r="F166" s="306"/>
      <c r="G166" s="307" t="s">
        <v>377</v>
      </c>
      <c r="H166" s="307"/>
      <c r="I166" s="307"/>
      <c r="J166" s="307">
        <v>21</v>
      </c>
      <c r="K166" s="307"/>
      <c r="L166" s="306" t="s">
        <v>378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06" t="s">
        <v>405</v>
      </c>
      <c r="E167" s="306"/>
      <c r="F167" s="306"/>
      <c r="G167" s="307" t="s">
        <v>387</v>
      </c>
      <c r="H167" s="307"/>
      <c r="I167" s="307"/>
      <c r="J167" s="307">
        <v>13</v>
      </c>
      <c r="K167" s="307"/>
      <c r="L167" s="306" t="s">
        <v>378</v>
      </c>
      <c r="M167" s="306"/>
      <c r="N167" s="245"/>
    </row>
    <row r="168" spans="1:18" ht="14.25" x14ac:dyDescent="0.2">
      <c r="B168" s="216"/>
      <c r="C168" s="215">
        <v>13</v>
      </c>
      <c r="D168" s="306" t="s">
        <v>404</v>
      </c>
      <c r="E168" s="306"/>
      <c r="F168" s="306"/>
      <c r="G168" s="307" t="s">
        <v>386</v>
      </c>
      <c r="H168" s="307"/>
      <c r="I168" s="307"/>
      <c r="J168" s="307">
        <v>22</v>
      </c>
      <c r="K168" s="307"/>
      <c r="L168" s="306" t="s">
        <v>378</v>
      </c>
      <c r="M168" s="306"/>
      <c r="N168" s="245"/>
    </row>
    <row r="169" spans="1:18" ht="14.25" x14ac:dyDescent="0.2">
      <c r="B169" s="216"/>
      <c r="C169" s="215">
        <v>19</v>
      </c>
      <c r="D169" s="306" t="s">
        <v>405</v>
      </c>
      <c r="E169" s="306"/>
      <c r="F169" s="306"/>
      <c r="G169" s="307" t="s">
        <v>396</v>
      </c>
      <c r="H169" s="307"/>
      <c r="I169" s="307"/>
      <c r="J169" s="307">
        <v>10</v>
      </c>
      <c r="K169" s="307"/>
      <c r="L169" s="306" t="s">
        <v>378</v>
      </c>
      <c r="M169" s="306"/>
      <c r="N169" s="245"/>
    </row>
    <row r="170" spans="1:18" ht="14.25" x14ac:dyDescent="0.2">
      <c r="B170" s="216"/>
      <c r="C170" s="215">
        <v>12</v>
      </c>
      <c r="D170" s="306" t="s">
        <v>401</v>
      </c>
      <c r="E170" s="306"/>
      <c r="F170" s="306"/>
      <c r="G170" s="307" t="s">
        <v>392</v>
      </c>
      <c r="H170" s="307"/>
      <c r="I170" s="307"/>
      <c r="J170" s="307">
        <v>64</v>
      </c>
      <c r="K170" s="307"/>
      <c r="L170" s="306" t="s">
        <v>378</v>
      </c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180A269B-7E32-4D24-945A-4A804FC4280D}" scale="90" showPageBreaks="1" showGridLines="0" fitToPage="1" printArea="1" view="pageBreakPreview" topLeftCell="A43">
      <selection activeCell="I55" sqref="I55"/>
      <pageMargins left="0" right="0" top="0" bottom="0" header="0" footer="0"/>
      <printOptions horizontalCentered="1" verticalCentered="1"/>
      <pageSetup paperSize="9" scale="40" orientation="portrait" r:id="rId1"/>
    </customSheetView>
    <customSheetView guid="{BDCF2A7A-E9D7-4870-941D-0022D12BB670}" scale="90" showPageBreaks="1" showGridLines="0" fitToPage="1" printArea="1" view="pageBreakPreview">
      <selection activeCell="P3" sqref="P3"/>
      <pageMargins left="0" right="0" top="0" bottom="0" header="0" footer="0"/>
      <printOptions horizontalCentered="1" verticalCentered="1"/>
      <pageSetup paperSize="9" scale="62" orientation="portrait" r:id="rId2"/>
    </customSheetView>
    <customSheetView guid="{3DB5A1E9-5856-4EA0-B7C8-5278BCF638C4}" scale="90" showPageBreaks="1" showGridLines="0" fitToPage="1" printArea="1" view="pageBreakPreview">
      <selection activeCell="P3" sqref="P3"/>
      <pageMargins left="0" right="0" top="0" bottom="0" header="0" footer="0"/>
      <printOptions horizontalCentered="1" verticalCentered="1"/>
      <pageSetup paperSize="9" scale="64" orientation="portrait" r:id="rId3"/>
    </customSheetView>
    <customSheetView guid="{F0BD4916-1611-48FD-8208-19E7D9B71F1A}" scale="90" showPageBreaks="1" showGridLines="0" fitToPage="1" printArea="1" view="pageBreakPreview">
      <selection activeCell="I10" sqref="I10"/>
      <pageMargins left="0" right="0" top="0" bottom="0" header="0" footer="0"/>
      <printOptions horizontalCentered="1" verticalCentered="1"/>
      <pageSetup paperSize="9" scale="41" orientation="portrait" r:id="rId4"/>
    </customSheetView>
    <customSheetView guid="{1DCC370E-2FC6-43E0-BC38-BCA3EE5D5128}" scale="90" showPageBreaks="1" showGridLines="0" fitToPage="1" printArea="1" view="pageBreakPreview">
      <selection activeCell="D11" sqref="D11"/>
      <pageMargins left="0" right="0" top="0" bottom="0" header="0" footer="0"/>
      <printOptions horizontalCentered="1" verticalCentered="1"/>
      <pageSetup paperSize="9" scale="41" orientation="portrait" r:id="rId5"/>
    </customSheetView>
    <customSheetView guid="{C7D8C3A9-FB79-4D22-935E-FEFA619A3CE5}" scale="90" showPageBreaks="1" showGridLines="0" fitToPage="1" printArea="1" view="pageBreakPreview" topLeftCell="A91">
      <selection activeCell="P3" sqref="P3"/>
      <pageMargins left="0" right="0" top="0" bottom="0" header="0" footer="0"/>
      <printOptions horizontalCentered="1" verticalCentered="1"/>
      <pageSetup paperSize="9" scale="42" orientation="portrait" r:id="rId6"/>
    </customSheetView>
    <customSheetView guid="{C5333697-7BE7-4020-97A4-B735E526926D}" scale="80" showPageBreaks="1" showGridLines="0" fitToPage="1" printArea="1" view="pageBreakPreview">
      <selection activeCell="L3" sqref="L3"/>
      <pageMargins left="0" right="0" top="0" bottom="0" header="0" footer="0"/>
      <printOptions horizontalCentered="1" verticalCentered="1"/>
      <pageSetup paperSize="9" scale="34" orientation="portrait" r:id="rId7"/>
    </customSheetView>
    <customSheetView guid="{9C22FFE9-00CF-47D0-BD99-D84A00825140}" scale="90" showPageBreaks="1" showGridLines="0" fitToPage="1" printArea="1" view="pageBreakPreview">
      <selection activeCell="L3" sqref="L3"/>
      <pageMargins left="0" right="0" top="0" bottom="0" header="0" footer="0"/>
      <printOptions horizontalCentered="1" verticalCentered="1"/>
      <pageSetup paperSize="9" scale="34" orientation="portrait" r:id="rId8"/>
    </customSheetView>
  </customSheetViews>
  <mergeCells count="436">
    <mergeCell ref="G70:J70"/>
    <mergeCell ref="C137:D137"/>
    <mergeCell ref="C136:D136"/>
    <mergeCell ref="D164:F164"/>
    <mergeCell ref="G164:I164"/>
    <mergeCell ref="J164:K164"/>
    <mergeCell ref="L164:M164"/>
    <mergeCell ref="J160:K160"/>
    <mergeCell ref="L160:M160"/>
    <mergeCell ref="D161:F161"/>
    <mergeCell ref="G161:I161"/>
    <mergeCell ref="J161:K161"/>
    <mergeCell ref="L161:M161"/>
    <mergeCell ref="J158:K158"/>
    <mergeCell ref="L158:M158"/>
    <mergeCell ref="D159:F159"/>
    <mergeCell ref="G159:I159"/>
    <mergeCell ref="J159:K159"/>
    <mergeCell ref="L159:M159"/>
    <mergeCell ref="D156:F156"/>
    <mergeCell ref="G156:I156"/>
    <mergeCell ref="J156:K156"/>
    <mergeCell ref="L156:M156"/>
    <mergeCell ref="D157:F157"/>
    <mergeCell ref="G157:I157"/>
    <mergeCell ref="D165:F165"/>
    <mergeCell ref="G165:I165"/>
    <mergeCell ref="J165:K165"/>
    <mergeCell ref="L165:M165"/>
    <mergeCell ref="J162:K162"/>
    <mergeCell ref="L162:M162"/>
    <mergeCell ref="D163:F163"/>
    <mergeCell ref="G163:I163"/>
    <mergeCell ref="J163:K163"/>
    <mergeCell ref="L163:M163"/>
    <mergeCell ref="J157:K157"/>
    <mergeCell ref="L157:M157"/>
    <mergeCell ref="D160:F160"/>
    <mergeCell ref="G160:I160"/>
    <mergeCell ref="D162:F162"/>
    <mergeCell ref="G162:I162"/>
    <mergeCell ref="D158:F158"/>
    <mergeCell ref="G158:I158"/>
    <mergeCell ref="J154:K154"/>
    <mergeCell ref="L154:M154"/>
    <mergeCell ref="D155:F155"/>
    <mergeCell ref="G155:I155"/>
    <mergeCell ref="J155:K155"/>
    <mergeCell ref="L155:M155"/>
    <mergeCell ref="J152:K152"/>
    <mergeCell ref="L152:M152"/>
    <mergeCell ref="D153:F153"/>
    <mergeCell ref="G153:I153"/>
    <mergeCell ref="J153:K153"/>
    <mergeCell ref="L153:M153"/>
    <mergeCell ref="D152:F152"/>
    <mergeCell ref="G152:I152"/>
    <mergeCell ref="D154:F154"/>
    <mergeCell ref="G154:I154"/>
    <mergeCell ref="D150:F150"/>
    <mergeCell ref="G150:I150"/>
    <mergeCell ref="J150:K150"/>
    <mergeCell ref="L150:M150"/>
    <mergeCell ref="D151:F151"/>
    <mergeCell ref="G151:I151"/>
    <mergeCell ref="J151:K151"/>
    <mergeCell ref="L151:M151"/>
    <mergeCell ref="J148:K148"/>
    <mergeCell ref="L148:M148"/>
    <mergeCell ref="D149:F149"/>
    <mergeCell ref="G149:I149"/>
    <mergeCell ref="J149:K149"/>
    <mergeCell ref="L149:M149"/>
    <mergeCell ref="D148:F148"/>
    <mergeCell ref="G148:I148"/>
    <mergeCell ref="D146:F146"/>
    <mergeCell ref="G146:I146"/>
    <mergeCell ref="J146:K146"/>
    <mergeCell ref="L146:M146"/>
    <mergeCell ref="D147:F147"/>
    <mergeCell ref="G147:I147"/>
    <mergeCell ref="J147:K147"/>
    <mergeCell ref="L147:M147"/>
    <mergeCell ref="G145:I145"/>
    <mergeCell ref="J145:K145"/>
    <mergeCell ref="L145:M145"/>
    <mergeCell ref="J142:K142"/>
    <mergeCell ref="L142:M142"/>
    <mergeCell ref="G143:I143"/>
    <mergeCell ref="D143:F143"/>
    <mergeCell ref="J143:K143"/>
    <mergeCell ref="L143:M143"/>
    <mergeCell ref="B2:I2"/>
    <mergeCell ref="E136:F136"/>
    <mergeCell ref="E137:F137"/>
    <mergeCell ref="D142:F142"/>
    <mergeCell ref="G142:I142"/>
    <mergeCell ref="G44:H44"/>
    <mergeCell ref="G45:H45"/>
    <mergeCell ref="G46:H46"/>
    <mergeCell ref="G47:H47"/>
    <mergeCell ref="G48:H48"/>
    <mergeCell ref="K36:L36"/>
    <mergeCell ref="K37:L37"/>
    <mergeCell ref="K38:L38"/>
    <mergeCell ref="G40:H40"/>
    <mergeCell ref="K40:L40"/>
    <mergeCell ref="K41:L41"/>
    <mergeCell ref="G32:H32"/>
    <mergeCell ref="K32:L32"/>
    <mergeCell ref="D144:F144"/>
    <mergeCell ref="G144:I144"/>
    <mergeCell ref="B141:M141"/>
    <mergeCell ref="K39:L39"/>
    <mergeCell ref="J144:K144"/>
    <mergeCell ref="L144:M144"/>
    <mergeCell ref="D145:F145"/>
    <mergeCell ref="E138:J138"/>
    <mergeCell ref="G136:I136"/>
    <mergeCell ref="G137:I137"/>
    <mergeCell ref="E88:F88"/>
    <mergeCell ref="E89:F89"/>
    <mergeCell ref="E90:F90"/>
    <mergeCell ref="E91:F91"/>
    <mergeCell ref="G82:J82"/>
    <mergeCell ref="G83:J83"/>
    <mergeCell ref="G84:J84"/>
    <mergeCell ref="G85:J85"/>
    <mergeCell ref="G86:J86"/>
    <mergeCell ref="G87:J87"/>
    <mergeCell ref="G88:J88"/>
    <mergeCell ref="G89:J89"/>
    <mergeCell ref="B61:M61"/>
    <mergeCell ref="B43:M43"/>
    <mergeCell ref="P56:Q56"/>
    <mergeCell ref="B57:B58"/>
    <mergeCell ref="F57:G58"/>
    <mergeCell ref="J57:K58"/>
    <mergeCell ref="N56:O56"/>
    <mergeCell ref="G39:H39"/>
    <mergeCell ref="G41:H41"/>
    <mergeCell ref="C59:E59"/>
    <mergeCell ref="F59:G59"/>
    <mergeCell ref="H59:I59"/>
    <mergeCell ref="J59:K59"/>
    <mergeCell ref="G49:H49"/>
    <mergeCell ref="G50:H50"/>
    <mergeCell ref="G51:H51"/>
    <mergeCell ref="G52:H52"/>
    <mergeCell ref="B56:M56"/>
    <mergeCell ref="G35:H35"/>
    <mergeCell ref="K35:L35"/>
    <mergeCell ref="G33:H33"/>
    <mergeCell ref="K33:L33"/>
    <mergeCell ref="G34:H34"/>
    <mergeCell ref="K34:L34"/>
    <mergeCell ref="G36:H36"/>
    <mergeCell ref="G37:H37"/>
    <mergeCell ref="G38:H38"/>
    <mergeCell ref="H4:H6"/>
    <mergeCell ref="J4:K5"/>
    <mergeCell ref="F5:G5"/>
    <mergeCell ref="F6:G6"/>
    <mergeCell ref="J6:K7"/>
    <mergeCell ref="J14:L15"/>
    <mergeCell ref="J9:K10"/>
    <mergeCell ref="L4:M5"/>
    <mergeCell ref="L6:M7"/>
    <mergeCell ref="F16:G16"/>
    <mergeCell ref="F17:G17"/>
    <mergeCell ref="J11:K12"/>
    <mergeCell ref="F18:G18"/>
    <mergeCell ref="G29:H29"/>
    <mergeCell ref="K29:L29"/>
    <mergeCell ref="G30:H30"/>
    <mergeCell ref="K30:L30"/>
    <mergeCell ref="G31:H31"/>
    <mergeCell ref="K31:L31"/>
    <mergeCell ref="G25:H25"/>
    <mergeCell ref="K25:L25"/>
    <mergeCell ref="G26:H26"/>
    <mergeCell ref="K26:L26"/>
    <mergeCell ref="K27:L27"/>
    <mergeCell ref="G28:H28"/>
    <mergeCell ref="K28:L28"/>
    <mergeCell ref="G27:H27"/>
    <mergeCell ref="B7:B10"/>
    <mergeCell ref="B11:B14"/>
    <mergeCell ref="F11:G11"/>
    <mergeCell ref="H11:H14"/>
    <mergeCell ref="F12:G12"/>
    <mergeCell ref="F13:G13"/>
    <mergeCell ref="F14:G14"/>
    <mergeCell ref="F7:G7"/>
    <mergeCell ref="H7:H10"/>
    <mergeCell ref="F8:G8"/>
    <mergeCell ref="F9:G9"/>
    <mergeCell ref="F10:G1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B4:B6"/>
    <mergeCell ref="C4:C5"/>
    <mergeCell ref="D4:D5"/>
    <mergeCell ref="E4:G4"/>
    <mergeCell ref="C19:F19"/>
    <mergeCell ref="B22:L22"/>
    <mergeCell ref="C23:D23"/>
    <mergeCell ref="E23:F23"/>
    <mergeCell ref="G23:I23"/>
    <mergeCell ref="J23:J24"/>
    <mergeCell ref="K23:L24"/>
    <mergeCell ref="G24:H24"/>
    <mergeCell ref="B15:B18"/>
    <mergeCell ref="F15:G15"/>
    <mergeCell ref="H15:H18"/>
    <mergeCell ref="J16:L17"/>
    <mergeCell ref="D166:F166"/>
    <mergeCell ref="G166:I166"/>
    <mergeCell ref="J166:K166"/>
    <mergeCell ref="L166:M166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J181:K181"/>
    <mergeCell ref="L181:M181"/>
    <mergeCell ref="D182:F182"/>
    <mergeCell ref="G182:I182"/>
    <mergeCell ref="J182:K182"/>
    <mergeCell ref="L182:M182"/>
    <mergeCell ref="D183:F183"/>
    <mergeCell ref="G183:I183"/>
    <mergeCell ref="J183:K183"/>
    <mergeCell ref="L183:M183"/>
    <mergeCell ref="D181:F181"/>
    <mergeCell ref="G181:I181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4:F184"/>
    <mergeCell ref="G184:I184"/>
    <mergeCell ref="J184:K184"/>
    <mergeCell ref="L184:M184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E62:F62"/>
    <mergeCell ref="G62:J62"/>
    <mergeCell ref="E63:F63"/>
    <mergeCell ref="E64:F64"/>
    <mergeCell ref="E65:F65"/>
    <mergeCell ref="E66:F66"/>
    <mergeCell ref="E67:F67"/>
    <mergeCell ref="E68:F68"/>
    <mergeCell ref="E69:F69"/>
    <mergeCell ref="G63:J63"/>
    <mergeCell ref="G64:J64"/>
    <mergeCell ref="G65:J65"/>
    <mergeCell ref="G66:J66"/>
    <mergeCell ref="G67:J67"/>
    <mergeCell ref="G68:J68"/>
    <mergeCell ref="G69:J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G71:J71"/>
    <mergeCell ref="G72:J72"/>
    <mergeCell ref="G90:J90"/>
    <mergeCell ref="G91:J91"/>
    <mergeCell ref="G92:J92"/>
    <mergeCell ref="G93:J93"/>
    <mergeCell ref="G94:J94"/>
    <mergeCell ref="G95:J95"/>
    <mergeCell ref="G96:J96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C135:D135"/>
    <mergeCell ref="E135:F135"/>
    <mergeCell ref="G135:I135"/>
    <mergeCell ref="E127:F127"/>
    <mergeCell ref="E128:F128"/>
    <mergeCell ref="E129:F129"/>
    <mergeCell ref="E130:F130"/>
    <mergeCell ref="E131:F131"/>
  </mergeCells>
  <dataValidations count="1">
    <dataValidation type="list" allowBlank="1" showInputMessage="1" showErrorMessage="1" sqref="E63:F131" xr:uid="{A7DCE880-1270-4CDB-ABE4-A5F919B6A422}">
      <formula1>INDIRECT(D63)</formula1>
    </dataValidation>
  </dataValidations>
  <hyperlinks>
    <hyperlink ref="J14:L15" location="Summary!A1" display="MTD Summary " xr:uid="{00000000-0004-0000-0400-000000000000}"/>
    <hyperlink ref="J16:L17" location="Graph!A1" display="MTD Trendings" xr:uid="{00000000-0004-0000-0400-00000100000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9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6826DFE-95B8-425A-9295-987260C95DEB}">
          <x14:formula1>
            <xm:f>Sheet3!$B$3:$B$5</xm:f>
          </x14:formula1>
          <xm:sqref>B143:B165 B132</xm:sqref>
        </x14:dataValidation>
        <x14:dataValidation type="list" allowBlank="1" showInputMessage="1" xr:uid="{3BBB8C51-779A-4EDD-919A-2B73B1693DBA}">
          <x14:formula1>
            <xm:f>Sheet3!$D$3:$D$11</xm:f>
          </x14:formula1>
          <xm:sqref>C132</xm:sqref>
        </x14:dataValidation>
        <x14:dataValidation type="list" allowBlank="1" showInputMessage="1" showErrorMessage="1" xr:uid="{CA87C665-E995-4E85-B842-B0FBDAD6A478}">
          <x14:formula1>
            <xm:f>Sheet3!$C$3:$C$4</xm:f>
          </x14:formula1>
          <xm:sqref>M63:M132</xm:sqref>
        </x14:dataValidation>
        <x14:dataValidation type="list" allowBlank="1" showInputMessage="1" showErrorMessage="1" xr:uid="{32308D26-F479-41F1-8867-A5DA4662C42C}">
          <x14:formula1>
            <xm:f>List!$B$5:$B$8</xm:f>
          </x14:formula1>
          <xm:sqref>B63:B131</xm:sqref>
        </x14:dataValidation>
        <x14:dataValidation type="list" allowBlank="1" showInputMessage="1" showErrorMessage="1" xr:uid="{BE364B17-12B0-40DE-BF1F-7957885406F0}">
          <x14:formula1>
            <xm:f>List!$B$10:$B$12</xm:f>
          </x14:formula1>
          <xm:sqref>C63:C131</xm:sqref>
        </x14:dataValidation>
        <x14:dataValidation type="list" allowBlank="1" showInputMessage="1" showErrorMessage="1" xr:uid="{BB491441-2C85-400D-89C7-EE575DEB2F13}">
          <x14:formula1>
            <xm:f>List!$C$5:$C$14</xm:f>
          </x14:formula1>
          <xm:sqref>D63:D131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009-852E-4378-8409-D98DE4575C83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I38" sqref="I38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1580.6</v>
      </c>
      <c r="K6" s="391"/>
      <c r="L6" s="391">
        <f ca="1">Summary!G10</f>
        <v>1542.88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130</v>
      </c>
      <c r="E7" s="84">
        <v>50</v>
      </c>
      <c r="F7" s="366">
        <v>60</v>
      </c>
      <c r="G7" s="367"/>
      <c r="H7" s="345">
        <f>SUM(D7:D10)</f>
        <v>530.33000000000004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130</v>
      </c>
      <c r="E8" s="86">
        <v>50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160</v>
      </c>
      <c r="E9" s="86">
        <v>50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110.33</v>
      </c>
      <c r="E10" s="88">
        <v>50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100</v>
      </c>
      <c r="E11" s="90">
        <v>50</v>
      </c>
      <c r="F11" s="357">
        <v>60</v>
      </c>
      <c r="G11" s="358"/>
      <c r="H11" s="359">
        <f>SUM(D11:D14)</f>
        <v>530.27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140</v>
      </c>
      <c r="E12" s="92">
        <v>50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140</v>
      </c>
      <c r="E13" s="92">
        <v>50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150.27000000000001</v>
      </c>
      <c r="E14" s="94">
        <v>50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110</v>
      </c>
      <c r="E15" s="96">
        <v>50</v>
      </c>
      <c r="F15" s="343">
        <v>60</v>
      </c>
      <c r="G15" s="344"/>
      <c r="H15" s="345">
        <f>SUM(D15:D18)</f>
        <v>520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130</v>
      </c>
      <c r="E16" s="98">
        <v>50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140</v>
      </c>
      <c r="E17" s="98">
        <v>50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140</v>
      </c>
      <c r="E18" s="100">
        <v>50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1580.6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6</v>
      </c>
      <c r="D25" s="102">
        <v>100</v>
      </c>
      <c r="E25" s="56">
        <v>7</v>
      </c>
      <c r="F25" s="107">
        <v>166</v>
      </c>
      <c r="G25" s="381">
        <v>6</v>
      </c>
      <c r="H25" s="382"/>
      <c r="I25" s="111">
        <v>180</v>
      </c>
      <c r="J25" s="38">
        <f t="shared" ref="J25:J40" si="0">C25+E25+G25</f>
        <v>19</v>
      </c>
      <c r="K25" s="383">
        <f>D25+F25+I25</f>
        <v>446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6</v>
      </c>
      <c r="D26" s="103">
        <v>58</v>
      </c>
      <c r="E26" s="57">
        <v>5</v>
      </c>
      <c r="F26" s="108">
        <v>72</v>
      </c>
      <c r="G26" s="377">
        <v>6</v>
      </c>
      <c r="H26" s="378"/>
      <c r="I26" s="112">
        <v>80</v>
      </c>
      <c r="J26" s="25">
        <f t="shared" si="0"/>
        <v>17</v>
      </c>
      <c r="K26" s="379">
        <f t="shared" ref="K26:K39" si="1">D26+F26+I26</f>
        <v>210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160</v>
      </c>
      <c r="E27" s="57"/>
      <c r="F27" s="108">
        <v>116</v>
      </c>
      <c r="G27" s="377"/>
      <c r="H27" s="378"/>
      <c r="I27" s="112">
        <v>116</v>
      </c>
      <c r="J27" s="25">
        <f t="shared" si="0"/>
        <v>0</v>
      </c>
      <c r="K27" s="379">
        <f t="shared" si="1"/>
        <v>392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7</v>
      </c>
      <c r="D28" s="103"/>
      <c r="E28" s="57">
        <v>5</v>
      </c>
      <c r="F28" s="108"/>
      <c r="G28" s="377">
        <v>7</v>
      </c>
      <c r="H28" s="378"/>
      <c r="I28" s="112"/>
      <c r="J28" s="25">
        <f t="shared" si="0"/>
        <v>19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4</v>
      </c>
      <c r="D29" s="103"/>
      <c r="E29" s="57">
        <v>4</v>
      </c>
      <c r="F29" s="108"/>
      <c r="G29" s="377">
        <v>4</v>
      </c>
      <c r="H29" s="378"/>
      <c r="I29" s="112"/>
      <c r="J29" s="25">
        <f t="shared" si="0"/>
        <v>12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>
        <v>24</v>
      </c>
      <c r="E30" s="57">
        <v>1</v>
      </c>
      <c r="F30" s="108"/>
      <c r="G30" s="377"/>
      <c r="H30" s="378"/>
      <c r="I30" s="112"/>
      <c r="J30" s="25">
        <f t="shared" si="0"/>
        <v>1</v>
      </c>
      <c r="K30" s="379">
        <f t="shared" si="1"/>
        <v>24</v>
      </c>
      <c r="L30" s="380"/>
      <c r="N30" s="245"/>
    </row>
    <row r="31" spans="2:14" ht="14.1" customHeight="1" x14ac:dyDescent="0.2">
      <c r="B31" s="80" t="s">
        <v>313</v>
      </c>
      <c r="C31" s="45">
        <v>3</v>
      </c>
      <c r="D31" s="103"/>
      <c r="E31" s="57">
        <v>2</v>
      </c>
      <c r="F31" s="108"/>
      <c r="G31" s="377">
        <v>3</v>
      </c>
      <c r="H31" s="378"/>
      <c r="I31" s="112"/>
      <c r="J31" s="25">
        <f t="shared" si="0"/>
        <v>8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2</v>
      </c>
      <c r="H32" s="378"/>
      <c r="I32" s="112"/>
      <c r="J32" s="25">
        <f t="shared" si="0"/>
        <v>4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>
        <v>1</v>
      </c>
      <c r="H34" s="378"/>
      <c r="I34" s="112"/>
      <c r="J34" s="25">
        <f t="shared" si="0"/>
        <v>1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7</v>
      </c>
      <c r="E37" s="58"/>
      <c r="F37" s="109">
        <v>4</v>
      </c>
      <c r="G37" s="377"/>
      <c r="H37" s="378"/>
      <c r="I37" s="113">
        <v>7</v>
      </c>
      <c r="J37" s="25">
        <f t="shared" si="0"/>
        <v>0</v>
      </c>
      <c r="K37" s="379">
        <f t="shared" si="1"/>
        <v>18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0</v>
      </c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165</v>
      </c>
      <c r="J39" s="25">
        <f t="shared" si="0"/>
        <v>0</v>
      </c>
      <c r="K39" s="379">
        <f t="shared" si="1"/>
        <v>165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60.72</v>
      </c>
      <c r="E40" s="59"/>
      <c r="F40" s="110">
        <v>95.88</v>
      </c>
      <c r="G40" s="444"/>
      <c r="H40" s="445"/>
      <c r="I40" s="114">
        <v>131.28</v>
      </c>
      <c r="J40" s="26">
        <f t="shared" si="0"/>
        <v>0</v>
      </c>
      <c r="K40" s="446">
        <f>D40+F40+I40</f>
        <v>287.88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27</v>
      </c>
      <c r="D41" s="106">
        <f>SUM(D25:D40)</f>
        <v>409.72</v>
      </c>
      <c r="E41" s="16">
        <f>SUM(E25:E40)</f>
        <v>25</v>
      </c>
      <c r="F41" s="106">
        <f>SUM(F25:F40)</f>
        <v>453.88</v>
      </c>
      <c r="G41" s="401">
        <f>SUM(G25:H40)</f>
        <v>29</v>
      </c>
      <c r="H41" s="401"/>
      <c r="I41" s="106">
        <f>SUM(I25:I40)</f>
        <v>679.28</v>
      </c>
      <c r="J41" s="16">
        <f>SUM(J25:J40)</f>
        <v>81</v>
      </c>
      <c r="K41" s="448">
        <f>SUM(K25:L40)</f>
        <v>1542.88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09">
        <v>0.2</v>
      </c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10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0.12</v>
      </c>
      <c r="G48" s="413">
        <v>0.1</v>
      </c>
      <c r="H48" s="414"/>
      <c r="I48" s="209">
        <v>0.2</v>
      </c>
      <c r="J48" s="209"/>
      <c r="K48" s="209"/>
      <c r="L48" s="209"/>
      <c r="M48" s="211">
        <v>0.6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19.2</v>
      </c>
      <c r="G49" s="409">
        <f>G48*100</f>
        <v>10</v>
      </c>
      <c r="H49" s="410"/>
      <c r="I49" s="40">
        <f>I48*100</f>
        <v>20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42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0.3</v>
      </c>
      <c r="D51" s="213">
        <v>0.1</v>
      </c>
      <c r="E51" s="213">
        <v>0.1</v>
      </c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21</v>
      </c>
      <c r="D52" s="41">
        <f>D51*70</f>
        <v>7</v>
      </c>
      <c r="E52" s="41">
        <f>E51*70</f>
        <v>7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136.19999999999999</v>
      </c>
      <c r="F54" s="39" t="s">
        <v>335</v>
      </c>
      <c r="G54" s="188"/>
      <c r="H54" s="188"/>
      <c r="I54" s="30">
        <f>'1'!D54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0</v>
      </c>
      <c r="D59" s="403"/>
      <c r="E59" s="404"/>
      <c r="F59" s="405" t="s">
        <v>347</v>
      </c>
      <c r="G59" s="406"/>
      <c r="H59" s="407">
        <f>IF(ISERROR(SUM(H58:I58)/$H$19),"",(SUM(H58:I58)/$H$19))</f>
        <v>0</v>
      </c>
      <c r="I59" s="408"/>
      <c r="J59" s="405" t="s">
        <v>348</v>
      </c>
      <c r="K59" s="406"/>
      <c r="L59" s="115">
        <f>IF(ISERROR(L58/$H$19),"",(L58/$H$19))</f>
        <v>0</v>
      </c>
      <c r="M59" s="116">
        <f>IF(ISERROR(M58/$H$19),"",(M58/$H$19))</f>
        <v>0</v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0.37152777777777773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23</v>
      </c>
      <c r="E64" s="293" t="s">
        <v>107</v>
      </c>
      <c r="F64" s="295"/>
      <c r="G64" s="293" t="s">
        <v>406</v>
      </c>
      <c r="H64" s="294"/>
      <c r="I64" s="294"/>
      <c r="J64" s="295"/>
      <c r="K64" s="238">
        <v>0.3263888888888889</v>
      </c>
      <c r="L64" s="238">
        <v>0.375</v>
      </c>
      <c r="M64" s="236" t="s">
        <v>9</v>
      </c>
      <c r="N64" s="237">
        <f t="shared" si="2"/>
        <v>4.8611111111111105E-2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93"/>
      <c r="F65" s="295"/>
      <c r="G65" s="293" t="s">
        <v>357</v>
      </c>
      <c r="H65" s="294"/>
      <c r="I65" s="294"/>
      <c r="J65" s="295"/>
      <c r="K65" s="239">
        <v>0.3263888888888889</v>
      </c>
      <c r="L65" s="239">
        <v>0.34722222222222227</v>
      </c>
      <c r="M65" s="236" t="s">
        <v>9</v>
      </c>
      <c r="N65" s="237">
        <f t="shared" si="2"/>
        <v>2.083333333333337E-2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93"/>
      <c r="F66" s="295"/>
      <c r="G66" s="293" t="s">
        <v>357</v>
      </c>
      <c r="H66" s="294"/>
      <c r="I66" s="294"/>
      <c r="J66" s="295"/>
      <c r="K66" s="239">
        <v>0.39583333333333331</v>
      </c>
      <c r="L66" s="239">
        <v>0.4513888888888889</v>
      </c>
      <c r="M66" s="236" t="s">
        <v>9</v>
      </c>
      <c r="N66" s="237">
        <f t="shared" si="2"/>
        <v>5.555555555555558E-2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93"/>
      <c r="F67" s="295"/>
      <c r="G67" s="293" t="s">
        <v>357</v>
      </c>
      <c r="H67" s="294"/>
      <c r="I67" s="294"/>
      <c r="J67" s="295"/>
      <c r="K67" s="238">
        <v>0.51388888888888895</v>
      </c>
      <c r="L67" s="238">
        <v>0.54861111111111105</v>
      </c>
      <c r="M67" s="236" t="s">
        <v>9</v>
      </c>
      <c r="N67" s="237">
        <f t="shared" si="2"/>
        <v>3.4722222222222099E-2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20</v>
      </c>
      <c r="E68" s="293"/>
      <c r="F68" s="295"/>
      <c r="G68" s="293" t="s">
        <v>407</v>
      </c>
      <c r="H68" s="294"/>
      <c r="I68" s="294"/>
      <c r="J68" s="295"/>
      <c r="K68" s="239">
        <v>0.4513888888888889</v>
      </c>
      <c r="L68" s="239">
        <v>0.46527777777777773</v>
      </c>
      <c r="M68" s="236" t="s">
        <v>9</v>
      </c>
      <c r="N68" s="237">
        <f t="shared" si="2"/>
        <v>1.388888888888884E-2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20</v>
      </c>
      <c r="E69" s="293"/>
      <c r="F69" s="295"/>
      <c r="G69" s="293" t="s">
        <v>408</v>
      </c>
      <c r="H69" s="294"/>
      <c r="I69" s="294"/>
      <c r="J69" s="295"/>
      <c r="K69" s="239">
        <v>0.46527777777777773</v>
      </c>
      <c r="L69" s="239">
        <v>0.5</v>
      </c>
      <c r="M69" s="236" t="s">
        <v>9</v>
      </c>
      <c r="N69" s="237">
        <f t="shared" si="2"/>
        <v>3.4722222222222265E-2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 t="s">
        <v>6</v>
      </c>
      <c r="C71" s="236" t="s">
        <v>25</v>
      </c>
      <c r="D71" s="236" t="s">
        <v>18</v>
      </c>
      <c r="E71" s="293" t="s">
        <v>91</v>
      </c>
      <c r="F71" s="295"/>
      <c r="G71" s="293" t="s">
        <v>409</v>
      </c>
      <c r="H71" s="294"/>
      <c r="I71" s="294"/>
      <c r="J71" s="295"/>
      <c r="K71" s="239">
        <v>0.875</v>
      </c>
      <c r="L71" s="239">
        <v>0.90277777777777779</v>
      </c>
      <c r="M71" s="236" t="s">
        <v>9</v>
      </c>
      <c r="N71" s="237">
        <f t="shared" si="2"/>
        <v>2.777777777777779E-2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93" t="s">
        <v>106</v>
      </c>
      <c r="F72" s="295"/>
      <c r="G72" s="293" t="s">
        <v>410</v>
      </c>
      <c r="H72" s="294"/>
      <c r="I72" s="294"/>
      <c r="J72" s="295"/>
      <c r="K72" s="239">
        <v>0.8125</v>
      </c>
      <c r="L72" s="239">
        <v>0.83333333333333337</v>
      </c>
      <c r="M72" s="236" t="s">
        <v>9</v>
      </c>
      <c r="N72" s="237">
        <f t="shared" si="2"/>
        <v>2.083333333333337E-2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23</v>
      </c>
      <c r="E73" s="293"/>
      <c r="F73" s="295"/>
      <c r="G73" s="293" t="s">
        <v>357</v>
      </c>
      <c r="H73" s="294"/>
      <c r="I73" s="294"/>
      <c r="J73" s="295"/>
      <c r="K73" s="239">
        <v>0.65972222222222221</v>
      </c>
      <c r="L73" s="239">
        <v>0.70138888888888884</v>
      </c>
      <c r="M73" s="236" t="s">
        <v>9</v>
      </c>
      <c r="N73" s="237">
        <f t="shared" si="2"/>
        <v>4.166666666666663E-2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18</v>
      </c>
      <c r="E74" s="293" t="s">
        <v>92</v>
      </c>
      <c r="F74" s="295"/>
      <c r="G74" s="293" t="s">
        <v>411</v>
      </c>
      <c r="H74" s="294"/>
      <c r="I74" s="294"/>
      <c r="J74" s="295"/>
      <c r="K74" s="238">
        <v>0.91666666666666663</v>
      </c>
      <c r="L74" s="238">
        <v>0.94791666666666663</v>
      </c>
      <c r="M74" s="236" t="s">
        <v>9</v>
      </c>
      <c r="N74" s="237">
        <f t="shared" si="2"/>
        <v>3.125E-2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14</v>
      </c>
      <c r="C77" s="236" t="s">
        <v>28</v>
      </c>
      <c r="D77" s="236" t="s">
        <v>20</v>
      </c>
      <c r="E77" s="293"/>
      <c r="F77" s="295"/>
      <c r="G77" s="293" t="s">
        <v>412</v>
      </c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 t="s">
        <v>413</v>
      </c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293" t="s">
        <v>108</v>
      </c>
      <c r="F79" s="295"/>
      <c r="G79" s="293" t="s">
        <v>414</v>
      </c>
      <c r="H79" s="294"/>
      <c r="I79" s="294"/>
      <c r="J79" s="295"/>
      <c r="K79" s="239">
        <v>0.1111111111111111</v>
      </c>
      <c r="L79" s="239">
        <v>0.125</v>
      </c>
      <c r="M79" s="236" t="s">
        <v>9</v>
      </c>
      <c r="N79" s="237">
        <f t="shared" si="2"/>
        <v>1.3888888888888895E-2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23</v>
      </c>
      <c r="E80" s="293"/>
      <c r="F80" s="295"/>
      <c r="G80" s="293" t="s">
        <v>415</v>
      </c>
      <c r="H80" s="294"/>
      <c r="I80" s="294"/>
      <c r="J80" s="295"/>
      <c r="K80" s="239">
        <v>0.14583333333333334</v>
      </c>
      <c r="L80" s="239">
        <v>0.15972222222222224</v>
      </c>
      <c r="M80" s="236" t="s">
        <v>9</v>
      </c>
      <c r="N80" s="237">
        <f t="shared" si="2"/>
        <v>1.3888888888888895E-2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23</v>
      </c>
      <c r="E81" s="293"/>
      <c r="F81" s="295"/>
      <c r="G81" s="293" t="s">
        <v>416</v>
      </c>
      <c r="H81" s="294"/>
      <c r="I81" s="294"/>
      <c r="J81" s="295"/>
      <c r="K81" s="239">
        <v>9.7222222222222224E-2</v>
      </c>
      <c r="L81" s="239">
        <v>0.1111111111111111</v>
      </c>
      <c r="M81" s="236" t="s">
        <v>9</v>
      </c>
      <c r="N81" s="237">
        <f t="shared" si="2"/>
        <v>1.3888888888888881E-2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366</v>
      </c>
      <c r="D136" s="452"/>
      <c r="E136" s="434" t="s">
        <v>417</v>
      </c>
      <c r="F136" s="435"/>
      <c r="G136" s="423" t="s">
        <v>418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419</v>
      </c>
      <c r="D137" s="450"/>
      <c r="E137" s="434" t="s">
        <v>369</v>
      </c>
      <c r="F137" s="435"/>
      <c r="G137" s="423" t="s">
        <v>420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9</v>
      </c>
      <c r="D144" s="306" t="s">
        <v>421</v>
      </c>
      <c r="E144" s="306"/>
      <c r="F144" s="306"/>
      <c r="G144" s="307" t="s">
        <v>422</v>
      </c>
      <c r="H144" s="307"/>
      <c r="I144" s="307"/>
      <c r="J144" s="307">
        <v>35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06" t="s">
        <v>424</v>
      </c>
      <c r="E145" s="306"/>
      <c r="F145" s="306"/>
      <c r="G145" s="307" t="s">
        <v>380</v>
      </c>
      <c r="H145" s="307"/>
      <c r="I145" s="307"/>
      <c r="J145" s="307">
        <v>45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306" t="s">
        <v>425</v>
      </c>
      <c r="E146" s="306"/>
      <c r="F146" s="306"/>
      <c r="G146" s="307" t="s">
        <v>426</v>
      </c>
      <c r="H146" s="307"/>
      <c r="I146" s="307"/>
      <c r="J146" s="307">
        <v>33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306" t="s">
        <v>427</v>
      </c>
      <c r="E147" s="306"/>
      <c r="F147" s="306"/>
      <c r="G147" s="307" t="s">
        <v>385</v>
      </c>
      <c r="H147" s="307"/>
      <c r="I147" s="307"/>
      <c r="J147" s="307">
        <v>16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06" t="s">
        <v>428</v>
      </c>
      <c r="E148" s="306"/>
      <c r="F148" s="306"/>
      <c r="G148" s="307" t="s">
        <v>429</v>
      </c>
      <c r="H148" s="307"/>
      <c r="I148" s="307"/>
      <c r="J148" s="307">
        <v>39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06" t="s">
        <v>427</v>
      </c>
      <c r="E149" s="306"/>
      <c r="F149" s="306"/>
      <c r="G149" s="307" t="s">
        <v>429</v>
      </c>
      <c r="H149" s="307"/>
      <c r="I149" s="307"/>
      <c r="J149" s="307">
        <v>18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24</v>
      </c>
      <c r="D150" s="306" t="s">
        <v>430</v>
      </c>
      <c r="E150" s="306"/>
      <c r="F150" s="306"/>
      <c r="G150" s="307" t="s">
        <v>389</v>
      </c>
      <c r="H150" s="307"/>
      <c r="I150" s="307"/>
      <c r="J150" s="307">
        <v>349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306" t="s">
        <v>421</v>
      </c>
      <c r="E151" s="306"/>
      <c r="F151" s="306"/>
      <c r="G151" s="307" t="s">
        <v>386</v>
      </c>
      <c r="H151" s="307"/>
      <c r="I151" s="307"/>
      <c r="J151" s="307">
        <v>39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 t="s">
        <v>246</v>
      </c>
      <c r="C153" s="215">
        <v>9</v>
      </c>
      <c r="D153" s="306" t="s">
        <v>431</v>
      </c>
      <c r="E153" s="306"/>
      <c r="F153" s="306"/>
      <c r="G153" s="307" t="s">
        <v>422</v>
      </c>
      <c r="H153" s="307"/>
      <c r="I153" s="307"/>
      <c r="J153" s="307">
        <v>34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3</v>
      </c>
      <c r="D154" s="306" t="s">
        <v>432</v>
      </c>
      <c r="E154" s="306"/>
      <c r="F154" s="306"/>
      <c r="G154" s="307" t="s">
        <v>380</v>
      </c>
      <c r="H154" s="307"/>
      <c r="I154" s="307"/>
      <c r="J154" s="307">
        <v>16</v>
      </c>
      <c r="K154" s="307"/>
      <c r="L154" s="306" t="s">
        <v>423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18</v>
      </c>
      <c r="D155" s="306" t="s">
        <v>433</v>
      </c>
      <c r="E155" s="306"/>
      <c r="F155" s="306"/>
      <c r="G155" s="307" t="s">
        <v>434</v>
      </c>
      <c r="H155" s="307"/>
      <c r="I155" s="307"/>
      <c r="J155" s="307">
        <v>15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19</v>
      </c>
      <c r="D156" s="306" t="s">
        <v>433</v>
      </c>
      <c r="E156" s="306"/>
      <c r="F156" s="306"/>
      <c r="G156" s="307" t="s">
        <v>435</v>
      </c>
      <c r="H156" s="307"/>
      <c r="I156" s="307"/>
      <c r="J156" s="307">
        <v>13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306" t="s">
        <v>431</v>
      </c>
      <c r="E157" s="306"/>
      <c r="F157" s="306"/>
      <c r="G157" s="307" t="s">
        <v>436</v>
      </c>
      <c r="H157" s="307"/>
      <c r="I157" s="307"/>
      <c r="J157" s="307">
        <v>46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9</v>
      </c>
      <c r="D158" s="306" t="s">
        <v>431</v>
      </c>
      <c r="E158" s="306"/>
      <c r="F158" s="306"/>
      <c r="G158" s="307" t="s">
        <v>377</v>
      </c>
      <c r="H158" s="307"/>
      <c r="I158" s="307"/>
      <c r="J158" s="307">
        <v>34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306" t="s">
        <v>437</v>
      </c>
      <c r="E159" s="306"/>
      <c r="F159" s="306"/>
      <c r="G159" s="307" t="s">
        <v>438</v>
      </c>
      <c r="H159" s="307"/>
      <c r="I159" s="307"/>
      <c r="J159" s="307" t="s">
        <v>439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13</v>
      </c>
      <c r="D160" s="306" t="s">
        <v>437</v>
      </c>
      <c r="E160" s="306"/>
      <c r="F160" s="306"/>
      <c r="G160" s="307" t="s">
        <v>440</v>
      </c>
      <c r="H160" s="307"/>
      <c r="I160" s="307"/>
      <c r="J160" s="307" t="s">
        <v>441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306" t="s">
        <v>437</v>
      </c>
      <c r="E161" s="306"/>
      <c r="F161" s="306"/>
      <c r="G161" s="307" t="s">
        <v>442</v>
      </c>
      <c r="H161" s="307"/>
      <c r="I161" s="307"/>
      <c r="J161" s="307" t="s">
        <v>443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13</v>
      </c>
      <c r="D162" s="306" t="s">
        <v>437</v>
      </c>
      <c r="E162" s="306"/>
      <c r="F162" s="306"/>
      <c r="G162" s="307" t="s">
        <v>442</v>
      </c>
      <c r="H162" s="307"/>
      <c r="I162" s="307"/>
      <c r="J162" s="307" t="s">
        <v>444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 t="s">
        <v>247</v>
      </c>
      <c r="C165" s="215">
        <v>12</v>
      </c>
      <c r="D165" s="306" t="s">
        <v>445</v>
      </c>
      <c r="E165" s="306"/>
      <c r="F165" s="306"/>
      <c r="G165" s="307" t="s">
        <v>392</v>
      </c>
      <c r="H165" s="307"/>
      <c r="I165" s="307"/>
      <c r="J165" s="307">
        <v>86</v>
      </c>
      <c r="K165" s="307"/>
      <c r="L165" s="306" t="s">
        <v>423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3</v>
      </c>
      <c r="D166" s="306" t="s">
        <v>446</v>
      </c>
      <c r="E166" s="306"/>
      <c r="F166" s="306"/>
      <c r="G166" s="307" t="s">
        <v>380</v>
      </c>
      <c r="H166" s="307"/>
      <c r="I166" s="307"/>
      <c r="J166" s="307">
        <v>31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9</v>
      </c>
      <c r="D167" s="306" t="s">
        <v>447</v>
      </c>
      <c r="E167" s="306"/>
      <c r="F167" s="306"/>
      <c r="G167" s="307" t="s">
        <v>377</v>
      </c>
      <c r="H167" s="307"/>
      <c r="I167" s="307"/>
      <c r="J167" s="307">
        <v>40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18</v>
      </c>
      <c r="D168" s="306" t="s">
        <v>448</v>
      </c>
      <c r="E168" s="306"/>
      <c r="F168" s="306"/>
      <c r="G168" s="307" t="s">
        <v>449</v>
      </c>
      <c r="H168" s="307"/>
      <c r="I168" s="307"/>
      <c r="J168" s="307">
        <v>16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18</v>
      </c>
      <c r="D169" s="306" t="s">
        <v>450</v>
      </c>
      <c r="E169" s="306"/>
      <c r="F169" s="306"/>
      <c r="G169" s="307" t="s">
        <v>434</v>
      </c>
      <c r="H169" s="307"/>
      <c r="I169" s="307"/>
      <c r="J169" s="307">
        <v>15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>
        <v>13</v>
      </c>
      <c r="D170" s="306" t="s">
        <v>447</v>
      </c>
      <c r="E170" s="306"/>
      <c r="F170" s="306"/>
      <c r="G170" s="307" t="s">
        <v>436</v>
      </c>
      <c r="H170" s="307"/>
      <c r="I170" s="307"/>
      <c r="J170" s="307">
        <v>50</v>
      </c>
      <c r="K170" s="307"/>
      <c r="L170" s="306" t="s">
        <v>423</v>
      </c>
      <c r="M170" s="306"/>
      <c r="N170" s="245"/>
    </row>
    <row r="171" spans="1:18" ht="14.25" x14ac:dyDescent="0.2">
      <c r="B171" s="216"/>
      <c r="C171" s="215">
        <v>19</v>
      </c>
      <c r="D171" s="308" t="s">
        <v>448</v>
      </c>
      <c r="E171" s="309"/>
      <c r="F171" s="310"/>
      <c r="G171" s="307" t="s">
        <v>396</v>
      </c>
      <c r="H171" s="307"/>
      <c r="I171" s="307"/>
      <c r="J171" s="307">
        <v>14</v>
      </c>
      <c r="K171" s="307"/>
      <c r="L171" s="306" t="s">
        <v>423</v>
      </c>
      <c r="M171" s="306"/>
      <c r="N171" s="245"/>
    </row>
    <row r="172" spans="1:18" ht="14.25" x14ac:dyDescent="0.2">
      <c r="B172" s="216"/>
      <c r="C172" s="215">
        <v>12</v>
      </c>
      <c r="D172" s="306" t="s">
        <v>445</v>
      </c>
      <c r="E172" s="306"/>
      <c r="F172" s="306"/>
      <c r="G172" s="307" t="s">
        <v>392</v>
      </c>
      <c r="H172" s="307"/>
      <c r="I172" s="307"/>
      <c r="J172" s="307">
        <v>87</v>
      </c>
      <c r="K172" s="307"/>
      <c r="L172" s="306" t="s">
        <v>423</v>
      </c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B011B02-6307-4C05-8962-D5544BEEB84B}">
      <formula1>INDIRECT(D63)</formula1>
    </dataValidation>
  </dataValidations>
  <hyperlinks>
    <hyperlink ref="J14:L15" location="Summary!A1" display="MTD Summary " xr:uid="{388173B3-C8E7-4E80-AAE1-27AFFB77D0D3}"/>
    <hyperlink ref="J16:L17" location="Graph!A1" display="MTD Trendings" xr:uid="{65B3C1EB-97FF-47F5-BD2D-2F19E1226CAD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291F67-1B26-4494-A6F2-24ED69B3A375}">
          <x14:formula1>
            <xm:f>List!$C$5:$C$14</xm:f>
          </x14:formula1>
          <xm:sqref>D63:D131</xm:sqref>
        </x14:dataValidation>
        <x14:dataValidation type="list" allowBlank="1" showInputMessage="1" showErrorMessage="1" xr:uid="{2CE621AA-DD12-4378-9769-EE0BC2AD53AF}">
          <x14:formula1>
            <xm:f>List!$B$10:$B$12</xm:f>
          </x14:formula1>
          <xm:sqref>C63:C131</xm:sqref>
        </x14:dataValidation>
        <x14:dataValidation type="list" allowBlank="1" showInputMessage="1" showErrorMessage="1" xr:uid="{23EDE381-4335-4CD6-A0BC-8510AC3AC17B}">
          <x14:formula1>
            <xm:f>List!$B$5:$B$8</xm:f>
          </x14:formula1>
          <xm:sqref>B63:B131</xm:sqref>
        </x14:dataValidation>
        <x14:dataValidation type="list" allowBlank="1" showInputMessage="1" showErrorMessage="1" xr:uid="{1B41C87B-80A0-4933-9979-05DEE2822D76}">
          <x14:formula1>
            <xm:f>Sheet3!$C$3:$C$4</xm:f>
          </x14:formula1>
          <xm:sqref>M63:M132</xm:sqref>
        </x14:dataValidation>
        <x14:dataValidation type="list" allowBlank="1" showInputMessage="1" xr:uid="{734CDBEC-4C61-4368-A866-7F29854CE6C5}">
          <x14:formula1>
            <xm:f>Sheet3!$D$3:$D$11</xm:f>
          </x14:formula1>
          <xm:sqref>C132</xm:sqref>
        </x14:dataValidation>
        <x14:dataValidation type="list" allowBlank="1" showInputMessage="1" showErrorMessage="1" xr:uid="{E76C6378-8FE5-41B9-82EE-6308BA3C0CCC}">
          <x14:formula1>
            <xm:f>Sheet3!$B$3:$B$5</xm:f>
          </x14:formula1>
          <xm:sqref>B143:B165 B132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BE86-70A3-41B6-89D6-57D991C35B81}">
  <sheetPr>
    <pageSetUpPr fitToPage="1"/>
  </sheetPr>
  <dimension ref="A1:R188"/>
  <sheetViews>
    <sheetView showGridLines="0" view="pageBreakPreview" topLeftCell="A3" zoomScale="90" zoomScaleNormal="90" zoomScaleSheetLayoutView="9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3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1700.5500000000002</v>
      </c>
      <c r="K6" s="391"/>
      <c r="L6" s="391">
        <f ca="1">Summary!G11</f>
        <v>1416.35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120</v>
      </c>
      <c r="E7" s="84">
        <v>50</v>
      </c>
      <c r="F7" s="366">
        <v>50</v>
      </c>
      <c r="G7" s="367"/>
      <c r="H7" s="345">
        <f>SUM(D7:D10)</f>
        <v>570.33000000000004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140</v>
      </c>
      <c r="E8" s="86">
        <v>50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150</v>
      </c>
      <c r="E9" s="86">
        <v>50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160.33000000000001</v>
      </c>
      <c r="E10" s="88">
        <v>50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130</v>
      </c>
      <c r="E11" s="90">
        <v>50</v>
      </c>
      <c r="F11" s="357">
        <v>60</v>
      </c>
      <c r="G11" s="358"/>
      <c r="H11" s="359">
        <f>SUM(D11:D14)</f>
        <v>600.22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150</v>
      </c>
      <c r="E12" s="92">
        <v>50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150</v>
      </c>
      <c r="E13" s="92">
        <v>50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170.22</v>
      </c>
      <c r="E14" s="94">
        <v>50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100</v>
      </c>
      <c r="E15" s="96">
        <v>50</v>
      </c>
      <c r="F15" s="343">
        <v>60</v>
      </c>
      <c r="G15" s="344"/>
      <c r="H15" s="345">
        <f>SUM(D15:D18)</f>
        <v>530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120</v>
      </c>
      <c r="E16" s="98">
        <v>50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150</v>
      </c>
      <c r="E17" s="98">
        <v>50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160</v>
      </c>
      <c r="E18" s="100">
        <v>50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1700.5500000000002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6</v>
      </c>
      <c r="D25" s="102">
        <v>90</v>
      </c>
      <c r="E25" s="56">
        <v>8</v>
      </c>
      <c r="F25" s="107">
        <v>180</v>
      </c>
      <c r="G25" s="381">
        <v>6</v>
      </c>
      <c r="H25" s="382"/>
      <c r="I25" s="111">
        <v>140</v>
      </c>
      <c r="J25" s="38">
        <f t="shared" ref="J25:J40" si="0">C25+E25+G25</f>
        <v>20</v>
      </c>
      <c r="K25" s="383">
        <f>D25+F25+I25</f>
        <v>410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5</v>
      </c>
      <c r="D26" s="103">
        <v>46</v>
      </c>
      <c r="E26" s="57">
        <v>5</v>
      </c>
      <c r="F26" s="108">
        <v>82</v>
      </c>
      <c r="G26" s="377">
        <v>6</v>
      </c>
      <c r="H26" s="378"/>
      <c r="I26" s="112">
        <v>92</v>
      </c>
      <c r="J26" s="25">
        <f t="shared" si="0"/>
        <v>16</v>
      </c>
      <c r="K26" s="379">
        <f t="shared" ref="K26:K39" si="1">D26+F26+I26</f>
        <v>220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72</v>
      </c>
      <c r="E27" s="57"/>
      <c r="F27" s="108">
        <v>148</v>
      </c>
      <c r="G27" s="377"/>
      <c r="H27" s="378"/>
      <c r="I27" s="112">
        <v>103</v>
      </c>
      <c r="J27" s="25">
        <f t="shared" si="0"/>
        <v>0</v>
      </c>
      <c r="K27" s="379">
        <f t="shared" si="1"/>
        <v>323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5</v>
      </c>
      <c r="D28" s="103"/>
      <c r="E28" s="57">
        <v>6</v>
      </c>
      <c r="F28" s="108"/>
      <c r="G28" s="377">
        <v>5</v>
      </c>
      <c r="H28" s="378"/>
      <c r="I28" s="112"/>
      <c r="J28" s="25">
        <f t="shared" si="0"/>
        <v>16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5</v>
      </c>
      <c r="D29" s="103"/>
      <c r="E29" s="57">
        <v>3</v>
      </c>
      <c r="F29" s="108"/>
      <c r="G29" s="377">
        <v>5</v>
      </c>
      <c r="H29" s="378"/>
      <c r="I29" s="112"/>
      <c r="J29" s="25">
        <f t="shared" si="0"/>
        <v>13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>
        <f>30-15</f>
        <v>15</v>
      </c>
      <c r="E30" s="57"/>
      <c r="F30" s="108">
        <v>9</v>
      </c>
      <c r="G30" s="377"/>
      <c r="H30" s="378"/>
      <c r="I30" s="112"/>
      <c r="J30" s="25">
        <f t="shared" si="0"/>
        <v>1</v>
      </c>
      <c r="K30" s="379">
        <f t="shared" si="1"/>
        <v>24</v>
      </c>
      <c r="L30" s="380"/>
      <c r="N30" s="245"/>
    </row>
    <row r="31" spans="2:14" ht="14.1" customHeight="1" x14ac:dyDescent="0.2">
      <c r="B31" s="80" t="s">
        <v>313</v>
      </c>
      <c r="C31" s="45">
        <v>3</v>
      </c>
      <c r="D31" s="103"/>
      <c r="E31" s="57">
        <v>3</v>
      </c>
      <c r="F31" s="108"/>
      <c r="G31" s="377">
        <v>3</v>
      </c>
      <c r="H31" s="378"/>
      <c r="I31" s="112"/>
      <c r="J31" s="25">
        <f t="shared" si="0"/>
        <v>9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1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>
        <v>1</v>
      </c>
      <c r="F33" s="108"/>
      <c r="G33" s="377"/>
      <c r="H33" s="378"/>
      <c r="I33" s="112"/>
      <c r="J33" s="25">
        <f t="shared" si="0"/>
        <v>1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25.47</v>
      </c>
      <c r="J38" s="25">
        <f t="shared" si="0"/>
        <v>0</v>
      </c>
      <c r="K38" s="379">
        <f t="shared" si="1"/>
        <v>25.47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105</v>
      </c>
      <c r="J39" s="25">
        <f t="shared" si="0"/>
        <v>0</v>
      </c>
      <c r="K39" s="379">
        <f t="shared" si="1"/>
        <v>105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82.32</v>
      </c>
      <c r="E40" s="59"/>
      <c r="F40" s="110">
        <v>98.76</v>
      </c>
      <c r="G40" s="444"/>
      <c r="H40" s="445"/>
      <c r="I40" s="114">
        <v>127.8</v>
      </c>
      <c r="J40" s="26">
        <f t="shared" si="0"/>
        <v>0</v>
      </c>
      <c r="K40" s="446">
        <f>D40+F40+I40</f>
        <v>308.88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26</v>
      </c>
      <c r="D41" s="106">
        <f>SUM(D25:D40)</f>
        <v>305.32</v>
      </c>
      <c r="E41" s="16">
        <f>SUM(E25:E40)</f>
        <v>27</v>
      </c>
      <c r="F41" s="106">
        <f>SUM(F25:F40)</f>
        <v>517.76</v>
      </c>
      <c r="G41" s="401">
        <f>SUM(G25:H40)</f>
        <v>26</v>
      </c>
      <c r="H41" s="401"/>
      <c r="I41" s="106">
        <f>SUM(I25:I40)</f>
        <v>593.27</v>
      </c>
      <c r="J41" s="16">
        <f>SUM(J25:J40)</f>
        <v>79</v>
      </c>
      <c r="K41" s="448">
        <f>SUM(K25:L40)</f>
        <v>1416.35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>
        <v>0.7</v>
      </c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35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>
        <v>0.8</v>
      </c>
      <c r="J48" s="209"/>
      <c r="K48" s="209">
        <v>0.1</v>
      </c>
      <c r="L48" s="209">
        <v>0.2</v>
      </c>
      <c r="M48" s="211">
        <v>0.1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80</v>
      </c>
      <c r="J49" s="40">
        <f>J48*150</f>
        <v>0</v>
      </c>
      <c r="K49" s="40">
        <f>K48*70</f>
        <v>7</v>
      </c>
      <c r="L49" s="40">
        <f>L48*70</f>
        <v>14</v>
      </c>
      <c r="M49" s="79">
        <f>M48*70</f>
        <v>7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0.1</v>
      </c>
      <c r="D51" s="213">
        <v>0.1</v>
      </c>
      <c r="E51" s="213">
        <v>0.1</v>
      </c>
      <c r="F51" s="209"/>
      <c r="G51" s="413"/>
      <c r="H51" s="414"/>
      <c r="I51" s="209"/>
      <c r="J51" s="209">
        <v>0.31</v>
      </c>
      <c r="K51" s="209">
        <v>0.66</v>
      </c>
      <c r="L51" s="209">
        <v>0.55000000000000004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7</v>
      </c>
      <c r="D52" s="41">
        <f>D51*70</f>
        <v>7</v>
      </c>
      <c r="E52" s="41">
        <f>E51*70</f>
        <v>7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77.5</v>
      </c>
      <c r="K52" s="41">
        <f>K51*250</f>
        <v>165</v>
      </c>
      <c r="L52" s="41">
        <f>L51*250</f>
        <v>137.5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544</v>
      </c>
      <c r="F54" s="39" t="s">
        <v>335</v>
      </c>
      <c r="G54" s="188"/>
      <c r="H54" s="188"/>
      <c r="I54" s="30">
        <f>'2'!D54</f>
        <v>136.19999999999999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0</v>
      </c>
      <c r="D59" s="403"/>
      <c r="E59" s="404"/>
      <c r="F59" s="405" t="s">
        <v>347</v>
      </c>
      <c r="G59" s="406"/>
      <c r="H59" s="407">
        <f>IF(ISERROR(SUM(H58:I58)/$H$19),"",(SUM(H58:I58)/$H$19))</f>
        <v>0</v>
      </c>
      <c r="I59" s="408"/>
      <c r="J59" s="405" t="s">
        <v>348</v>
      </c>
      <c r="K59" s="406"/>
      <c r="L59" s="115">
        <f>IF(ISERROR(L58/$H$19),"",(L58/$H$19))</f>
        <v>0</v>
      </c>
      <c r="M59" s="116">
        <f>IF(ISERROR(M58/$H$19),"",(M58/$H$19))</f>
        <v>0</v>
      </c>
      <c r="N59" s="194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11</v>
      </c>
      <c r="E64" s="293" t="s">
        <v>43</v>
      </c>
      <c r="F64" s="295"/>
      <c r="G64" s="293" t="s">
        <v>451</v>
      </c>
      <c r="H64" s="294"/>
      <c r="I64" s="294"/>
      <c r="J64" s="295"/>
      <c r="K64" s="238">
        <v>0.3888888888888889</v>
      </c>
      <c r="L64" s="238">
        <v>0.41666666666666669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293" t="s">
        <v>106</v>
      </c>
      <c r="F65" s="295"/>
      <c r="G65" s="293" t="s">
        <v>452</v>
      </c>
      <c r="H65" s="294"/>
      <c r="I65" s="294"/>
      <c r="J65" s="295"/>
      <c r="K65" s="239">
        <v>0.29166666666666669</v>
      </c>
      <c r="L65" s="239">
        <v>0.35416666666666669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93" t="s">
        <v>106</v>
      </c>
      <c r="F66" s="295"/>
      <c r="G66" s="293" t="s">
        <v>452</v>
      </c>
      <c r="H66" s="294"/>
      <c r="I66" s="294"/>
      <c r="J66" s="295"/>
      <c r="K66" s="239">
        <v>0.29166666666666669</v>
      </c>
      <c r="L66" s="239">
        <v>0.34027777777777773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293"/>
      <c r="F67" s="295"/>
      <c r="G67" s="293" t="s">
        <v>453</v>
      </c>
      <c r="H67" s="294"/>
      <c r="I67" s="294"/>
      <c r="J67" s="295"/>
      <c r="K67" s="238">
        <v>0.24305555555555555</v>
      </c>
      <c r="L67" s="238">
        <v>0.30555555555555552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93" t="s">
        <v>112</v>
      </c>
      <c r="F68" s="295"/>
      <c r="G68" s="293" t="s">
        <v>454</v>
      </c>
      <c r="H68" s="294"/>
      <c r="I68" s="294"/>
      <c r="J68" s="295"/>
      <c r="K68" s="239">
        <v>0.44444444444444442</v>
      </c>
      <c r="L68" s="239">
        <v>0.49305555555555558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29</v>
      </c>
      <c r="E69" s="293"/>
      <c r="F69" s="295"/>
      <c r="G69" s="293" t="s">
        <v>455</v>
      </c>
      <c r="H69" s="294"/>
      <c r="I69" s="294"/>
      <c r="J69" s="295"/>
      <c r="K69" s="239">
        <v>0.44444444444444442</v>
      </c>
      <c r="L69" s="239">
        <v>0.4861111111111111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20</v>
      </c>
      <c r="E70" s="293"/>
      <c r="F70" s="295"/>
      <c r="G70" s="245"/>
      <c r="H70" t="s">
        <v>455</v>
      </c>
      <c r="K70" s="239">
        <v>0.375</v>
      </c>
      <c r="L70" s="239">
        <v>0.39583333333333331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93"/>
      <c r="F71" s="295"/>
      <c r="G71" s="293" t="s">
        <v>455</v>
      </c>
      <c r="H71" s="294"/>
      <c r="I71" s="294"/>
      <c r="J71" s="295"/>
      <c r="K71" s="239">
        <v>0.34027777777777773</v>
      </c>
      <c r="L71" s="239">
        <v>0.3611111111111111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93"/>
      <c r="F72" s="295"/>
      <c r="G72" s="293" t="s">
        <v>455</v>
      </c>
      <c r="H72" s="294"/>
      <c r="I72" s="294"/>
      <c r="J72" s="295"/>
      <c r="K72" s="239">
        <v>0.3611111111111111</v>
      </c>
      <c r="L72" s="239">
        <v>0.375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10</v>
      </c>
      <c r="C74" s="236" t="s">
        <v>25</v>
      </c>
      <c r="D74" s="236" t="s">
        <v>26</v>
      </c>
      <c r="E74" s="293"/>
      <c r="F74" s="295"/>
      <c r="G74" s="293" t="s">
        <v>456</v>
      </c>
      <c r="H74" s="294"/>
      <c r="I74" s="294"/>
      <c r="J74" s="295"/>
      <c r="K74" s="238">
        <v>0.5625</v>
      </c>
      <c r="L74" s="238">
        <v>0.67361111111111116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>
        <v>0.77083333333333337</v>
      </c>
      <c r="L75" s="239">
        <v>0.81944444444444453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26</v>
      </c>
      <c r="E76" s="293"/>
      <c r="F76" s="295"/>
      <c r="G76" s="293" t="s">
        <v>457</v>
      </c>
      <c r="H76" s="294"/>
      <c r="I76" s="294"/>
      <c r="J76" s="295"/>
      <c r="K76" s="239">
        <v>0.81944444444444453</v>
      </c>
      <c r="L76" s="239">
        <v>0.84027777777777779</v>
      </c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20</v>
      </c>
      <c r="E77" s="293"/>
      <c r="F77" s="295"/>
      <c r="G77" s="293" t="s">
        <v>458</v>
      </c>
      <c r="H77" s="294"/>
      <c r="I77" s="294"/>
      <c r="J77" s="295"/>
      <c r="K77" s="238">
        <v>0.84027777777777779</v>
      </c>
      <c r="L77" s="238">
        <v>0.86111111111111116</v>
      </c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23</v>
      </c>
      <c r="E78" s="293"/>
      <c r="F78" s="295"/>
      <c r="G78" s="293" t="s">
        <v>456</v>
      </c>
      <c r="H78" s="294"/>
      <c r="I78" s="294"/>
      <c r="J78" s="295"/>
      <c r="K78" s="239">
        <v>0.94444444444444453</v>
      </c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 t="s">
        <v>14</v>
      </c>
      <c r="C81" s="236" t="s">
        <v>28</v>
      </c>
      <c r="D81" s="236" t="s">
        <v>23</v>
      </c>
      <c r="E81" s="293"/>
      <c r="F81" s="295"/>
      <c r="G81" s="293" t="s">
        <v>459</v>
      </c>
      <c r="H81" s="294"/>
      <c r="I81" s="294"/>
      <c r="J81" s="295"/>
      <c r="K81" s="239">
        <v>7.6388888888888895E-2</v>
      </c>
      <c r="L81" s="239">
        <v>0.11805555555555557</v>
      </c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>
        <v>0.16666666666666666</v>
      </c>
      <c r="L82" s="239">
        <v>0.20138888888888887</v>
      </c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23</v>
      </c>
      <c r="E83" s="293" t="s">
        <v>106</v>
      </c>
      <c r="F83" s="295"/>
      <c r="G83" s="293" t="s">
        <v>414</v>
      </c>
      <c r="H83" s="294"/>
      <c r="I83" s="294"/>
      <c r="J83" s="295"/>
      <c r="K83" s="239">
        <v>0.27083333333333331</v>
      </c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366</v>
      </c>
      <c r="D136" s="452"/>
      <c r="E136" s="434" t="s">
        <v>460</v>
      </c>
      <c r="F136" s="435"/>
      <c r="G136" s="423" t="s">
        <v>418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419</v>
      </c>
      <c r="D137" s="450"/>
      <c r="E137" s="434"/>
      <c r="F137" s="435"/>
      <c r="G137" s="423" t="s">
        <v>420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9</v>
      </c>
      <c r="D144" s="306" t="s">
        <v>461</v>
      </c>
      <c r="E144" s="306"/>
      <c r="F144" s="306"/>
      <c r="G144" s="307" t="s">
        <v>377</v>
      </c>
      <c r="H144" s="307"/>
      <c r="I144" s="307"/>
      <c r="J144" s="307">
        <v>34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06" t="s">
        <v>462</v>
      </c>
      <c r="E145" s="306"/>
      <c r="F145" s="306"/>
      <c r="G145" s="307" t="s">
        <v>380</v>
      </c>
      <c r="H145" s="307"/>
      <c r="I145" s="307"/>
      <c r="J145" s="307">
        <v>49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306" t="s">
        <v>463</v>
      </c>
      <c r="E146" s="306"/>
      <c r="F146" s="306"/>
      <c r="G146" s="307" t="s">
        <v>387</v>
      </c>
      <c r="H146" s="307"/>
      <c r="I146" s="307"/>
      <c r="J146" s="307">
        <v>18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06" t="s">
        <v>463</v>
      </c>
      <c r="E147" s="306"/>
      <c r="F147" s="306"/>
      <c r="G147" s="307" t="s">
        <v>449</v>
      </c>
      <c r="H147" s="307"/>
      <c r="I147" s="307"/>
      <c r="J147" s="307">
        <v>19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19</v>
      </c>
      <c r="D148" s="306" t="s">
        <v>463</v>
      </c>
      <c r="E148" s="306"/>
      <c r="F148" s="306"/>
      <c r="G148" s="307" t="s">
        <v>385</v>
      </c>
      <c r="H148" s="307"/>
      <c r="I148" s="307"/>
      <c r="J148" s="307">
        <v>16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306" t="s">
        <v>464</v>
      </c>
      <c r="E149" s="306"/>
      <c r="F149" s="306"/>
      <c r="G149" s="307" t="s">
        <v>465</v>
      </c>
      <c r="H149" s="307"/>
      <c r="I149" s="307"/>
      <c r="J149" s="307">
        <v>46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 t="s">
        <v>466</v>
      </c>
      <c r="E150" s="306"/>
      <c r="F150" s="306"/>
      <c r="G150" s="307" t="s">
        <v>467</v>
      </c>
      <c r="H150" s="307"/>
      <c r="I150" s="307"/>
      <c r="J150" s="307">
        <v>1143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 t="s">
        <v>246</v>
      </c>
      <c r="C153" s="215">
        <v>9</v>
      </c>
      <c r="D153" s="306" t="s">
        <v>468</v>
      </c>
      <c r="E153" s="306"/>
      <c r="F153" s="306"/>
      <c r="G153" s="307" t="s">
        <v>377</v>
      </c>
      <c r="H153" s="307"/>
      <c r="I153" s="307"/>
      <c r="J153" s="307">
        <v>32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3</v>
      </c>
      <c r="D154" s="306" t="s">
        <v>469</v>
      </c>
      <c r="E154" s="306"/>
      <c r="F154" s="306"/>
      <c r="G154" s="307" t="s">
        <v>380</v>
      </c>
      <c r="H154" s="307"/>
      <c r="I154" s="307"/>
      <c r="J154" s="307">
        <v>50</v>
      </c>
      <c r="K154" s="307"/>
      <c r="L154" s="306" t="s">
        <v>423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23</v>
      </c>
      <c r="D155" s="306" t="s">
        <v>470</v>
      </c>
      <c r="E155" s="306"/>
      <c r="F155" s="306"/>
      <c r="G155" s="307" t="s">
        <v>389</v>
      </c>
      <c r="H155" s="307"/>
      <c r="I155" s="307"/>
      <c r="J155" s="307">
        <v>304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13</v>
      </c>
      <c r="D156" s="306" t="s">
        <v>471</v>
      </c>
      <c r="E156" s="306"/>
      <c r="F156" s="306"/>
      <c r="G156" s="307" t="s">
        <v>380</v>
      </c>
      <c r="H156" s="307"/>
      <c r="I156" s="307"/>
      <c r="J156" s="307">
        <v>46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18</v>
      </c>
      <c r="D157" s="306" t="s">
        <v>472</v>
      </c>
      <c r="E157" s="306"/>
      <c r="F157" s="306"/>
      <c r="G157" s="307" t="s">
        <v>387</v>
      </c>
      <c r="H157" s="307"/>
      <c r="I157" s="307"/>
      <c r="J157" s="307">
        <v>18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306" t="s">
        <v>468</v>
      </c>
      <c r="E158" s="306"/>
      <c r="F158" s="306"/>
      <c r="G158" s="307" t="s">
        <v>473</v>
      </c>
      <c r="H158" s="307"/>
      <c r="I158" s="307"/>
      <c r="J158" s="307">
        <v>45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19</v>
      </c>
      <c r="D159" s="306" t="s">
        <v>472</v>
      </c>
      <c r="E159" s="306"/>
      <c r="F159" s="306"/>
      <c r="G159" s="307" t="s">
        <v>474</v>
      </c>
      <c r="H159" s="307"/>
      <c r="I159" s="307"/>
      <c r="J159" s="307">
        <v>10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 t="s">
        <v>247</v>
      </c>
      <c r="C162" s="215">
        <v>9</v>
      </c>
      <c r="D162" s="306" t="s">
        <v>475</v>
      </c>
      <c r="E162" s="306"/>
      <c r="F162" s="306"/>
      <c r="G162" s="307" t="s">
        <v>377</v>
      </c>
      <c r="H162" s="307"/>
      <c r="I162" s="307"/>
      <c r="J162" s="307">
        <v>27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3</v>
      </c>
      <c r="D163" s="306" t="s">
        <v>476</v>
      </c>
      <c r="E163" s="306"/>
      <c r="F163" s="306"/>
      <c r="G163" s="307" t="s">
        <v>380</v>
      </c>
      <c r="H163" s="307"/>
      <c r="I163" s="307"/>
      <c r="J163" s="307">
        <v>44</v>
      </c>
      <c r="K163" s="307"/>
      <c r="L163" s="306" t="s">
        <v>423</v>
      </c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19</v>
      </c>
      <c r="D164" s="306" t="s">
        <v>477</v>
      </c>
      <c r="E164" s="306"/>
      <c r="F164" s="306"/>
      <c r="G164" s="307" t="s">
        <v>478</v>
      </c>
      <c r="H164" s="307"/>
      <c r="I164" s="307"/>
      <c r="J164" s="307">
        <v>9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18</v>
      </c>
      <c r="D165" s="306" t="s">
        <v>477</v>
      </c>
      <c r="E165" s="306"/>
      <c r="F165" s="306"/>
      <c r="G165" s="307" t="s">
        <v>387</v>
      </c>
      <c r="H165" s="307"/>
      <c r="I165" s="307"/>
      <c r="J165" s="307">
        <v>10</v>
      </c>
      <c r="K165" s="307"/>
      <c r="L165" s="306" t="s">
        <v>423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13</v>
      </c>
      <c r="D166" s="306" t="s">
        <v>475</v>
      </c>
      <c r="E166" s="306"/>
      <c r="F166" s="306"/>
      <c r="G166" s="307" t="s">
        <v>479</v>
      </c>
      <c r="H166" s="307"/>
      <c r="I166" s="307"/>
      <c r="J166" s="307">
        <v>43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306" t="s">
        <v>480</v>
      </c>
      <c r="E167" s="306"/>
      <c r="F167" s="306"/>
      <c r="G167" s="307" t="s">
        <v>392</v>
      </c>
      <c r="H167" s="307"/>
      <c r="I167" s="307"/>
      <c r="J167" s="307" t="s">
        <v>481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90" showPageBreaks="1" showGridLines="0" fitToPage="1" printArea="1" view="pageBreakPreview" topLeftCell="C2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FFA7799A-727F-46AA-B7F0-77AF99A91882}">
      <formula1>INDIRECT(D63)</formula1>
    </dataValidation>
  </dataValidations>
  <hyperlinks>
    <hyperlink ref="J14:L15" location="Summary!A1" display="MTD Summary " xr:uid="{77CAB7FF-29B6-4CB6-AF87-34B485838196}"/>
    <hyperlink ref="J16:L17" location="Graph!A1" display="MTD Trendings" xr:uid="{CF7658CC-D3A6-4705-832A-C87CE0B5375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2144CF0-9BBC-4E21-9A12-3828C7F09899}">
          <x14:formula1>
            <xm:f>Sheet3!$B$3:$B$5</xm:f>
          </x14:formula1>
          <xm:sqref>B143:B165 B132</xm:sqref>
        </x14:dataValidation>
        <x14:dataValidation type="list" allowBlank="1" showInputMessage="1" xr:uid="{2332018A-0D44-4525-A04D-335674DFD5AC}">
          <x14:formula1>
            <xm:f>Sheet3!$D$3:$D$11</xm:f>
          </x14:formula1>
          <xm:sqref>C132</xm:sqref>
        </x14:dataValidation>
        <x14:dataValidation type="list" allowBlank="1" showInputMessage="1" showErrorMessage="1" xr:uid="{66B3DA00-F25C-486C-99BB-1641F8B137C1}">
          <x14:formula1>
            <xm:f>Sheet3!$C$3:$C$4</xm:f>
          </x14:formula1>
          <xm:sqref>M63:M132</xm:sqref>
        </x14:dataValidation>
        <x14:dataValidation type="list" allowBlank="1" showInputMessage="1" showErrorMessage="1" xr:uid="{C65D0D73-A344-46CD-8E90-1F7F3F487F0C}">
          <x14:formula1>
            <xm:f>List!$B$5:$B$8</xm:f>
          </x14:formula1>
          <xm:sqref>B63:B131</xm:sqref>
        </x14:dataValidation>
        <x14:dataValidation type="list" allowBlank="1" showInputMessage="1" showErrorMessage="1" xr:uid="{29223AC2-02D4-473B-B940-36CA079B2DCB}">
          <x14:formula1>
            <xm:f>List!$B$10:$B$12</xm:f>
          </x14:formula1>
          <xm:sqref>C63:C131</xm:sqref>
        </x14:dataValidation>
        <x14:dataValidation type="list" allowBlank="1" showInputMessage="1" showErrorMessage="1" xr:uid="{350EAB74-C6DC-4835-BAB5-7DC2F7DDAF49}">
          <x14:formula1>
            <xm:f>List!$C$5:$C$14</xm:f>
          </x14:formula1>
          <xm:sqref>D63:D131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854D-40F2-437B-8C52-3D07144B7823}">
  <sheetPr>
    <pageSetUpPr fitToPage="1"/>
  </sheetPr>
  <dimension ref="A1:R188"/>
  <sheetViews>
    <sheetView showGridLines="0" view="pageBreakPreview" zoomScaleNormal="90" zoomScaleSheetLayoutView="10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4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1760.49</v>
      </c>
      <c r="K6" s="391"/>
      <c r="L6" s="391">
        <f ca="1">Summary!G12</f>
        <v>1717.64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130</v>
      </c>
      <c r="E7" s="84">
        <v>60</v>
      </c>
      <c r="F7" s="366">
        <v>60</v>
      </c>
      <c r="G7" s="367"/>
      <c r="H7" s="345">
        <f>SUM(D7:D10)</f>
        <v>590.27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140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150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170.27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130</v>
      </c>
      <c r="E11" s="90">
        <v>50</v>
      </c>
      <c r="F11" s="357">
        <v>70</v>
      </c>
      <c r="G11" s="358"/>
      <c r="H11" s="359">
        <f>SUM(D11:D14)</f>
        <v>600.22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150</v>
      </c>
      <c r="E12" s="92">
        <v>50</v>
      </c>
      <c r="F12" s="362">
        <v>70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160</v>
      </c>
      <c r="E13" s="92">
        <v>50</v>
      </c>
      <c r="F13" s="362">
        <v>70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160.22</v>
      </c>
      <c r="E14" s="94">
        <v>50</v>
      </c>
      <c r="F14" s="364">
        <v>70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130</v>
      </c>
      <c r="E15" s="96">
        <v>60</v>
      </c>
      <c r="F15" s="343">
        <v>60</v>
      </c>
      <c r="G15" s="344"/>
      <c r="H15" s="345">
        <f>SUM(D15:D18)</f>
        <v>570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150</v>
      </c>
      <c r="E16" s="98">
        <v>60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150</v>
      </c>
      <c r="E17" s="98">
        <v>60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140</v>
      </c>
      <c r="E18" s="100">
        <v>60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1760.49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8</v>
      </c>
      <c r="D25" s="102">
        <v>44</v>
      </c>
      <c r="E25" s="56"/>
      <c r="F25" s="107">
        <v>60</v>
      </c>
      <c r="G25" s="381">
        <v>8</v>
      </c>
      <c r="H25" s="382"/>
      <c r="I25" s="111">
        <v>100</v>
      </c>
      <c r="J25" s="38">
        <f t="shared" ref="J25:J40" si="0">C25+E25+G25</f>
        <v>16</v>
      </c>
      <c r="K25" s="383">
        <f>D25+F25+I25</f>
        <v>204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6</v>
      </c>
      <c r="D26" s="103">
        <v>50</v>
      </c>
      <c r="E26" s="57"/>
      <c r="F26" s="108">
        <v>60</v>
      </c>
      <c r="G26" s="377">
        <v>6</v>
      </c>
      <c r="H26" s="378"/>
      <c r="I26" s="112">
        <v>166</v>
      </c>
      <c r="J26" s="25">
        <f t="shared" si="0"/>
        <v>12</v>
      </c>
      <c r="K26" s="379">
        <f t="shared" ref="K26:K39" si="1">D26+F26+I26</f>
        <v>276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177</v>
      </c>
      <c r="E27" s="57"/>
      <c r="F27" s="108">
        <v>90</v>
      </c>
      <c r="G27" s="377"/>
      <c r="H27" s="378"/>
      <c r="I27" s="112">
        <v>134</v>
      </c>
      <c r="J27" s="25">
        <f t="shared" si="0"/>
        <v>0</v>
      </c>
      <c r="K27" s="379">
        <f t="shared" si="1"/>
        <v>401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5</v>
      </c>
      <c r="D28" s="103"/>
      <c r="E28" s="57"/>
      <c r="F28" s="108"/>
      <c r="G28" s="377">
        <v>7</v>
      </c>
      <c r="H28" s="378"/>
      <c r="I28" s="112"/>
      <c r="J28" s="25">
        <f t="shared" si="0"/>
        <v>12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3</v>
      </c>
      <c r="D29" s="103"/>
      <c r="E29" s="57"/>
      <c r="F29" s="108"/>
      <c r="G29" s="377">
        <v>5</v>
      </c>
      <c r="H29" s="378"/>
      <c r="I29" s="112"/>
      <c r="J29" s="25">
        <f t="shared" si="0"/>
        <v>8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>
        <v>24</v>
      </c>
      <c r="E30" s="57"/>
      <c r="F30" s="108">
        <v>28.1</v>
      </c>
      <c r="G30" s="377">
        <v>1</v>
      </c>
      <c r="H30" s="378"/>
      <c r="I30" s="112"/>
      <c r="J30" s="25">
        <f t="shared" si="0"/>
        <v>2</v>
      </c>
      <c r="K30" s="379">
        <f t="shared" si="1"/>
        <v>52.1</v>
      </c>
      <c r="L30" s="380"/>
      <c r="N30" s="245"/>
    </row>
    <row r="31" spans="2:14" ht="14.1" customHeight="1" x14ac:dyDescent="0.2">
      <c r="B31" s="80" t="s">
        <v>313</v>
      </c>
      <c r="C31" s="45">
        <v>2</v>
      </c>
      <c r="D31" s="103"/>
      <c r="E31" s="57">
        <v>3</v>
      </c>
      <c r="F31" s="108"/>
      <c r="G31" s="377">
        <v>2</v>
      </c>
      <c r="H31" s="378"/>
      <c r="I31" s="112"/>
      <c r="J31" s="25">
        <f t="shared" si="0"/>
        <v>7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1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>
        <v>1</v>
      </c>
      <c r="F34" s="108"/>
      <c r="G34" s="377"/>
      <c r="H34" s="378"/>
      <c r="I34" s="112"/>
      <c r="J34" s="25">
        <f t="shared" si="0"/>
        <v>1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48</v>
      </c>
      <c r="E36" s="58"/>
      <c r="F36" s="109">
        <v>12</v>
      </c>
      <c r="G36" s="377"/>
      <c r="H36" s="378"/>
      <c r="I36" s="113"/>
      <c r="J36" s="25">
        <f t="shared" si="0"/>
        <v>0</v>
      </c>
      <c r="K36" s="379">
        <f t="shared" si="1"/>
        <v>60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9</v>
      </c>
      <c r="E37" s="58"/>
      <c r="F37" s="109">
        <v>6</v>
      </c>
      <c r="G37" s="377"/>
      <c r="H37" s="378"/>
      <c r="I37" s="113">
        <v>10</v>
      </c>
      <c r="J37" s="25">
        <f t="shared" si="0"/>
        <v>0</v>
      </c>
      <c r="K37" s="379">
        <f t="shared" si="1"/>
        <v>25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252.3</v>
      </c>
      <c r="J38" s="25">
        <f t="shared" si="0"/>
        <v>0</v>
      </c>
      <c r="K38" s="379">
        <f t="shared" si="1"/>
        <v>252.3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150</v>
      </c>
      <c r="J39" s="25">
        <f t="shared" si="0"/>
        <v>0</v>
      </c>
      <c r="K39" s="379">
        <f t="shared" si="1"/>
        <v>150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75.72</v>
      </c>
      <c r="E40" s="59"/>
      <c r="F40" s="110">
        <v>68.28</v>
      </c>
      <c r="G40" s="444"/>
      <c r="H40" s="445"/>
      <c r="I40" s="114">
        <v>153.24</v>
      </c>
      <c r="J40" s="26">
        <f t="shared" si="0"/>
        <v>0</v>
      </c>
      <c r="K40" s="446">
        <f>D40+F40+I40</f>
        <v>297.24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26</v>
      </c>
      <c r="D41" s="106">
        <f>SUM(D25:D40)</f>
        <v>427.72</v>
      </c>
      <c r="E41" s="16">
        <f>SUM(E25:E40)</f>
        <v>5</v>
      </c>
      <c r="F41" s="106">
        <f>SUM(F25:F40)</f>
        <v>324.38</v>
      </c>
      <c r="G41" s="401">
        <f>SUM(G25:H40)</f>
        <v>30</v>
      </c>
      <c r="H41" s="401"/>
      <c r="I41" s="106">
        <f>SUM(I25:I40)</f>
        <v>965.54</v>
      </c>
      <c r="J41" s="16">
        <f>SUM(J25:J40)</f>
        <v>61</v>
      </c>
      <c r="K41" s="448">
        <f>SUM(K25:L40)</f>
        <v>1717.64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40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0.3</v>
      </c>
      <c r="G48" s="413">
        <v>0.1</v>
      </c>
      <c r="H48" s="414"/>
      <c r="I48" s="209">
        <v>0.5</v>
      </c>
      <c r="J48" s="209"/>
      <c r="K48" s="209">
        <v>0.2</v>
      </c>
      <c r="L48" s="209"/>
      <c r="M48" s="211">
        <v>0.1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9">
        <f>G48*100</f>
        <v>10</v>
      </c>
      <c r="H49" s="410"/>
      <c r="I49" s="40">
        <f>I48*100</f>
        <v>50</v>
      </c>
      <c r="J49" s="40">
        <f>J48*150</f>
        <v>0</v>
      </c>
      <c r="K49" s="40">
        <f>K48*70</f>
        <v>14</v>
      </c>
      <c r="L49" s="40">
        <f>L48*70</f>
        <v>0</v>
      </c>
      <c r="M49" s="79">
        <f>M48*70</f>
        <v>7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>
        <v>0.1</v>
      </c>
      <c r="E51" s="213">
        <v>0.1</v>
      </c>
      <c r="F51" s="209"/>
      <c r="G51" s="413"/>
      <c r="H51" s="414"/>
      <c r="I51" s="209">
        <v>0</v>
      </c>
      <c r="J51" s="209">
        <v>0.31</v>
      </c>
      <c r="K51" s="209">
        <v>0.3</v>
      </c>
      <c r="L51" s="209">
        <v>0.44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7</v>
      </c>
      <c r="E52" s="41">
        <f>E51*70</f>
        <v>7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77.5</v>
      </c>
      <c r="K52" s="41">
        <f>K51*250</f>
        <v>75</v>
      </c>
      <c r="L52" s="41">
        <f>L51*250</f>
        <v>110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405.5</v>
      </c>
      <c r="F54" s="39" t="s">
        <v>335</v>
      </c>
      <c r="G54" s="188"/>
      <c r="H54" s="188"/>
      <c r="I54" s="30">
        <f>'3'!D54</f>
        <v>544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>
        <v>174900</v>
      </c>
      <c r="D58" s="60">
        <v>15610</v>
      </c>
      <c r="E58" s="124">
        <f>SUM(C58:D58)</f>
        <v>190510</v>
      </c>
      <c r="F58" s="396"/>
      <c r="G58" s="397"/>
      <c r="H58" s="60">
        <v>4020</v>
      </c>
      <c r="I58" s="61">
        <v>1969</v>
      </c>
      <c r="J58" s="393"/>
      <c r="K58" s="399"/>
      <c r="L58" s="60">
        <v>6547.12</v>
      </c>
      <c r="M58" s="61">
        <f>L58/3</f>
        <v>2182.3733333333334</v>
      </c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108.21419036745452</v>
      </c>
      <c r="D59" s="403"/>
      <c r="E59" s="404"/>
      <c r="F59" s="405" t="s">
        <v>347</v>
      </c>
      <c r="G59" s="406"/>
      <c r="H59" s="407">
        <f>IF(ISERROR(SUM(H58:I58)/$H$19),"",(SUM(H58:I58)/$H$19))</f>
        <v>3.4018937909332059</v>
      </c>
      <c r="I59" s="408"/>
      <c r="J59" s="405" t="s">
        <v>348</v>
      </c>
      <c r="K59" s="406"/>
      <c r="L59" s="115">
        <f>IF(ISERROR(L58/$H$19),"",(L58/$H$19))</f>
        <v>3.7189191645507784</v>
      </c>
      <c r="M59" s="116">
        <f>IF(ISERROR(M58/$H$19),"",(M58/$H$19))</f>
        <v>1.2396397215169261</v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0.4375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23</v>
      </c>
      <c r="E63" s="293" t="s">
        <v>106</v>
      </c>
      <c r="F63" s="295"/>
      <c r="G63" s="293" t="s">
        <v>482</v>
      </c>
      <c r="H63" s="294"/>
      <c r="I63" s="294"/>
      <c r="J63" s="295"/>
      <c r="K63" s="238">
        <v>0.27083333333333331</v>
      </c>
      <c r="L63" s="238">
        <v>0.31944444444444448</v>
      </c>
      <c r="M63" s="236" t="s">
        <v>9</v>
      </c>
      <c r="N63" s="237">
        <f t="shared" ref="N63:N126" si="2">IF(M63="No","",IF(M63="Yes",(L63-K63+(L63&lt;K63)),""))</f>
        <v>4.861111111111116E-2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23</v>
      </c>
      <c r="E64" s="293"/>
      <c r="F64" s="295"/>
      <c r="G64" s="293" t="s">
        <v>483</v>
      </c>
      <c r="H64" s="294"/>
      <c r="I64" s="294"/>
      <c r="J64" s="295"/>
      <c r="K64" s="238">
        <v>0.3888888888888889</v>
      </c>
      <c r="L64" s="238">
        <v>0.47222222222222227</v>
      </c>
      <c r="M64" s="236" t="s">
        <v>9</v>
      </c>
      <c r="N64" s="237">
        <f t="shared" si="2"/>
        <v>8.333333333333337E-2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93" t="s">
        <v>108</v>
      </c>
      <c r="F65" s="295"/>
      <c r="G65" s="293" t="s">
        <v>484</v>
      </c>
      <c r="H65" s="294"/>
      <c r="I65" s="294"/>
      <c r="J65" s="295"/>
      <c r="K65" s="239">
        <v>0.39583333333333331</v>
      </c>
      <c r="L65" s="239">
        <v>0.4375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11</v>
      </c>
      <c r="E66" s="293" t="s">
        <v>43</v>
      </c>
      <c r="F66" s="295"/>
      <c r="G66" s="293" t="s">
        <v>485</v>
      </c>
      <c r="H66" s="294"/>
      <c r="I66" s="294"/>
      <c r="J66" s="295"/>
      <c r="K66" s="239">
        <v>0.47222222222222227</v>
      </c>
      <c r="L66" s="239">
        <v>0.54166666666666663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93"/>
      <c r="F67" s="295"/>
      <c r="G67" s="293" t="s">
        <v>357</v>
      </c>
      <c r="H67" s="294"/>
      <c r="I67" s="294"/>
      <c r="J67" s="295"/>
      <c r="K67" s="238">
        <v>0.49305555555555558</v>
      </c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10</v>
      </c>
      <c r="C69" s="236" t="s">
        <v>25</v>
      </c>
      <c r="D69" s="236" t="s">
        <v>29</v>
      </c>
      <c r="E69" s="293" t="s">
        <v>142</v>
      </c>
      <c r="F69" s="295"/>
      <c r="G69" s="293" t="s">
        <v>486</v>
      </c>
      <c r="H69" s="294"/>
      <c r="I69" s="294"/>
      <c r="J69" s="295"/>
      <c r="K69" s="239">
        <v>0.86805555555555547</v>
      </c>
      <c r="L69" s="239">
        <v>0.90972222222222221</v>
      </c>
      <c r="M69" s="236" t="s">
        <v>9</v>
      </c>
      <c r="N69" s="237">
        <f t="shared" si="2"/>
        <v>4.1666666666666741E-2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93"/>
      <c r="F70" s="295"/>
      <c r="G70" s="245"/>
      <c r="H70" t="s">
        <v>487</v>
      </c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 t="s">
        <v>488</v>
      </c>
      <c r="H71" s="294"/>
      <c r="I71" s="294"/>
      <c r="J71" s="295"/>
      <c r="K71" s="239">
        <v>0.71527777777777779</v>
      </c>
      <c r="L71" s="239">
        <v>0.74305555555555547</v>
      </c>
      <c r="M71" s="236" t="s">
        <v>9</v>
      </c>
      <c r="N71" s="237">
        <f t="shared" si="2"/>
        <v>2.7777777777777679E-2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293"/>
      <c r="F72" s="295"/>
      <c r="G72" s="293" t="s">
        <v>489</v>
      </c>
      <c r="H72" s="294"/>
      <c r="I72" s="294"/>
      <c r="J72" s="295"/>
      <c r="K72" s="239">
        <v>0.67361111111111116</v>
      </c>
      <c r="L72" s="239">
        <v>0.71527777777777779</v>
      </c>
      <c r="M72" s="236" t="s">
        <v>9</v>
      </c>
      <c r="N72" s="237">
        <f t="shared" si="2"/>
        <v>4.166666666666663E-2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20</v>
      </c>
      <c r="E73" s="293" t="s">
        <v>108</v>
      </c>
      <c r="F73" s="295"/>
      <c r="G73" s="293" t="s">
        <v>490</v>
      </c>
      <c r="H73" s="294"/>
      <c r="I73" s="294"/>
      <c r="J73" s="295"/>
      <c r="K73" s="239">
        <v>0.59027777777777779</v>
      </c>
      <c r="L73" s="239">
        <v>0.66666666666666663</v>
      </c>
      <c r="M73" s="236" t="s">
        <v>9</v>
      </c>
      <c r="N73" s="237">
        <f t="shared" si="2"/>
        <v>7.638888888888884E-2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14</v>
      </c>
      <c r="C76" s="236" t="s">
        <v>28</v>
      </c>
      <c r="D76" s="236" t="s">
        <v>23</v>
      </c>
      <c r="E76" s="293" t="s">
        <v>106</v>
      </c>
      <c r="F76" s="295"/>
      <c r="G76" s="293" t="s">
        <v>491</v>
      </c>
      <c r="H76" s="294"/>
      <c r="I76" s="294"/>
      <c r="J76" s="295"/>
      <c r="K76" s="239">
        <v>0.13194444444444445</v>
      </c>
      <c r="L76" s="239">
        <v>0.14583333333333334</v>
      </c>
      <c r="M76" s="236" t="s">
        <v>9</v>
      </c>
      <c r="N76" s="237">
        <f t="shared" si="2"/>
        <v>1.3888888888888895E-2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293"/>
      <c r="F77" s="295"/>
      <c r="G77" s="293" t="s">
        <v>459</v>
      </c>
      <c r="H77" s="294"/>
      <c r="I77" s="294"/>
      <c r="J77" s="295"/>
      <c r="K77" s="238">
        <v>8.3333333333333329E-2</v>
      </c>
      <c r="L77" s="238">
        <v>0.13194444444444445</v>
      </c>
      <c r="M77" s="236" t="s">
        <v>9</v>
      </c>
      <c r="N77" s="237">
        <f t="shared" si="2"/>
        <v>4.8611111111111119E-2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26</v>
      </c>
      <c r="E78" s="293"/>
      <c r="F78" s="295"/>
      <c r="G78" s="293" t="s">
        <v>492</v>
      </c>
      <c r="H78" s="294"/>
      <c r="I78" s="294"/>
      <c r="J78" s="295"/>
      <c r="K78" s="239">
        <v>0.16666666666666666</v>
      </c>
      <c r="L78" s="239">
        <v>0.22222222222222221</v>
      </c>
      <c r="M78" s="236" t="s">
        <v>9</v>
      </c>
      <c r="N78" s="237">
        <f t="shared" si="2"/>
        <v>5.5555555555555552E-2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367</v>
      </c>
      <c r="D136" s="452"/>
      <c r="E136" s="434"/>
      <c r="F136" s="435"/>
      <c r="G136" s="423" t="s">
        <v>418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369</v>
      </c>
      <c r="D137" s="450"/>
      <c r="E137" s="434" t="s">
        <v>370</v>
      </c>
      <c r="F137" s="435"/>
      <c r="G137" s="423" t="s">
        <v>420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12</v>
      </c>
      <c r="D144" s="306" t="s">
        <v>493</v>
      </c>
      <c r="E144" s="306"/>
      <c r="F144" s="306"/>
      <c r="G144" s="307" t="s">
        <v>392</v>
      </c>
      <c r="H144" s="307"/>
      <c r="I144" s="307"/>
      <c r="J144" s="307" t="s">
        <v>494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06" t="s">
        <v>495</v>
      </c>
      <c r="E145" s="306"/>
      <c r="F145" s="306"/>
      <c r="G145" s="307" t="s">
        <v>380</v>
      </c>
      <c r="H145" s="307"/>
      <c r="I145" s="307"/>
      <c r="J145" s="307">
        <v>40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9</v>
      </c>
      <c r="D146" s="306" t="s">
        <v>496</v>
      </c>
      <c r="E146" s="306"/>
      <c r="F146" s="306"/>
      <c r="G146" s="307" t="s">
        <v>377</v>
      </c>
      <c r="H146" s="307"/>
      <c r="I146" s="307"/>
      <c r="J146" s="307">
        <v>34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306" t="s">
        <v>497</v>
      </c>
      <c r="E147" s="306"/>
      <c r="F147" s="306"/>
      <c r="G147" s="307" t="s">
        <v>498</v>
      </c>
      <c r="H147" s="307"/>
      <c r="I147" s="307"/>
      <c r="J147" s="307">
        <v>24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306" t="s">
        <v>499</v>
      </c>
      <c r="E148" s="306"/>
      <c r="F148" s="306"/>
      <c r="G148" s="307" t="s">
        <v>380</v>
      </c>
      <c r="H148" s="307"/>
      <c r="I148" s="307"/>
      <c r="J148" s="307">
        <v>22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306" t="s">
        <v>500</v>
      </c>
      <c r="E149" s="306"/>
      <c r="F149" s="306"/>
      <c r="G149" s="307" t="s">
        <v>501</v>
      </c>
      <c r="H149" s="307"/>
      <c r="I149" s="307"/>
      <c r="J149" s="307">
        <v>39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306" t="s">
        <v>496</v>
      </c>
      <c r="E150" s="306"/>
      <c r="F150" s="306"/>
      <c r="G150" s="307" t="s">
        <v>436</v>
      </c>
      <c r="H150" s="307"/>
      <c r="I150" s="307"/>
      <c r="J150" s="307" t="s">
        <v>502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306" t="s">
        <v>499</v>
      </c>
      <c r="E151" s="306"/>
      <c r="F151" s="306"/>
      <c r="G151" s="307" t="s">
        <v>435</v>
      </c>
      <c r="H151" s="307"/>
      <c r="I151" s="307"/>
      <c r="J151" s="307">
        <v>16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12</v>
      </c>
      <c r="D152" s="306" t="s">
        <v>493</v>
      </c>
      <c r="E152" s="306"/>
      <c r="F152" s="306"/>
      <c r="G152" s="307" t="s">
        <v>392</v>
      </c>
      <c r="H152" s="307"/>
      <c r="I152" s="307"/>
      <c r="J152" s="307" t="s">
        <v>502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306" t="s">
        <v>496</v>
      </c>
      <c r="E153" s="306"/>
      <c r="F153" s="306"/>
      <c r="G153" s="307" t="s">
        <v>436</v>
      </c>
      <c r="H153" s="307"/>
      <c r="I153" s="307"/>
      <c r="J153" s="307">
        <v>50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24</v>
      </c>
      <c r="D154" s="306" t="s">
        <v>503</v>
      </c>
      <c r="E154" s="306"/>
      <c r="F154" s="306"/>
      <c r="G154" s="307" t="s">
        <v>389</v>
      </c>
      <c r="H154" s="307"/>
      <c r="I154" s="307"/>
      <c r="J154" s="307">
        <v>367</v>
      </c>
      <c r="K154" s="307"/>
      <c r="L154" s="306" t="s">
        <v>423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15</v>
      </c>
      <c r="D155" s="306" t="s">
        <v>504</v>
      </c>
      <c r="E155" s="306"/>
      <c r="F155" s="306"/>
      <c r="G155" s="307" t="s">
        <v>442</v>
      </c>
      <c r="H155" s="307"/>
      <c r="I155" s="307"/>
      <c r="J155" s="307" t="s">
        <v>505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 t="s">
        <v>246</v>
      </c>
      <c r="C157" s="215">
        <v>14</v>
      </c>
      <c r="D157" s="306" t="s">
        <v>504</v>
      </c>
      <c r="E157" s="306"/>
      <c r="F157" s="306"/>
      <c r="G157" s="307" t="s">
        <v>498</v>
      </c>
      <c r="H157" s="307"/>
      <c r="I157" s="307"/>
      <c r="J157" s="307">
        <v>27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19</v>
      </c>
      <c r="D158" s="306" t="s">
        <v>506</v>
      </c>
      <c r="E158" s="306"/>
      <c r="F158" s="306"/>
      <c r="G158" s="307" t="s">
        <v>435</v>
      </c>
      <c r="H158" s="307"/>
      <c r="I158" s="307"/>
      <c r="J158" s="307">
        <v>20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23</v>
      </c>
      <c r="D159" s="306" t="s">
        <v>507</v>
      </c>
      <c r="E159" s="306"/>
      <c r="F159" s="306"/>
      <c r="G159" s="307" t="s">
        <v>389</v>
      </c>
      <c r="H159" s="307"/>
      <c r="I159" s="307"/>
      <c r="J159" s="307">
        <v>367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3</v>
      </c>
      <c r="D160" s="306" t="s">
        <v>508</v>
      </c>
      <c r="E160" s="306"/>
      <c r="F160" s="306"/>
      <c r="G160" s="307" t="s">
        <v>380</v>
      </c>
      <c r="H160" s="307"/>
      <c r="I160" s="307"/>
      <c r="J160" s="307">
        <v>41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403</v>
      </c>
      <c r="D161" s="306" t="s">
        <v>509</v>
      </c>
      <c r="E161" s="306"/>
      <c r="F161" s="306"/>
      <c r="G161" s="307" t="s">
        <v>377</v>
      </c>
      <c r="H161" s="307"/>
      <c r="I161" s="307"/>
      <c r="J161" s="307">
        <v>50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306" t="s">
        <v>506</v>
      </c>
      <c r="E162" s="306"/>
      <c r="F162" s="306"/>
      <c r="G162" s="307" t="s">
        <v>510</v>
      </c>
      <c r="H162" s="307"/>
      <c r="I162" s="307"/>
      <c r="J162" s="307">
        <v>19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13</v>
      </c>
      <c r="D163" s="306" t="s">
        <v>509</v>
      </c>
      <c r="E163" s="306"/>
      <c r="F163" s="306"/>
      <c r="G163" s="307" t="s">
        <v>436</v>
      </c>
      <c r="H163" s="307"/>
      <c r="I163" s="307"/>
      <c r="J163" s="307">
        <v>63</v>
      </c>
      <c r="K163" s="307"/>
      <c r="L163" s="306" t="s">
        <v>423</v>
      </c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 t="s">
        <v>247</v>
      </c>
      <c r="C167" s="215">
        <v>9</v>
      </c>
      <c r="D167" s="306" t="s">
        <v>511</v>
      </c>
      <c r="E167" s="306"/>
      <c r="F167" s="306"/>
      <c r="G167" s="307" t="s">
        <v>377</v>
      </c>
      <c r="H167" s="307"/>
      <c r="I167" s="307"/>
      <c r="J167" s="307">
        <v>36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3</v>
      </c>
      <c r="D168" s="306" t="s">
        <v>512</v>
      </c>
      <c r="E168" s="306"/>
      <c r="F168" s="306"/>
      <c r="G168" s="307" t="s">
        <v>380</v>
      </c>
      <c r="H168" s="307"/>
      <c r="I168" s="307"/>
      <c r="J168" s="307">
        <v>39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13</v>
      </c>
      <c r="D169" s="306" t="s">
        <v>511</v>
      </c>
      <c r="E169" s="306"/>
      <c r="F169" s="306"/>
      <c r="G169" s="307" t="s">
        <v>386</v>
      </c>
      <c r="H169" s="307"/>
      <c r="I169" s="307"/>
      <c r="J169" s="307">
        <v>68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>
        <v>19</v>
      </c>
      <c r="D170" s="306" t="s">
        <v>513</v>
      </c>
      <c r="E170" s="306"/>
      <c r="F170" s="306"/>
      <c r="G170" s="307" t="s">
        <v>377</v>
      </c>
      <c r="H170" s="307"/>
      <c r="I170" s="307"/>
      <c r="J170" s="307">
        <v>14</v>
      </c>
      <c r="K170" s="307"/>
      <c r="L170" s="306" t="s">
        <v>423</v>
      </c>
      <c r="M170" s="306"/>
      <c r="N170" s="245"/>
    </row>
    <row r="171" spans="1:18" ht="14.25" x14ac:dyDescent="0.2">
      <c r="B171" s="216"/>
      <c r="C171" s="215">
        <v>12</v>
      </c>
      <c r="D171" s="308" t="s">
        <v>514</v>
      </c>
      <c r="E171" s="309"/>
      <c r="F171" s="310"/>
      <c r="G171" s="307" t="s">
        <v>392</v>
      </c>
      <c r="H171" s="307"/>
      <c r="I171" s="307"/>
      <c r="J171" s="307">
        <v>82</v>
      </c>
      <c r="K171" s="307"/>
      <c r="L171" s="306" t="s">
        <v>423</v>
      </c>
      <c r="M171" s="306"/>
      <c r="N171" s="245"/>
    </row>
    <row r="172" spans="1:18" ht="14.25" x14ac:dyDescent="0.2">
      <c r="B172" s="216"/>
      <c r="C172" s="215">
        <v>13</v>
      </c>
      <c r="D172" s="306" t="s">
        <v>511</v>
      </c>
      <c r="E172" s="306"/>
      <c r="F172" s="306"/>
      <c r="G172" s="307" t="s">
        <v>386</v>
      </c>
      <c r="H172" s="307"/>
      <c r="I172" s="307"/>
      <c r="J172" s="307">
        <v>68</v>
      </c>
      <c r="K172" s="307"/>
      <c r="L172" s="306" t="s">
        <v>423</v>
      </c>
      <c r="M172" s="306"/>
      <c r="N172" s="245"/>
    </row>
    <row r="173" spans="1:18" ht="14.25" x14ac:dyDescent="0.2">
      <c r="B173" s="216"/>
      <c r="C173" s="215">
        <v>18</v>
      </c>
      <c r="D173" s="306" t="s">
        <v>513</v>
      </c>
      <c r="E173" s="306"/>
      <c r="F173" s="306"/>
      <c r="G173" s="307" t="s">
        <v>515</v>
      </c>
      <c r="H173" s="307"/>
      <c r="I173" s="307"/>
      <c r="J173" s="307">
        <v>13</v>
      </c>
      <c r="K173" s="307"/>
      <c r="L173" s="306" t="s">
        <v>423</v>
      </c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12681AF-EC03-48F1-9F7A-218E38DEDCE9}">
      <formula1>INDIRECT(D63)</formula1>
    </dataValidation>
  </dataValidations>
  <hyperlinks>
    <hyperlink ref="J14:L15" location="Summary!A1" display="MTD Summary " xr:uid="{DD4C0DDD-E382-4051-A743-2C840445DBA5}"/>
    <hyperlink ref="J16:L17" location="Graph!A1" display="MTD Trendings" xr:uid="{ADCE999D-B91D-45AB-86B6-1489D7E0F655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181E003-A8E7-4CDF-B0F0-BDE5AF3D4413}">
          <x14:formula1>
            <xm:f>List!$C$5:$C$14</xm:f>
          </x14:formula1>
          <xm:sqref>D63:D131</xm:sqref>
        </x14:dataValidation>
        <x14:dataValidation type="list" allowBlank="1" showInputMessage="1" showErrorMessage="1" xr:uid="{8DBFF43C-1230-49A0-B0A6-008CEAA8B852}">
          <x14:formula1>
            <xm:f>List!$B$10:$B$12</xm:f>
          </x14:formula1>
          <xm:sqref>C63:C131</xm:sqref>
        </x14:dataValidation>
        <x14:dataValidation type="list" allowBlank="1" showInputMessage="1" showErrorMessage="1" xr:uid="{CD6EA616-99E8-4D64-82CF-7E413A52D8C3}">
          <x14:formula1>
            <xm:f>List!$B$5:$B$8</xm:f>
          </x14:formula1>
          <xm:sqref>B63:B131</xm:sqref>
        </x14:dataValidation>
        <x14:dataValidation type="list" allowBlank="1" showInputMessage="1" showErrorMessage="1" xr:uid="{E066AFCA-4AEC-46F6-BFAE-3627C9BC4BAB}">
          <x14:formula1>
            <xm:f>Sheet3!$C$3:$C$4</xm:f>
          </x14:formula1>
          <xm:sqref>M63:M132</xm:sqref>
        </x14:dataValidation>
        <x14:dataValidation type="list" allowBlank="1" showInputMessage="1" xr:uid="{99CF173A-7B31-4D3B-84E0-2D4E878492AF}">
          <x14:formula1>
            <xm:f>Sheet3!$D$3:$D$11</xm:f>
          </x14:formula1>
          <xm:sqref>C132</xm:sqref>
        </x14:dataValidation>
        <x14:dataValidation type="list" allowBlank="1" showInputMessage="1" showErrorMessage="1" xr:uid="{C77619A2-06CD-4082-A250-A9EDDD57A898}">
          <x14:formula1>
            <xm:f>Sheet3!$B$3:$B$5</xm:f>
          </x14:formula1>
          <xm:sqref>B143:B165 B132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AC02-2C8B-45F2-B20C-8B01EF2CB58B}">
  <sheetPr>
    <pageSetUpPr fitToPage="1"/>
  </sheetPr>
  <dimension ref="A1:R188"/>
  <sheetViews>
    <sheetView showGridLines="0" view="pageBreakPreview" topLeftCell="A26" zoomScaleNormal="90" zoomScaleSheetLayoutView="10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5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1700.8200000000002</v>
      </c>
      <c r="K6" s="391"/>
      <c r="L6" s="391">
        <f ca="1">Summary!G13</f>
        <v>1433.83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130</v>
      </c>
      <c r="E7" s="84">
        <v>60</v>
      </c>
      <c r="F7" s="366">
        <v>60</v>
      </c>
      <c r="G7" s="367"/>
      <c r="H7" s="345">
        <f>SUM(D7:D10)</f>
        <v>540.27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130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130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150.27000000000001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140</v>
      </c>
      <c r="E11" s="90">
        <v>60</v>
      </c>
      <c r="F11" s="357">
        <v>60</v>
      </c>
      <c r="G11" s="358"/>
      <c r="H11" s="359">
        <f>SUM(D11:D14)</f>
        <v>560.22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140</v>
      </c>
      <c r="E12" s="92">
        <v>60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130</v>
      </c>
      <c r="E13" s="92">
        <v>60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150.22</v>
      </c>
      <c r="E14" s="94">
        <v>60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130</v>
      </c>
      <c r="E15" s="96">
        <v>60</v>
      </c>
      <c r="F15" s="343">
        <v>60</v>
      </c>
      <c r="G15" s="344"/>
      <c r="H15" s="345">
        <f>SUM(D15:D18)</f>
        <v>600.33000000000004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150</v>
      </c>
      <c r="E16" s="98">
        <v>60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160</v>
      </c>
      <c r="E17" s="98">
        <v>60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160.33000000000001</v>
      </c>
      <c r="E18" s="100">
        <v>60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1700.8200000000002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5</v>
      </c>
      <c r="D25" s="102">
        <v>40</v>
      </c>
      <c r="E25" s="56">
        <v>7</v>
      </c>
      <c r="F25" s="107">
        <v>72</v>
      </c>
      <c r="G25" s="381">
        <v>6</v>
      </c>
      <c r="H25" s="382"/>
      <c r="I25" s="111">
        <v>100</v>
      </c>
      <c r="J25" s="38">
        <f t="shared" ref="J25:J40" si="0">C25+E25+G25</f>
        <v>18</v>
      </c>
      <c r="K25" s="383">
        <f>D25+F25+I25</f>
        <v>212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5</v>
      </c>
      <c r="D26" s="103">
        <v>69</v>
      </c>
      <c r="E26" s="57">
        <v>5</v>
      </c>
      <c r="F26" s="108">
        <v>18</v>
      </c>
      <c r="G26" s="377">
        <v>6</v>
      </c>
      <c r="H26" s="378"/>
      <c r="I26" s="112">
        <v>38</v>
      </c>
      <c r="J26" s="25">
        <f t="shared" si="0"/>
        <v>16</v>
      </c>
      <c r="K26" s="379">
        <f t="shared" ref="K26:K39" si="1">D26+F26+I26</f>
        <v>125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38</v>
      </c>
      <c r="E27" s="57"/>
      <c r="F27" s="108">
        <v>92</v>
      </c>
      <c r="G27" s="377"/>
      <c r="H27" s="378"/>
      <c r="I27" s="112">
        <v>84</v>
      </c>
      <c r="J27" s="25">
        <f t="shared" si="0"/>
        <v>0</v>
      </c>
      <c r="K27" s="379">
        <f t="shared" si="1"/>
        <v>214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6</v>
      </c>
      <c r="D28" s="103"/>
      <c r="E28" s="57">
        <v>7</v>
      </c>
      <c r="F28" s="108"/>
      <c r="G28" s="377">
        <v>6</v>
      </c>
      <c r="H28" s="378"/>
      <c r="I28" s="112"/>
      <c r="J28" s="25">
        <f t="shared" si="0"/>
        <v>19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4</v>
      </c>
      <c r="D29" s="103"/>
      <c r="E29" s="57">
        <v>5</v>
      </c>
      <c r="F29" s="108"/>
      <c r="G29" s="377">
        <v>4</v>
      </c>
      <c r="H29" s="378"/>
      <c r="I29" s="112"/>
      <c r="J29" s="25">
        <f t="shared" si="0"/>
        <v>13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>
        <v>26.05</v>
      </c>
      <c r="E30" s="57"/>
      <c r="F30" s="108">
        <v>27.45</v>
      </c>
      <c r="G30" s="377"/>
      <c r="H30" s="378"/>
      <c r="I30" s="112"/>
      <c r="J30" s="25">
        <f t="shared" si="0"/>
        <v>1</v>
      </c>
      <c r="K30" s="379">
        <f t="shared" si="1"/>
        <v>53.5</v>
      </c>
      <c r="L30" s="380"/>
      <c r="N30" s="245"/>
    </row>
    <row r="31" spans="2:14" ht="14.1" customHeight="1" x14ac:dyDescent="0.2">
      <c r="B31" s="80" t="s">
        <v>313</v>
      </c>
      <c r="C31" s="45">
        <v>3</v>
      </c>
      <c r="D31" s="103"/>
      <c r="E31" s="57">
        <v>2</v>
      </c>
      <c r="F31" s="108"/>
      <c r="G31" s="377">
        <v>3</v>
      </c>
      <c r="H31" s="378"/>
      <c r="I31" s="112"/>
      <c r="J31" s="25">
        <f t="shared" si="0"/>
        <v>8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2</v>
      </c>
      <c r="F32" s="108"/>
      <c r="G32" s="377">
        <v>1</v>
      </c>
      <c r="H32" s="378"/>
      <c r="I32" s="112"/>
      <c r="J32" s="25">
        <f t="shared" si="0"/>
        <v>4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>
        <v>1</v>
      </c>
      <c r="D34" s="103"/>
      <c r="E34" s="57"/>
      <c r="F34" s="108"/>
      <c r="G34" s="377">
        <v>1</v>
      </c>
      <c r="H34" s="378"/>
      <c r="I34" s="112"/>
      <c r="J34" s="25">
        <f t="shared" si="0"/>
        <v>2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20</v>
      </c>
      <c r="E36" s="58"/>
      <c r="F36" s="109">
        <v>12</v>
      </c>
      <c r="G36" s="377"/>
      <c r="H36" s="378"/>
      <c r="I36" s="113"/>
      <c r="J36" s="25">
        <f t="shared" si="0"/>
        <v>0</v>
      </c>
      <c r="K36" s="379">
        <f t="shared" si="1"/>
        <v>32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7.96</v>
      </c>
      <c r="E37" s="58"/>
      <c r="F37" s="109">
        <v>8</v>
      </c>
      <c r="G37" s="377"/>
      <c r="H37" s="378"/>
      <c r="I37" s="113">
        <v>8</v>
      </c>
      <c r="J37" s="25">
        <f t="shared" si="0"/>
        <v>0</v>
      </c>
      <c r="K37" s="379">
        <f t="shared" si="1"/>
        <v>23.96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273.33</v>
      </c>
      <c r="J38" s="25">
        <f t="shared" si="0"/>
        <v>0</v>
      </c>
      <c r="K38" s="379">
        <f t="shared" si="1"/>
        <v>273.33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165</v>
      </c>
      <c r="J39" s="25">
        <f t="shared" si="0"/>
        <v>0</v>
      </c>
      <c r="K39" s="379">
        <f t="shared" si="1"/>
        <v>165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100.44</v>
      </c>
      <c r="E40" s="59"/>
      <c r="F40" s="110">
        <v>126.6</v>
      </c>
      <c r="G40" s="444"/>
      <c r="H40" s="445"/>
      <c r="I40" s="114">
        <v>108</v>
      </c>
      <c r="J40" s="26">
        <f t="shared" si="0"/>
        <v>0</v>
      </c>
      <c r="K40" s="446">
        <f>D40+F40+I40</f>
        <v>335.03999999999996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26</v>
      </c>
      <c r="D41" s="106">
        <f>SUM(D25:D40)</f>
        <v>301.45000000000005</v>
      </c>
      <c r="E41" s="16">
        <f>SUM(E25:E40)</f>
        <v>28</v>
      </c>
      <c r="F41" s="106">
        <f>SUM(F25:F40)</f>
        <v>356.04999999999995</v>
      </c>
      <c r="G41" s="401">
        <f>SUM(G25:H40)</f>
        <v>27</v>
      </c>
      <c r="H41" s="401"/>
      <c r="I41" s="106">
        <f>SUM(I25:I40)</f>
        <v>776.32999999999993</v>
      </c>
      <c r="J41" s="16">
        <f>SUM(J25:J40)</f>
        <v>81</v>
      </c>
      <c r="K41" s="448">
        <f>SUM(K25:L40)</f>
        <v>1433.83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09">
        <v>0.3</v>
      </c>
      <c r="K45" s="209">
        <v>0</v>
      </c>
      <c r="L45" s="209">
        <v>0.2</v>
      </c>
      <c r="M45" s="211">
        <v>0.35</v>
      </c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15</v>
      </c>
      <c r="K46" s="40">
        <f>K45*50</f>
        <v>0</v>
      </c>
      <c r="L46" s="40">
        <f>L45*50</f>
        <v>10</v>
      </c>
      <c r="M46" s="79">
        <f>M45*50</f>
        <v>17.5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0.4</v>
      </c>
      <c r="G48" s="413">
        <v>0.4</v>
      </c>
      <c r="H48" s="414"/>
      <c r="I48" s="209">
        <v>0.6</v>
      </c>
      <c r="J48" s="209">
        <v>0</v>
      </c>
      <c r="K48" s="209">
        <v>0.1</v>
      </c>
      <c r="L48" s="209">
        <v>0.1</v>
      </c>
      <c r="M48" s="211">
        <v>0.6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64</v>
      </c>
      <c r="G49" s="409">
        <f>G48*100</f>
        <v>40</v>
      </c>
      <c r="H49" s="410"/>
      <c r="I49" s="40">
        <f>I48*100</f>
        <v>60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42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0.1</v>
      </c>
      <c r="D51" s="213">
        <v>0.1</v>
      </c>
      <c r="E51" s="213">
        <v>0</v>
      </c>
      <c r="F51" s="209"/>
      <c r="G51" s="413"/>
      <c r="H51" s="414"/>
      <c r="I51" s="209">
        <v>0</v>
      </c>
      <c r="J51" s="209">
        <v>0.31</v>
      </c>
      <c r="K51" s="209">
        <v>0.28000000000000003</v>
      </c>
      <c r="L51" s="209">
        <v>0.33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7</v>
      </c>
      <c r="D52" s="41">
        <f>D51*70</f>
        <v>7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77.5</v>
      </c>
      <c r="K52" s="41">
        <f>K51*250</f>
        <v>70</v>
      </c>
      <c r="L52" s="41">
        <f>L51*250</f>
        <v>82.5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506.5</v>
      </c>
      <c r="F54" s="39" t="s">
        <v>335</v>
      </c>
      <c r="G54" s="188"/>
      <c r="H54" s="188"/>
      <c r="I54" s="30">
        <f>'4'!D54</f>
        <v>405.5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>
        <v>3533</v>
      </c>
      <c r="I58" s="61">
        <v>2224</v>
      </c>
      <c r="J58" s="393"/>
      <c r="K58" s="399"/>
      <c r="L58" s="60">
        <v>6650.21</v>
      </c>
      <c r="M58" s="61">
        <f>L58/3</f>
        <v>2216.7366666666667</v>
      </c>
      <c r="N58" s="250">
        <v>3.91</v>
      </c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0</v>
      </c>
      <c r="D59" s="403"/>
      <c r="E59" s="404"/>
      <c r="F59" s="405" t="s">
        <v>347</v>
      </c>
      <c r="G59" s="406"/>
      <c r="H59" s="407">
        <f>IF(ISERROR(SUM(H58:I58)/$H$19),"",(SUM(H58:I58)/$H$19))</f>
        <v>3.3848379017179946</v>
      </c>
      <c r="I59" s="408"/>
      <c r="J59" s="405" t="s">
        <v>348</v>
      </c>
      <c r="K59" s="406"/>
      <c r="L59" s="115">
        <f>IF(ISERROR(L58/$H$19),"",(L58/$H$19))</f>
        <v>3.9100022342164364</v>
      </c>
      <c r="M59" s="116">
        <f>IF(ISERROR(M58/$H$19),"",(M58/$H$19))</f>
        <v>1.3033340780721454</v>
      </c>
      <c r="N59" s="194">
        <f>N58*H19</f>
        <v>6650.2062000000005</v>
      </c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1.5347222222222223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26</v>
      </c>
      <c r="E63" s="293"/>
      <c r="F63" s="295"/>
      <c r="G63" s="293" t="s">
        <v>453</v>
      </c>
      <c r="H63" s="294"/>
      <c r="I63" s="294"/>
      <c r="J63" s="295"/>
      <c r="K63" s="238">
        <v>0.3263888888888889</v>
      </c>
      <c r="L63" s="238">
        <v>0.36805555555555558</v>
      </c>
      <c r="M63" s="236" t="s">
        <v>9</v>
      </c>
      <c r="N63" s="237">
        <f t="shared" ref="N63:N126" si="2">IF(M63="No","",IF(M63="Yes",(L63-K63+(L63&lt;K63)),""))</f>
        <v>4.1666666666666685E-2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26</v>
      </c>
      <c r="E64" s="293" t="s">
        <v>107</v>
      </c>
      <c r="F64" s="295"/>
      <c r="G64" s="293" t="s">
        <v>516</v>
      </c>
      <c r="H64" s="294"/>
      <c r="I64" s="294"/>
      <c r="J64" s="295"/>
      <c r="K64" s="238">
        <v>0.36805555555555558</v>
      </c>
      <c r="L64" s="238">
        <v>0.3888888888888889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93"/>
      <c r="F65" s="295"/>
      <c r="G65" s="293" t="s">
        <v>517</v>
      </c>
      <c r="H65" s="294"/>
      <c r="I65" s="294"/>
      <c r="J65" s="295"/>
      <c r="K65" s="239">
        <v>0.3125</v>
      </c>
      <c r="L65" s="239">
        <v>0.33333333333333331</v>
      </c>
      <c r="M65" s="236" t="s">
        <v>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93" t="s">
        <v>108</v>
      </c>
      <c r="F66" s="295"/>
      <c r="G66" s="293" t="s">
        <v>518</v>
      </c>
      <c r="H66" s="294"/>
      <c r="I66" s="294"/>
      <c r="J66" s="295"/>
      <c r="K66" s="239">
        <v>0.33333333333333331</v>
      </c>
      <c r="L66" s="239">
        <v>0.3888888888888889</v>
      </c>
      <c r="M66" s="236" t="s">
        <v>9</v>
      </c>
      <c r="N66" s="237">
        <f t="shared" si="2"/>
        <v>5.555555555555558E-2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29</v>
      </c>
      <c r="E67" s="293" t="s">
        <v>142</v>
      </c>
      <c r="F67" s="295"/>
      <c r="G67" s="293" t="s">
        <v>519</v>
      </c>
      <c r="H67" s="294"/>
      <c r="I67" s="294"/>
      <c r="J67" s="295"/>
      <c r="K67" s="238">
        <v>0.36805555555555558</v>
      </c>
      <c r="L67" s="238">
        <v>0.45833333333333331</v>
      </c>
      <c r="M67" s="236" t="s">
        <v>9</v>
      </c>
      <c r="N67" s="237">
        <f t="shared" si="2"/>
        <v>9.0277777777777735E-2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15</v>
      </c>
      <c r="E68" s="293" t="s">
        <v>69</v>
      </c>
      <c r="F68" s="295"/>
      <c r="G68" s="293" t="s">
        <v>520</v>
      </c>
      <c r="H68" s="294"/>
      <c r="I68" s="294"/>
      <c r="J68" s="295"/>
      <c r="K68" s="239">
        <v>0.35416666666666669</v>
      </c>
      <c r="L68" s="239">
        <v>0.41666666666666669</v>
      </c>
      <c r="M68" s="236" t="s">
        <v>9</v>
      </c>
      <c r="N68" s="237">
        <f t="shared" si="2"/>
        <v>6.25E-2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15</v>
      </c>
      <c r="E69" s="293"/>
      <c r="F69" s="295"/>
      <c r="G69" s="293" t="s">
        <v>521</v>
      </c>
      <c r="H69" s="294"/>
      <c r="I69" s="294"/>
      <c r="J69" s="295"/>
      <c r="K69" s="239">
        <v>0.33333333333333331</v>
      </c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15</v>
      </c>
      <c r="E70" s="293"/>
      <c r="F70" s="295"/>
      <c r="G70" s="293" t="s">
        <v>522</v>
      </c>
      <c r="H70" s="294"/>
      <c r="I70" s="294"/>
      <c r="J70" s="295"/>
      <c r="K70" s="239">
        <v>0.36805555555555558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7.75" customHeight="1" x14ac:dyDescent="0.2">
      <c r="A71" s="12"/>
      <c r="B71" s="236"/>
      <c r="C71" s="236"/>
      <c r="D71" s="236" t="s">
        <v>18</v>
      </c>
      <c r="E71" s="293" t="s">
        <v>86</v>
      </c>
      <c r="F71" s="295"/>
      <c r="G71" s="293" t="s">
        <v>523</v>
      </c>
      <c r="H71" s="294"/>
      <c r="I71" s="294"/>
      <c r="J71" s="295"/>
      <c r="K71" s="239">
        <v>0.35416666666666669</v>
      </c>
      <c r="L71" s="239">
        <v>0.50694444444444442</v>
      </c>
      <c r="M71" s="236" t="s">
        <v>9</v>
      </c>
      <c r="N71" s="237">
        <f t="shared" si="2"/>
        <v>0.15277777777777773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10</v>
      </c>
      <c r="C74" s="236" t="s">
        <v>25</v>
      </c>
      <c r="D74" s="236" t="s">
        <v>26</v>
      </c>
      <c r="E74" s="293"/>
      <c r="F74" s="295"/>
      <c r="G74" s="293" t="s">
        <v>524</v>
      </c>
      <c r="H74" s="294"/>
      <c r="I74" s="294"/>
      <c r="J74" s="295"/>
      <c r="K74" s="238">
        <v>0.67361111111111116</v>
      </c>
      <c r="L74" s="238">
        <v>0.70138888888888884</v>
      </c>
      <c r="M74" s="236" t="s">
        <v>525</v>
      </c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17</v>
      </c>
      <c r="C76" s="236" t="s">
        <v>28</v>
      </c>
      <c r="D76" s="236" t="s">
        <v>20</v>
      </c>
      <c r="E76" s="293"/>
      <c r="F76" s="295"/>
      <c r="G76" s="293" t="s">
        <v>526</v>
      </c>
      <c r="H76" s="294"/>
      <c r="I76" s="294"/>
      <c r="J76" s="295"/>
      <c r="K76" s="239">
        <v>0.97916666666666663</v>
      </c>
      <c r="L76" s="239">
        <v>1.0208333333333333</v>
      </c>
      <c r="M76" s="236" t="s">
        <v>9</v>
      </c>
      <c r="N76" s="237">
        <f t="shared" si="2"/>
        <v>4.166666666666663E-2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20</v>
      </c>
      <c r="E77" s="293"/>
      <c r="F77" s="295"/>
      <c r="G77" s="293" t="s">
        <v>527</v>
      </c>
      <c r="H77" s="294"/>
      <c r="I77" s="294"/>
      <c r="J77" s="295"/>
      <c r="K77" s="238">
        <v>9.0277777777777776E-2</v>
      </c>
      <c r="L77" s="238">
        <v>0.13194444444444445</v>
      </c>
      <c r="M77" s="236" t="s">
        <v>9</v>
      </c>
      <c r="N77" s="237">
        <f t="shared" si="2"/>
        <v>4.1666666666666671E-2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23</v>
      </c>
      <c r="E78" s="293"/>
      <c r="F78" s="295"/>
      <c r="G78" s="293" t="s">
        <v>528</v>
      </c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 t="s">
        <v>529</v>
      </c>
      <c r="H79" s="294"/>
      <c r="I79" s="294"/>
      <c r="J79" s="295"/>
      <c r="K79" s="239">
        <v>0.13194444444444445</v>
      </c>
      <c r="L79" s="239"/>
      <c r="M79" s="236" t="s">
        <v>9</v>
      </c>
      <c r="N79" s="237">
        <f t="shared" si="2"/>
        <v>0.86805555555555558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26</v>
      </c>
      <c r="E80" s="293"/>
      <c r="F80" s="295"/>
      <c r="G80" s="293" t="s">
        <v>530</v>
      </c>
      <c r="H80" s="294"/>
      <c r="I80" s="294"/>
      <c r="J80" s="295"/>
      <c r="K80" s="239">
        <v>0.97916666666666663</v>
      </c>
      <c r="L80" s="239">
        <v>1.0208333333333333</v>
      </c>
      <c r="M80" s="236" t="s">
        <v>9</v>
      </c>
      <c r="N80" s="237">
        <f t="shared" si="2"/>
        <v>4.166666666666663E-2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>
        <v>6.9444444444444434E-2</v>
      </c>
      <c r="L81" s="239">
        <v>9.0277777777777776E-2</v>
      </c>
      <c r="M81" s="236" t="s">
        <v>9</v>
      </c>
      <c r="N81" s="237">
        <f t="shared" si="2"/>
        <v>2.0833333333333343E-2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26</v>
      </c>
      <c r="E82" s="293"/>
      <c r="F82" s="295"/>
      <c r="G82" s="293" t="s">
        <v>531</v>
      </c>
      <c r="H82" s="294"/>
      <c r="I82" s="294"/>
      <c r="J82" s="295"/>
      <c r="K82" s="239">
        <v>1.0208333333333333</v>
      </c>
      <c r="L82" s="239">
        <v>5.5555555555555552E-2</v>
      </c>
      <c r="M82" s="236" t="s">
        <v>9</v>
      </c>
      <c r="N82" s="237">
        <f t="shared" si="2"/>
        <v>3.4722222222222321E-2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26</v>
      </c>
      <c r="E83" s="293"/>
      <c r="F83" s="295"/>
      <c r="G83" s="293" t="s">
        <v>532</v>
      </c>
      <c r="H83" s="294"/>
      <c r="I83" s="294"/>
      <c r="J83" s="295"/>
      <c r="K83" s="239">
        <v>1.0208333333333333</v>
      </c>
      <c r="L83" s="239">
        <v>6.25E-2</v>
      </c>
      <c r="M83" s="236" t="s">
        <v>9</v>
      </c>
      <c r="N83" s="237">
        <f t="shared" si="2"/>
        <v>4.1666666666666741E-2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 t="s">
        <v>533</v>
      </c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369</v>
      </c>
      <c r="D137" s="450"/>
      <c r="E137" s="434"/>
      <c r="F137" s="435"/>
      <c r="G137" s="423" t="s">
        <v>534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12</v>
      </c>
      <c r="D144" s="306" t="s">
        <v>535</v>
      </c>
      <c r="E144" s="306"/>
      <c r="F144" s="306"/>
      <c r="G144" s="307" t="s">
        <v>392</v>
      </c>
      <c r="H144" s="307"/>
      <c r="I144" s="307"/>
      <c r="J144" s="307">
        <v>82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06" t="s">
        <v>536</v>
      </c>
      <c r="E145" s="306"/>
      <c r="F145" s="306"/>
      <c r="G145" s="307" t="s">
        <v>380</v>
      </c>
      <c r="H145" s="307"/>
      <c r="I145" s="307"/>
      <c r="J145" s="307">
        <v>38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403</v>
      </c>
      <c r="D146" s="306" t="s">
        <v>537</v>
      </c>
      <c r="E146" s="306"/>
      <c r="F146" s="306"/>
      <c r="G146" s="307" t="s">
        <v>377</v>
      </c>
      <c r="H146" s="307"/>
      <c r="I146" s="307"/>
      <c r="J146" s="307">
        <v>33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24</v>
      </c>
      <c r="D147" s="306" t="s">
        <v>538</v>
      </c>
      <c r="E147" s="306"/>
      <c r="F147" s="306"/>
      <c r="G147" s="307" t="s">
        <v>389</v>
      </c>
      <c r="H147" s="307"/>
      <c r="I147" s="307"/>
      <c r="J147" s="307">
        <v>368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306" t="s">
        <v>539</v>
      </c>
      <c r="E148" s="306"/>
      <c r="F148" s="306"/>
      <c r="G148" s="307" t="s">
        <v>540</v>
      </c>
      <c r="H148" s="307"/>
      <c r="I148" s="307"/>
      <c r="J148" s="307">
        <v>28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19</v>
      </c>
      <c r="D149" s="306" t="s">
        <v>541</v>
      </c>
      <c r="E149" s="306"/>
      <c r="F149" s="306"/>
      <c r="G149" s="307" t="s">
        <v>377</v>
      </c>
      <c r="H149" s="307"/>
      <c r="I149" s="307"/>
      <c r="J149" s="307">
        <v>14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306" t="s">
        <v>542</v>
      </c>
      <c r="E150" s="306"/>
      <c r="F150" s="306"/>
      <c r="G150" s="307" t="s">
        <v>501</v>
      </c>
      <c r="H150" s="307"/>
      <c r="I150" s="307"/>
      <c r="J150" s="307">
        <v>50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306" t="s">
        <v>537</v>
      </c>
      <c r="E151" s="306"/>
      <c r="F151" s="306"/>
      <c r="G151" s="307" t="s">
        <v>436</v>
      </c>
      <c r="H151" s="307"/>
      <c r="I151" s="307"/>
      <c r="J151" s="307">
        <v>71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18</v>
      </c>
      <c r="D152" s="306" t="s">
        <v>541</v>
      </c>
      <c r="E152" s="306"/>
      <c r="F152" s="306"/>
      <c r="G152" s="307" t="s">
        <v>543</v>
      </c>
      <c r="H152" s="307"/>
      <c r="I152" s="307"/>
      <c r="J152" s="307">
        <v>16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12</v>
      </c>
      <c r="D153" s="306" t="s">
        <v>535</v>
      </c>
      <c r="E153" s="306"/>
      <c r="F153" s="306"/>
      <c r="G153" s="307" t="s">
        <v>392</v>
      </c>
      <c r="H153" s="307"/>
      <c r="I153" s="307"/>
      <c r="J153" s="307">
        <v>81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13</v>
      </c>
      <c r="D154" s="306" t="s">
        <v>537</v>
      </c>
      <c r="E154" s="306"/>
      <c r="F154" s="306"/>
      <c r="G154" s="307" t="s">
        <v>436</v>
      </c>
      <c r="H154" s="307"/>
      <c r="I154" s="307"/>
      <c r="J154" s="307">
        <v>69</v>
      </c>
      <c r="K154" s="307"/>
      <c r="L154" s="306" t="s">
        <v>423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 t="s">
        <v>246</v>
      </c>
      <c r="C157" s="215">
        <v>24</v>
      </c>
      <c r="D157" s="306" t="s">
        <v>544</v>
      </c>
      <c r="E157" s="306"/>
      <c r="F157" s="306"/>
      <c r="G157" s="307" t="s">
        <v>389</v>
      </c>
      <c r="H157" s="307"/>
      <c r="I157" s="307"/>
      <c r="J157" s="307">
        <v>357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3</v>
      </c>
      <c r="D158" s="306" t="s">
        <v>545</v>
      </c>
      <c r="E158" s="306"/>
      <c r="F158" s="306"/>
      <c r="G158" s="307" t="s">
        <v>380</v>
      </c>
      <c r="H158" s="307"/>
      <c r="I158" s="307"/>
      <c r="J158" s="307">
        <v>38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9</v>
      </c>
      <c r="D159" s="306" t="s">
        <v>546</v>
      </c>
      <c r="E159" s="306"/>
      <c r="F159" s="306"/>
      <c r="G159" s="307" t="s">
        <v>377</v>
      </c>
      <c r="H159" s="307"/>
      <c r="I159" s="307"/>
      <c r="J159" s="307">
        <v>33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14</v>
      </c>
      <c r="D160" s="306" t="s">
        <v>547</v>
      </c>
      <c r="E160" s="306"/>
      <c r="F160" s="306"/>
      <c r="G160" s="307" t="s">
        <v>548</v>
      </c>
      <c r="H160" s="307"/>
      <c r="I160" s="307"/>
      <c r="J160" s="307">
        <v>35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18</v>
      </c>
      <c r="D161" s="306" t="s">
        <v>549</v>
      </c>
      <c r="E161" s="306"/>
      <c r="F161" s="306"/>
      <c r="G161" s="307" t="s">
        <v>550</v>
      </c>
      <c r="H161" s="307"/>
      <c r="I161" s="307"/>
      <c r="J161" s="307">
        <v>24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13</v>
      </c>
      <c r="D162" s="306" t="s">
        <v>546</v>
      </c>
      <c r="E162" s="306"/>
      <c r="F162" s="306"/>
      <c r="G162" s="307" t="s">
        <v>473</v>
      </c>
      <c r="H162" s="307"/>
      <c r="I162" s="307"/>
      <c r="J162" s="307" t="s">
        <v>551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19</v>
      </c>
      <c r="D163" s="306" t="s">
        <v>549</v>
      </c>
      <c r="E163" s="306"/>
      <c r="F163" s="306"/>
      <c r="G163" s="307" t="s">
        <v>474</v>
      </c>
      <c r="H163" s="307"/>
      <c r="I163" s="307"/>
      <c r="J163" s="307">
        <v>18</v>
      </c>
      <c r="K163" s="307"/>
      <c r="L163" s="306" t="s">
        <v>423</v>
      </c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12</v>
      </c>
      <c r="D164" s="306" t="s">
        <v>552</v>
      </c>
      <c r="E164" s="306"/>
      <c r="F164" s="306"/>
      <c r="G164" s="307" t="s">
        <v>392</v>
      </c>
      <c r="H164" s="307"/>
      <c r="I164" s="307"/>
      <c r="J164" s="307" t="s">
        <v>553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 t="s">
        <v>554</v>
      </c>
      <c r="C166" s="215">
        <v>9</v>
      </c>
      <c r="D166" s="306" t="s">
        <v>555</v>
      </c>
      <c r="E166" s="306"/>
      <c r="F166" s="306"/>
      <c r="G166" s="307" t="s">
        <v>377</v>
      </c>
      <c r="H166" s="307"/>
      <c r="I166" s="307"/>
      <c r="J166" s="307">
        <v>34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3</v>
      </c>
      <c r="D167" s="306" t="s">
        <v>556</v>
      </c>
      <c r="E167" s="306"/>
      <c r="F167" s="306"/>
      <c r="G167" s="307" t="s">
        <v>380</v>
      </c>
      <c r="H167" s="307"/>
      <c r="I167" s="307"/>
      <c r="J167" s="307">
        <v>40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13</v>
      </c>
      <c r="D168" s="306" t="s">
        <v>555</v>
      </c>
      <c r="E168" s="306"/>
      <c r="F168" s="306"/>
      <c r="G168" s="307" t="s">
        <v>386</v>
      </c>
      <c r="H168" s="307"/>
      <c r="I168" s="307"/>
      <c r="J168" s="307">
        <v>47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19</v>
      </c>
      <c r="D169" s="306" t="s">
        <v>557</v>
      </c>
      <c r="E169" s="306"/>
      <c r="F169" s="306"/>
      <c r="G169" s="307" t="s">
        <v>385</v>
      </c>
      <c r="H169" s="307"/>
      <c r="I169" s="307"/>
      <c r="J169" s="307">
        <v>17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>
        <v>18</v>
      </c>
      <c r="D170" s="306" t="s">
        <v>557</v>
      </c>
      <c r="E170" s="306"/>
      <c r="F170" s="306"/>
      <c r="G170" s="307" t="s">
        <v>550</v>
      </c>
      <c r="H170" s="307"/>
      <c r="I170" s="307"/>
      <c r="J170" s="307">
        <v>22</v>
      </c>
      <c r="K170" s="307"/>
      <c r="L170" s="306" t="s">
        <v>423</v>
      </c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EAF838F-D3C5-4849-BC6C-86499BA3436C}">
      <formula1>INDIRECT(D63)</formula1>
    </dataValidation>
  </dataValidations>
  <hyperlinks>
    <hyperlink ref="J14:L15" location="Summary!A1" display="MTD Summary " xr:uid="{FA488A38-2992-4F75-B1C6-C7E318365122}"/>
    <hyperlink ref="J16:L17" location="Graph!A1" display="MTD Trendings" xr:uid="{8229881D-E84D-4B4D-ABC1-0976EC22530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DBF7FF4-2826-4654-814E-03BE71D70D0C}">
          <x14:formula1>
            <xm:f>Sheet3!$B$3:$B$5</xm:f>
          </x14:formula1>
          <xm:sqref>B143:B165 B132</xm:sqref>
        </x14:dataValidation>
        <x14:dataValidation type="list" allowBlank="1" showInputMessage="1" xr:uid="{83341934-22E7-4042-8C69-01A1BB46B146}">
          <x14:formula1>
            <xm:f>Sheet3!$D$3:$D$11</xm:f>
          </x14:formula1>
          <xm:sqref>C132</xm:sqref>
        </x14:dataValidation>
        <x14:dataValidation type="list" allowBlank="1" showInputMessage="1" showErrorMessage="1" xr:uid="{7D661A2A-6645-4F9C-B1D1-3CBC635D4468}">
          <x14:formula1>
            <xm:f>Sheet3!$C$3:$C$4</xm:f>
          </x14:formula1>
          <xm:sqref>M63:M132</xm:sqref>
        </x14:dataValidation>
        <x14:dataValidation type="list" allowBlank="1" showInputMessage="1" showErrorMessage="1" xr:uid="{4D48B110-5AB6-4813-99D0-043191D6A701}">
          <x14:formula1>
            <xm:f>List!$B$5:$B$8</xm:f>
          </x14:formula1>
          <xm:sqref>B63:B131</xm:sqref>
        </x14:dataValidation>
        <x14:dataValidation type="list" allowBlank="1" showInputMessage="1" showErrorMessage="1" xr:uid="{EF5CF8A2-0196-49D9-AE74-ACC2D4E80742}">
          <x14:formula1>
            <xm:f>List!$B$10:$B$12</xm:f>
          </x14:formula1>
          <xm:sqref>C63:C131</xm:sqref>
        </x14:dataValidation>
        <x14:dataValidation type="list" allowBlank="1" showInputMessage="1" showErrorMessage="1" xr:uid="{7B1E63A9-273C-42F6-A855-9640BFD4214C}">
          <x14:formula1>
            <xm:f>List!$C$5:$C$14</xm:f>
          </x14:formula1>
          <xm:sqref>D63:D131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91C8-34AB-471C-BDCC-E227C401BAAD}">
  <sheetPr>
    <pageSetUpPr fitToPage="1"/>
  </sheetPr>
  <dimension ref="A1:R188"/>
  <sheetViews>
    <sheetView showGridLines="0" view="pageBreakPreview" topLeftCell="A4" zoomScaleNormal="90" zoomScaleSheetLayoutView="100" zoomScalePageLayoutView="80" workbookViewId="0">
      <selection activeCell="G33" sqref="G33:H33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6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1600.6</v>
      </c>
      <c r="K6" s="391"/>
      <c r="L6" s="391">
        <f ca="1">Summary!G14</f>
        <v>1576.066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140</v>
      </c>
      <c r="E7" s="84">
        <v>60</v>
      </c>
      <c r="F7" s="366">
        <v>60</v>
      </c>
      <c r="G7" s="367"/>
      <c r="H7" s="345">
        <f>SUM(D7:D10)</f>
        <v>600.27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150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150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160.27000000000001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100</v>
      </c>
      <c r="E11" s="90">
        <v>50</v>
      </c>
      <c r="F11" s="357">
        <v>60</v>
      </c>
      <c r="G11" s="358"/>
      <c r="H11" s="359">
        <f>SUM(D11:D14)</f>
        <v>450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100</v>
      </c>
      <c r="E12" s="92">
        <v>60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120</v>
      </c>
      <c r="E13" s="92">
        <v>60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130</v>
      </c>
      <c r="E14" s="94">
        <v>60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120</v>
      </c>
      <c r="E15" s="96">
        <v>60</v>
      </c>
      <c r="F15" s="343">
        <v>60</v>
      </c>
      <c r="G15" s="344"/>
      <c r="H15" s="345">
        <f>SUM(D15:D18)</f>
        <v>550.33000000000004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150</v>
      </c>
      <c r="E16" s="98">
        <v>60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140</v>
      </c>
      <c r="E17" s="98">
        <v>60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140.33000000000001</v>
      </c>
      <c r="E18" s="100">
        <v>60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1600.6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9</v>
      </c>
      <c r="D25" s="102">
        <v>154</v>
      </c>
      <c r="E25" s="56">
        <v>5</v>
      </c>
      <c r="F25" s="107">
        <v>80</v>
      </c>
      <c r="G25" s="381">
        <v>7</v>
      </c>
      <c r="H25" s="382"/>
      <c r="I25" s="111">
        <v>80</v>
      </c>
      <c r="J25" s="38">
        <f t="shared" ref="J25:J40" si="0">C25+E25+G25</f>
        <v>21</v>
      </c>
      <c r="K25" s="383">
        <f>D25+F25+I25</f>
        <v>314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6</v>
      </c>
      <c r="D26" s="103">
        <v>52</v>
      </c>
      <c r="E26" s="57">
        <v>5</v>
      </c>
      <c r="F26" s="108">
        <v>33.6</v>
      </c>
      <c r="G26" s="377">
        <v>6</v>
      </c>
      <c r="H26" s="378"/>
      <c r="I26" s="112">
        <v>30</v>
      </c>
      <c r="J26" s="25">
        <f t="shared" si="0"/>
        <v>17</v>
      </c>
      <c r="K26" s="379">
        <f t="shared" ref="K26:K39" si="1">D26+F26+I26</f>
        <v>115.6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f>98-10</f>
        <v>88</v>
      </c>
      <c r="E27" s="57"/>
      <c r="F27" s="108">
        <v>150</v>
      </c>
      <c r="G27" s="377"/>
      <c r="H27" s="378"/>
      <c r="I27" s="112">
        <v>140</v>
      </c>
      <c r="J27" s="25">
        <f t="shared" si="0"/>
        <v>0</v>
      </c>
      <c r="K27" s="379">
        <f t="shared" si="1"/>
        <v>378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5</v>
      </c>
      <c r="D28" s="103"/>
      <c r="E28" s="57">
        <v>6</v>
      </c>
      <c r="F28" s="108"/>
      <c r="G28" s="377">
        <v>5</v>
      </c>
      <c r="H28" s="378"/>
      <c r="I28" s="112"/>
      <c r="J28" s="25">
        <f t="shared" si="0"/>
        <v>16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3</v>
      </c>
      <c r="D29" s="103"/>
      <c r="E29" s="57">
        <v>4</v>
      </c>
      <c r="F29" s="108"/>
      <c r="G29" s="377">
        <v>4</v>
      </c>
      <c r="H29" s="378"/>
      <c r="I29" s="112"/>
      <c r="J29" s="25">
        <f t="shared" si="0"/>
        <v>11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>
        <v>2</v>
      </c>
      <c r="D31" s="103"/>
      <c r="E31" s="57">
        <v>3</v>
      </c>
      <c r="F31" s="108"/>
      <c r="G31" s="377">
        <v>4</v>
      </c>
      <c r="H31" s="378"/>
      <c r="I31" s="112"/>
      <c r="J31" s="25">
        <f t="shared" si="0"/>
        <v>9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1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>
        <v>1</v>
      </c>
      <c r="F34" s="108"/>
      <c r="G34" s="377"/>
      <c r="H34" s="378"/>
      <c r="I34" s="112"/>
      <c r="J34" s="25">
        <f t="shared" si="0"/>
        <v>1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>
        <v>1</v>
      </c>
      <c r="D35" s="103"/>
      <c r="E35" s="57"/>
      <c r="F35" s="108">
        <v>24.2</v>
      </c>
      <c r="G35" s="377"/>
      <c r="H35" s="378"/>
      <c r="I35" s="112"/>
      <c r="J35" s="25">
        <f t="shared" si="0"/>
        <v>1</v>
      </c>
      <c r="K35" s="379">
        <f t="shared" si="1"/>
        <v>24.2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28</v>
      </c>
      <c r="E36" s="58"/>
      <c r="F36" s="109">
        <v>32</v>
      </c>
      <c r="G36" s="377"/>
      <c r="H36" s="378"/>
      <c r="I36" s="113"/>
      <c r="J36" s="25">
        <f t="shared" si="0"/>
        <v>0</v>
      </c>
      <c r="K36" s="379">
        <f t="shared" si="1"/>
        <v>60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9</v>
      </c>
      <c r="E37" s="58"/>
      <c r="F37" s="109">
        <v>7</v>
      </c>
      <c r="G37" s="377"/>
      <c r="H37" s="378"/>
      <c r="I37" s="113">
        <v>6</v>
      </c>
      <c r="J37" s="25">
        <f t="shared" si="0"/>
        <v>0</v>
      </c>
      <c r="K37" s="379">
        <f t="shared" si="1"/>
        <v>22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199.47</v>
      </c>
      <c r="J38" s="25">
        <f t="shared" si="0"/>
        <v>0</v>
      </c>
      <c r="K38" s="379">
        <f t="shared" si="1"/>
        <v>199.47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150</v>
      </c>
      <c r="J39" s="25">
        <f t="shared" si="0"/>
        <v>0</v>
      </c>
      <c r="K39" s="379">
        <f t="shared" si="1"/>
        <v>150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119.52</v>
      </c>
      <c r="E40" s="59"/>
      <c r="F40" s="110">
        <v>141.43600000000001</v>
      </c>
      <c r="G40" s="444"/>
      <c r="H40" s="445"/>
      <c r="I40" s="114">
        <v>51.84</v>
      </c>
      <c r="J40" s="26">
        <f t="shared" si="0"/>
        <v>0</v>
      </c>
      <c r="K40" s="446">
        <f>D40+F40+I40</f>
        <v>312.79600000000005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27</v>
      </c>
      <c r="D41" s="106">
        <f>SUM(D25:D40)</f>
        <v>450.52</v>
      </c>
      <c r="E41" s="16">
        <f>SUM(E25:E40)</f>
        <v>25</v>
      </c>
      <c r="F41" s="106">
        <f>SUM(F25:F40)</f>
        <v>468.23599999999999</v>
      </c>
      <c r="G41" s="401">
        <f>SUM(G25:H40)</f>
        <v>27</v>
      </c>
      <c r="H41" s="401"/>
      <c r="I41" s="106">
        <f>SUM(I25:I40)</f>
        <v>657.31000000000006</v>
      </c>
      <c r="J41" s="16">
        <f>SUM(J25:J40)</f>
        <v>79</v>
      </c>
      <c r="K41" s="448">
        <f>SUM(K25:L40)</f>
        <v>1576.066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>
        <v>0.1</v>
      </c>
      <c r="F45" s="210"/>
      <c r="G45" s="442"/>
      <c r="H45" s="443"/>
      <c r="I45" s="210"/>
      <c r="J45" s="210">
        <v>0.3</v>
      </c>
      <c r="K45" s="209">
        <v>0.3</v>
      </c>
      <c r="L45" s="210">
        <v>0</v>
      </c>
      <c r="M45" s="211">
        <v>0.1</v>
      </c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15</v>
      </c>
      <c r="K46" s="40">
        <f>K45*50</f>
        <v>15</v>
      </c>
      <c r="L46" s="40">
        <f>L45*50</f>
        <v>0</v>
      </c>
      <c r="M46" s="79">
        <f>M45*50</f>
        <v>5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0.3</v>
      </c>
      <c r="G48" s="413">
        <v>0.1</v>
      </c>
      <c r="H48" s="414"/>
      <c r="I48" s="209">
        <v>0.5</v>
      </c>
      <c r="J48" s="209">
        <v>0</v>
      </c>
      <c r="K48" s="209">
        <v>0</v>
      </c>
      <c r="L48" s="209">
        <v>0.1</v>
      </c>
      <c r="M48" s="211">
        <v>0.2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9">
        <f>G48*100</f>
        <v>10</v>
      </c>
      <c r="H49" s="410"/>
      <c r="I49" s="40">
        <f>I48*100</f>
        <v>50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14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0.4</v>
      </c>
      <c r="D51" s="213">
        <v>0.1</v>
      </c>
      <c r="E51" s="214">
        <v>0</v>
      </c>
      <c r="F51" s="209"/>
      <c r="G51" s="413"/>
      <c r="H51" s="414"/>
      <c r="I51" s="209">
        <v>0</v>
      </c>
      <c r="J51" s="209">
        <v>0.3</v>
      </c>
      <c r="K51" s="209">
        <v>0</v>
      </c>
      <c r="L51" s="209">
        <v>0.33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28</v>
      </c>
      <c r="D52" s="41">
        <f>D51*70</f>
        <v>7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75</v>
      </c>
      <c r="K52" s="41">
        <f>K51*250</f>
        <v>0</v>
      </c>
      <c r="L52" s="41">
        <f>L51*250</f>
        <v>82.5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361.5</v>
      </c>
      <c r="F54" s="39" t="s">
        <v>335</v>
      </c>
      <c r="G54" s="188"/>
      <c r="H54" s="188"/>
      <c r="I54" s="30">
        <f>'5'!D54</f>
        <v>506.5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>
        <v>172700</v>
      </c>
      <c r="D58" s="60">
        <v>15540</v>
      </c>
      <c r="E58" s="124">
        <f>SUM(C58:D58)</f>
        <v>188240</v>
      </c>
      <c r="F58" s="396"/>
      <c r="G58" s="397"/>
      <c r="H58" s="60">
        <v>4183</v>
      </c>
      <c r="I58" s="61">
        <v>1913</v>
      </c>
      <c r="J58" s="393"/>
      <c r="K58" s="399"/>
      <c r="L58" s="60">
        <v>6626.48</v>
      </c>
      <c r="M58" s="61">
        <f>L58/3</f>
        <v>2208.8266666666664</v>
      </c>
      <c r="N58" s="250">
        <v>4.1399999999999997</v>
      </c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117.60589778832939</v>
      </c>
      <c r="D59" s="403"/>
      <c r="E59" s="404"/>
      <c r="F59" s="405" t="s">
        <v>347</v>
      </c>
      <c r="G59" s="406"/>
      <c r="H59" s="407">
        <f>IF(ISERROR(SUM(H58:I58)/$H$19),"",(SUM(H58:I58)/$H$19))</f>
        <v>3.8085717855804075</v>
      </c>
      <c r="I59" s="408"/>
      <c r="J59" s="405" t="s">
        <v>348</v>
      </c>
      <c r="K59" s="406"/>
      <c r="L59" s="115">
        <f>IF(ISERROR(L58/$H$19),"",(L58/$H$19))</f>
        <v>4.1399975009371488</v>
      </c>
      <c r="M59" s="116">
        <f>IF(ISERROR(M58/$H$19),"",(M58/$H$19))</f>
        <v>1.3799991669790495</v>
      </c>
      <c r="N59" s="194">
        <f>N58*H19</f>
        <v>6626.4839999999995</v>
      </c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0.62499999999999978</v>
      </c>
      <c r="O62" s="12"/>
      <c r="P62" s="12"/>
      <c r="Q62" s="12"/>
      <c r="R62" s="12"/>
    </row>
    <row r="63" spans="1:18" ht="36" customHeight="1" x14ac:dyDescent="0.2">
      <c r="A63" s="12"/>
      <c r="B63" s="236" t="s">
        <v>6</v>
      </c>
      <c r="C63" s="236" t="s">
        <v>22</v>
      </c>
      <c r="D63" s="236" t="s">
        <v>15</v>
      </c>
      <c r="E63" s="293" t="s">
        <v>63</v>
      </c>
      <c r="F63" s="295"/>
      <c r="G63" s="293" t="s">
        <v>558</v>
      </c>
      <c r="H63" s="294"/>
      <c r="I63" s="294"/>
      <c r="J63" s="295"/>
      <c r="K63" s="238">
        <v>0.41666666666666669</v>
      </c>
      <c r="L63" s="238"/>
      <c r="M63" s="236" t="s">
        <v>13</v>
      </c>
      <c r="N63" s="237" t="str">
        <f t="shared" ref="N63:N126" si="2">IF(M63="No","",IF(M63="Yes",(L63-K63+(L63&lt;K63)),""))</f>
        <v/>
      </c>
      <c r="O63" s="134"/>
      <c r="P63" s="12"/>
      <c r="Q63" s="12"/>
      <c r="R63" s="12"/>
    </row>
    <row r="64" spans="1:18" ht="35.25" customHeight="1" x14ac:dyDescent="0.2">
      <c r="A64" s="12"/>
      <c r="B64" s="236"/>
      <c r="C64" s="236"/>
      <c r="D64" s="236" t="s">
        <v>15</v>
      </c>
      <c r="E64" s="293"/>
      <c r="F64" s="295"/>
      <c r="G64" s="293" t="s">
        <v>559</v>
      </c>
      <c r="H64" s="294"/>
      <c r="I64" s="294"/>
      <c r="J64" s="295"/>
      <c r="K64" s="238">
        <v>0.4513888888888889</v>
      </c>
      <c r="L64" s="238"/>
      <c r="M64" s="236" t="s">
        <v>13</v>
      </c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293"/>
      <c r="F65" s="295"/>
      <c r="G65" s="293" t="s">
        <v>560</v>
      </c>
      <c r="H65" s="294"/>
      <c r="I65" s="294"/>
      <c r="J65" s="295"/>
      <c r="K65" s="239">
        <v>0.35416666666666669</v>
      </c>
      <c r="L65" s="239">
        <v>0.375</v>
      </c>
      <c r="M65" s="236" t="s">
        <v>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93"/>
      <c r="F66" s="295"/>
      <c r="G66" s="293" t="s">
        <v>561</v>
      </c>
      <c r="H66" s="294"/>
      <c r="I66" s="294"/>
      <c r="J66" s="295"/>
      <c r="K66" s="239">
        <v>0.375</v>
      </c>
      <c r="L66" s="239">
        <v>0.3888888888888889</v>
      </c>
      <c r="M66" s="236" t="s">
        <v>9</v>
      </c>
      <c r="N66" s="237">
        <f t="shared" si="2"/>
        <v>1.3888888888888895E-2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93"/>
      <c r="F67" s="295"/>
      <c r="G67" s="293" t="s">
        <v>562</v>
      </c>
      <c r="H67" s="294"/>
      <c r="I67" s="294"/>
      <c r="J67" s="295"/>
      <c r="K67" s="238">
        <v>0.3888888888888889</v>
      </c>
      <c r="L67" s="238">
        <v>0.43055555555555558</v>
      </c>
      <c r="M67" s="236" t="s">
        <v>9</v>
      </c>
      <c r="N67" s="237">
        <f t="shared" si="2"/>
        <v>4.1666666666666685E-2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93" t="s">
        <v>100</v>
      </c>
      <c r="F68" s="295"/>
      <c r="G68" s="293" t="s">
        <v>563</v>
      </c>
      <c r="H68" s="294"/>
      <c r="I68" s="294"/>
      <c r="J68" s="295"/>
      <c r="K68" s="239">
        <v>0.30555555555555552</v>
      </c>
      <c r="L68" s="239">
        <v>0.35416666666666669</v>
      </c>
      <c r="M68" s="236" t="s">
        <v>9</v>
      </c>
      <c r="N68" s="237">
        <f t="shared" si="2"/>
        <v>4.861111111111116E-2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14</v>
      </c>
      <c r="C70" s="236" t="s">
        <v>25</v>
      </c>
      <c r="D70" s="236" t="s">
        <v>23</v>
      </c>
      <c r="E70" s="293" t="s">
        <v>109</v>
      </c>
      <c r="F70" s="295"/>
      <c r="G70" s="245"/>
      <c r="H70" t="s">
        <v>564</v>
      </c>
      <c r="K70" s="239">
        <v>0.65972222222222221</v>
      </c>
      <c r="L70" s="239">
        <v>0.75</v>
      </c>
      <c r="M70" s="236" t="s">
        <v>9</v>
      </c>
      <c r="N70" s="237">
        <f t="shared" si="2"/>
        <v>9.027777777777779E-2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293" t="s">
        <v>107</v>
      </c>
      <c r="F71" s="295"/>
      <c r="G71" s="293" t="s">
        <v>565</v>
      </c>
      <c r="H71" s="294"/>
      <c r="I71" s="294"/>
      <c r="J71" s="295"/>
      <c r="K71" s="239">
        <v>0.69444444444444453</v>
      </c>
      <c r="L71" s="239">
        <v>0.70833333333333337</v>
      </c>
      <c r="M71" s="236" t="s">
        <v>9</v>
      </c>
      <c r="N71" s="237">
        <f t="shared" si="2"/>
        <v>1.388888888888884E-2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293"/>
      <c r="F72" s="295"/>
      <c r="G72" s="293" t="s">
        <v>459</v>
      </c>
      <c r="H72" s="294"/>
      <c r="I72" s="294"/>
      <c r="J72" s="295"/>
      <c r="K72" s="239">
        <v>0.72222222222222221</v>
      </c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26</v>
      </c>
      <c r="E73" s="293"/>
      <c r="F73" s="295"/>
      <c r="G73" s="293" t="s">
        <v>566</v>
      </c>
      <c r="H73" s="294"/>
      <c r="I73" s="294"/>
      <c r="J73" s="295"/>
      <c r="K73" s="239">
        <v>0.79166666666666663</v>
      </c>
      <c r="L73" s="239">
        <v>0.8125</v>
      </c>
      <c r="M73" s="236" t="s">
        <v>9</v>
      </c>
      <c r="N73" s="237">
        <f t="shared" si="2"/>
        <v>2.083333333333337E-2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293"/>
      <c r="F74" s="295"/>
      <c r="G74" s="293" t="s">
        <v>567</v>
      </c>
      <c r="H74" s="294"/>
      <c r="I74" s="294"/>
      <c r="J74" s="295"/>
      <c r="K74" s="238">
        <v>0.81944444444444453</v>
      </c>
      <c r="L74" s="238">
        <v>0.90277777777777779</v>
      </c>
      <c r="M74" s="236" t="s">
        <v>9</v>
      </c>
      <c r="N74" s="237">
        <f t="shared" si="2"/>
        <v>8.3333333333333259E-2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17</v>
      </c>
      <c r="C76" s="236" t="s">
        <v>28</v>
      </c>
      <c r="D76" s="236" t="s">
        <v>23</v>
      </c>
      <c r="E76" s="293" t="s">
        <v>109</v>
      </c>
      <c r="F76" s="295"/>
      <c r="G76" s="293" t="s">
        <v>568</v>
      </c>
      <c r="H76" s="294"/>
      <c r="I76" s="294"/>
      <c r="J76" s="295"/>
      <c r="K76" s="239">
        <v>0.79166666666666663</v>
      </c>
      <c r="L76" s="239">
        <v>0.99305555555555547</v>
      </c>
      <c r="M76" s="236" t="s">
        <v>9</v>
      </c>
      <c r="N76" s="237">
        <f t="shared" si="2"/>
        <v>0.20138888888888884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293" t="s">
        <v>108</v>
      </c>
      <c r="F77" s="295"/>
      <c r="G77" s="293" t="s">
        <v>569</v>
      </c>
      <c r="H77" s="294"/>
      <c r="I77" s="294"/>
      <c r="J77" s="295"/>
      <c r="K77" s="238">
        <v>0.94444444444444453</v>
      </c>
      <c r="L77" s="238">
        <v>0.96527777777777779</v>
      </c>
      <c r="M77" s="236" t="s">
        <v>9</v>
      </c>
      <c r="N77" s="237">
        <f t="shared" si="2"/>
        <v>2.0833333333333259E-2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23</v>
      </c>
      <c r="E78" s="293"/>
      <c r="F78" s="295"/>
      <c r="G78" s="293" t="s">
        <v>357</v>
      </c>
      <c r="H78" s="294"/>
      <c r="I78" s="294"/>
      <c r="J78" s="295"/>
      <c r="K78" s="239">
        <v>1.0138888888888888</v>
      </c>
      <c r="L78" s="239">
        <v>1.0347222222222221</v>
      </c>
      <c r="M78" s="236" t="s">
        <v>9</v>
      </c>
      <c r="N78" s="237">
        <f t="shared" si="2"/>
        <v>2.0833333333333259E-2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293"/>
      <c r="F79" s="295"/>
      <c r="G79" s="293" t="s">
        <v>570</v>
      </c>
      <c r="H79" s="294"/>
      <c r="I79" s="294"/>
      <c r="J79" s="295"/>
      <c r="K79" s="239">
        <v>6.9444444444444434E-2</v>
      </c>
      <c r="L79" s="239">
        <v>0.11805555555555557</v>
      </c>
      <c r="M79" s="236" t="s">
        <v>9</v>
      </c>
      <c r="N79" s="237">
        <f t="shared" si="2"/>
        <v>4.8611111111111133E-2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571</v>
      </c>
      <c r="D136" s="452"/>
      <c r="E136" s="434" t="s">
        <v>418</v>
      </c>
      <c r="F136" s="435"/>
      <c r="G136" s="423" t="s">
        <v>366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 t="s">
        <v>420</v>
      </c>
      <c r="F137" s="435"/>
      <c r="G137" s="423" t="s">
        <v>419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3</v>
      </c>
      <c r="D144" s="306" t="s">
        <v>572</v>
      </c>
      <c r="E144" s="306"/>
      <c r="F144" s="306"/>
      <c r="G144" s="307" t="s">
        <v>573</v>
      </c>
      <c r="H144" s="307"/>
      <c r="I144" s="307"/>
      <c r="J144" s="307">
        <v>135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306" t="s">
        <v>574</v>
      </c>
      <c r="E145" s="306"/>
      <c r="F145" s="306"/>
      <c r="G145" s="307" t="s">
        <v>392</v>
      </c>
      <c r="H145" s="307"/>
      <c r="I145" s="307"/>
      <c r="J145" s="307">
        <v>72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14</v>
      </c>
      <c r="D146" s="306" t="s">
        <v>575</v>
      </c>
      <c r="E146" s="306"/>
      <c r="F146" s="306"/>
      <c r="G146" s="307" t="s">
        <v>576</v>
      </c>
      <c r="H146" s="307"/>
      <c r="I146" s="307"/>
      <c r="J146" s="307">
        <v>31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306" t="s">
        <v>575</v>
      </c>
      <c r="E147" s="306"/>
      <c r="F147" s="306"/>
      <c r="G147" s="307" t="s">
        <v>577</v>
      </c>
      <c r="H147" s="307"/>
      <c r="I147" s="307"/>
      <c r="J147" s="307">
        <v>30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306" t="s">
        <v>578</v>
      </c>
      <c r="E148" s="306"/>
      <c r="F148" s="306"/>
      <c r="G148" s="307" t="s">
        <v>387</v>
      </c>
      <c r="H148" s="307"/>
      <c r="I148" s="307"/>
      <c r="J148" s="307">
        <v>20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306" t="s">
        <v>579</v>
      </c>
      <c r="E149" s="306"/>
      <c r="F149" s="306"/>
      <c r="G149" s="307" t="s">
        <v>580</v>
      </c>
      <c r="H149" s="307"/>
      <c r="I149" s="307"/>
      <c r="J149" s="307">
        <v>41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306" t="s">
        <v>581</v>
      </c>
      <c r="E150" s="306"/>
      <c r="F150" s="306"/>
      <c r="G150" s="307" t="s">
        <v>386</v>
      </c>
      <c r="H150" s="307"/>
      <c r="I150" s="307"/>
      <c r="J150" s="307">
        <v>56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306" t="s">
        <v>578</v>
      </c>
      <c r="E151" s="306"/>
      <c r="F151" s="306"/>
      <c r="G151" s="307" t="s">
        <v>396</v>
      </c>
      <c r="H151" s="307"/>
      <c r="I151" s="307"/>
      <c r="J151" s="307">
        <v>17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 t="s">
        <v>582</v>
      </c>
      <c r="D152" s="306" t="s">
        <v>574</v>
      </c>
      <c r="E152" s="306"/>
      <c r="F152" s="306"/>
      <c r="G152" s="307" t="s">
        <v>392</v>
      </c>
      <c r="H152" s="307"/>
      <c r="I152" s="307"/>
      <c r="J152" s="307">
        <v>69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 t="s">
        <v>583</v>
      </c>
      <c r="D153" s="306" t="s">
        <v>581</v>
      </c>
      <c r="E153" s="306"/>
      <c r="F153" s="306"/>
      <c r="G153" s="307" t="s">
        <v>386</v>
      </c>
      <c r="H153" s="307"/>
      <c r="I153" s="307"/>
      <c r="J153" s="307">
        <v>63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 t="s">
        <v>246</v>
      </c>
      <c r="C156" s="215">
        <v>4</v>
      </c>
      <c r="D156" s="306" t="s">
        <v>584</v>
      </c>
      <c r="E156" s="306"/>
      <c r="F156" s="306"/>
      <c r="G156" s="307" t="s">
        <v>573</v>
      </c>
      <c r="H156" s="307"/>
      <c r="I156" s="307"/>
      <c r="J156" s="307">
        <v>34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306" t="s">
        <v>584</v>
      </c>
      <c r="E157" s="306"/>
      <c r="F157" s="306"/>
      <c r="G157" s="307" t="s">
        <v>386</v>
      </c>
      <c r="H157" s="307"/>
      <c r="I157" s="307"/>
      <c r="J157" s="307">
        <v>45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 t="s">
        <v>585</v>
      </c>
      <c r="E158" s="306"/>
      <c r="F158" s="306"/>
      <c r="G158" s="307" t="s">
        <v>586</v>
      </c>
      <c r="H158" s="307"/>
      <c r="I158" s="307"/>
      <c r="J158" s="307">
        <v>885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306" t="s">
        <v>587</v>
      </c>
      <c r="E159" s="306"/>
      <c r="F159" s="306"/>
      <c r="G159" s="307" t="s">
        <v>386</v>
      </c>
      <c r="H159" s="307"/>
      <c r="I159" s="307"/>
      <c r="J159" s="307">
        <v>20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14</v>
      </c>
      <c r="D160" s="306" t="s">
        <v>588</v>
      </c>
      <c r="E160" s="306"/>
      <c r="F160" s="306"/>
      <c r="G160" s="307" t="s">
        <v>589</v>
      </c>
      <c r="H160" s="307"/>
      <c r="I160" s="307"/>
      <c r="J160" s="307">
        <v>30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18</v>
      </c>
      <c r="D161" s="306" t="s">
        <v>587</v>
      </c>
      <c r="E161" s="306"/>
      <c r="F161" s="306"/>
      <c r="G161" s="307" t="s">
        <v>590</v>
      </c>
      <c r="H161" s="307"/>
      <c r="I161" s="307"/>
      <c r="J161" s="307">
        <v>17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12</v>
      </c>
      <c r="D162" s="306" t="s">
        <v>591</v>
      </c>
      <c r="E162" s="306"/>
      <c r="F162" s="306"/>
      <c r="G162" s="307" t="s">
        <v>392</v>
      </c>
      <c r="H162" s="307"/>
      <c r="I162" s="307"/>
      <c r="J162" s="307">
        <v>64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 t="s">
        <v>585</v>
      </c>
      <c r="E163" s="306"/>
      <c r="F163" s="306"/>
      <c r="G163" s="307" t="s">
        <v>586</v>
      </c>
      <c r="H163" s="307"/>
      <c r="I163" s="307"/>
      <c r="J163" s="307">
        <v>840</v>
      </c>
      <c r="K163" s="307"/>
      <c r="L163" s="306" t="s">
        <v>423</v>
      </c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19</v>
      </c>
      <c r="D164" s="306" t="s">
        <v>587</v>
      </c>
      <c r="E164" s="306"/>
      <c r="F164" s="306"/>
      <c r="G164" s="307" t="s">
        <v>396</v>
      </c>
      <c r="H164" s="307"/>
      <c r="I164" s="307"/>
      <c r="J164" s="307">
        <v>17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 t="s">
        <v>554</v>
      </c>
      <c r="C167" s="215">
        <v>9</v>
      </c>
      <c r="D167" s="306" t="s">
        <v>592</v>
      </c>
      <c r="E167" s="306"/>
      <c r="F167" s="306"/>
      <c r="G167" s="307" t="s">
        <v>422</v>
      </c>
      <c r="H167" s="307"/>
      <c r="I167" s="307"/>
      <c r="J167" s="307">
        <v>36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13</v>
      </c>
      <c r="D168" s="306" t="s">
        <v>592</v>
      </c>
      <c r="E168" s="306"/>
      <c r="F168" s="306"/>
      <c r="G168" s="307" t="s">
        <v>386</v>
      </c>
      <c r="H168" s="307"/>
      <c r="I168" s="307"/>
      <c r="J168" s="307">
        <v>46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18</v>
      </c>
      <c r="D169" s="306" t="s">
        <v>593</v>
      </c>
      <c r="E169" s="306"/>
      <c r="F169" s="306"/>
      <c r="G169" s="307" t="s">
        <v>380</v>
      </c>
      <c r="H169" s="307"/>
      <c r="I169" s="307"/>
      <c r="J169" s="307">
        <v>17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>
        <v>19</v>
      </c>
      <c r="D170" s="306" t="s">
        <v>593</v>
      </c>
      <c r="E170" s="306"/>
      <c r="F170" s="306"/>
      <c r="G170" s="307" t="s">
        <v>594</v>
      </c>
      <c r="H170" s="307"/>
      <c r="I170" s="307"/>
      <c r="J170" s="307">
        <v>16</v>
      </c>
      <c r="K170" s="307"/>
      <c r="L170" s="306" t="s">
        <v>423</v>
      </c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C57ED6D-E7B9-4FE4-928F-17AEA01BEDEF}">
      <formula1>INDIRECT(D63)</formula1>
    </dataValidation>
  </dataValidations>
  <hyperlinks>
    <hyperlink ref="J14:L15" location="Summary!A1" display="MTD Summary " xr:uid="{3B9FD8D9-8FB1-4F2C-897F-89E87E8DDF08}"/>
    <hyperlink ref="J16:L17" location="Graph!A1" display="MTD Trendings" xr:uid="{0668B9A1-BF4F-488C-B76B-3831D3FEFDB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40CED6D-62D2-4779-A0C6-47FDD5046B53}">
          <x14:formula1>
            <xm:f>List!$C$5:$C$14</xm:f>
          </x14:formula1>
          <xm:sqref>D63:D131</xm:sqref>
        </x14:dataValidation>
        <x14:dataValidation type="list" allowBlank="1" showInputMessage="1" showErrorMessage="1" xr:uid="{AC795FCA-F783-4BE9-A786-4725C84FC57C}">
          <x14:formula1>
            <xm:f>List!$B$10:$B$12</xm:f>
          </x14:formula1>
          <xm:sqref>C63:C131</xm:sqref>
        </x14:dataValidation>
        <x14:dataValidation type="list" allowBlank="1" showInputMessage="1" showErrorMessage="1" xr:uid="{E5AF17C5-F14D-4284-A90E-913999031443}">
          <x14:formula1>
            <xm:f>List!$B$5:$B$8</xm:f>
          </x14:formula1>
          <xm:sqref>B63:B131</xm:sqref>
        </x14:dataValidation>
        <x14:dataValidation type="list" allowBlank="1" showInputMessage="1" showErrorMessage="1" xr:uid="{0D4A4089-E964-4973-8082-DD698B8BDAF7}">
          <x14:formula1>
            <xm:f>Sheet3!$C$3:$C$4</xm:f>
          </x14:formula1>
          <xm:sqref>M63:M132</xm:sqref>
        </x14:dataValidation>
        <x14:dataValidation type="list" allowBlank="1" showInputMessage="1" xr:uid="{7350213E-4B48-41F9-96C4-D862A444F0CC}">
          <x14:formula1>
            <xm:f>Sheet3!$D$3:$D$11</xm:f>
          </x14:formula1>
          <xm:sqref>C132</xm:sqref>
        </x14:dataValidation>
        <x14:dataValidation type="list" allowBlank="1" showInputMessage="1" showErrorMessage="1" xr:uid="{E24A5BF0-E474-4307-A20A-E001F417B373}">
          <x14:formula1>
            <xm:f>Sheet3!$B$3:$B$5</xm:f>
          </x14:formula1>
          <xm:sqref>B143:B165 B132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A10F-9872-4268-BD80-5D339D4EEF6A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O59" sqref="O5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7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1130.5500000000002</v>
      </c>
      <c r="K6" s="391"/>
      <c r="L6" s="391">
        <f ca="1">Summary!G15</f>
        <v>1395.4389999999999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100</v>
      </c>
      <c r="E7" s="84">
        <v>60</v>
      </c>
      <c r="F7" s="366">
        <v>60</v>
      </c>
      <c r="G7" s="367"/>
      <c r="H7" s="345">
        <f>SUM(D7:D10)</f>
        <v>310.22000000000003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70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140.22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0</v>
      </c>
      <c r="E10" s="88">
        <v>50</v>
      </c>
      <c r="F10" s="370">
        <v>50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 t="s">
        <v>381</v>
      </c>
      <c r="F11" s="357" t="s">
        <v>381</v>
      </c>
      <c r="G11" s="358"/>
      <c r="H11" s="359">
        <f>SUM(D11:D14)</f>
        <v>290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10</v>
      </c>
      <c r="E12" s="92">
        <v>50</v>
      </c>
      <c r="F12" s="362">
        <v>50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150</v>
      </c>
      <c r="E13" s="92">
        <v>50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130</v>
      </c>
      <c r="E14" s="94">
        <v>50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130</v>
      </c>
      <c r="E15" s="96">
        <v>50</v>
      </c>
      <c r="F15" s="343">
        <v>60</v>
      </c>
      <c r="G15" s="344"/>
      <c r="H15" s="345">
        <f>SUM(D15:D18)</f>
        <v>530.33000000000004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120</v>
      </c>
      <c r="E16" s="98">
        <v>50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130</v>
      </c>
      <c r="E17" s="98">
        <v>50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150.33000000000001</v>
      </c>
      <c r="E18" s="100">
        <v>50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1130.5500000000002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4</v>
      </c>
      <c r="D25" s="102">
        <v>94</v>
      </c>
      <c r="E25" s="56">
        <v>2</v>
      </c>
      <c r="F25" s="107">
        <v>22</v>
      </c>
      <c r="G25" s="381">
        <v>6</v>
      </c>
      <c r="H25" s="382"/>
      <c r="I25" s="111"/>
      <c r="J25" s="38">
        <f t="shared" ref="J25:J40" si="0">C25+E25+G25</f>
        <v>12</v>
      </c>
      <c r="K25" s="383">
        <f>D25+F25+I25</f>
        <v>116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4</v>
      </c>
      <c r="D26" s="103">
        <v>48</v>
      </c>
      <c r="E26" s="57">
        <v>4</v>
      </c>
      <c r="F26" s="108">
        <v>4</v>
      </c>
      <c r="G26" s="377">
        <v>3</v>
      </c>
      <c r="H26" s="378"/>
      <c r="I26" s="112">
        <v>127.5</v>
      </c>
      <c r="J26" s="25">
        <f t="shared" si="0"/>
        <v>11</v>
      </c>
      <c r="K26" s="379">
        <f t="shared" ref="K26:K39" si="1">D26+F26+I26</f>
        <v>179.5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94</v>
      </c>
      <c r="E27" s="57"/>
      <c r="F27" s="108">
        <v>48.65</v>
      </c>
      <c r="G27" s="377"/>
      <c r="H27" s="378"/>
      <c r="I27" s="112">
        <v>72</v>
      </c>
      <c r="J27" s="25">
        <f t="shared" si="0"/>
        <v>0</v>
      </c>
      <c r="K27" s="379">
        <f t="shared" si="1"/>
        <v>214.65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4</v>
      </c>
      <c r="D28" s="103"/>
      <c r="E28" s="57">
        <v>4</v>
      </c>
      <c r="F28" s="108"/>
      <c r="G28" s="377">
        <v>3</v>
      </c>
      <c r="H28" s="378"/>
      <c r="I28" s="112"/>
      <c r="J28" s="25">
        <f t="shared" si="0"/>
        <v>11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4</v>
      </c>
      <c r="D29" s="103"/>
      <c r="E29" s="57">
        <v>4</v>
      </c>
      <c r="F29" s="108"/>
      <c r="G29" s="377">
        <v>4</v>
      </c>
      <c r="H29" s="378"/>
      <c r="I29" s="112"/>
      <c r="J29" s="25">
        <f t="shared" si="0"/>
        <v>12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/>
      <c r="E30" s="57"/>
      <c r="F30" s="108">
        <v>24</v>
      </c>
      <c r="G30" s="377"/>
      <c r="H30" s="378"/>
      <c r="I30" s="112"/>
      <c r="J30" s="25">
        <f t="shared" si="0"/>
        <v>1</v>
      </c>
      <c r="K30" s="379">
        <f t="shared" si="1"/>
        <v>24</v>
      </c>
      <c r="L30" s="380"/>
      <c r="N30" s="245"/>
    </row>
    <row r="31" spans="2:14" ht="14.1" customHeight="1" x14ac:dyDescent="0.2">
      <c r="B31" s="80" t="s">
        <v>313</v>
      </c>
      <c r="C31" s="45">
        <v>2</v>
      </c>
      <c r="D31" s="103"/>
      <c r="E31" s="57">
        <v>2</v>
      </c>
      <c r="F31" s="108"/>
      <c r="G31" s="377">
        <v>3</v>
      </c>
      <c r="H31" s="378"/>
      <c r="I31" s="112"/>
      <c r="J31" s="25">
        <f t="shared" si="0"/>
        <v>7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1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>
        <v>1</v>
      </c>
      <c r="H34" s="378"/>
      <c r="I34" s="112"/>
      <c r="J34" s="25">
        <f t="shared" si="0"/>
        <v>1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30</v>
      </c>
      <c r="E36" s="58"/>
      <c r="F36" s="109">
        <v>26</v>
      </c>
      <c r="G36" s="377"/>
      <c r="H36" s="378"/>
      <c r="I36" s="113"/>
      <c r="J36" s="25">
        <f t="shared" si="0"/>
        <v>0</v>
      </c>
      <c r="K36" s="379">
        <f t="shared" si="1"/>
        <v>56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11</v>
      </c>
      <c r="E37" s="58"/>
      <c r="F37" s="109">
        <v>5</v>
      </c>
      <c r="G37" s="377"/>
      <c r="H37" s="378"/>
      <c r="I37" s="113">
        <v>4</v>
      </c>
      <c r="J37" s="25">
        <f t="shared" si="0"/>
        <v>0</v>
      </c>
      <c r="K37" s="379">
        <f t="shared" si="1"/>
        <v>20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376.92</v>
      </c>
      <c r="J38" s="25">
        <f t="shared" si="0"/>
        <v>0</v>
      </c>
      <c r="K38" s="379">
        <f t="shared" si="1"/>
        <v>376.92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90</v>
      </c>
      <c r="J39" s="25">
        <f t="shared" si="0"/>
        <v>0</v>
      </c>
      <c r="K39" s="379">
        <f t="shared" si="1"/>
        <v>90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123.634</v>
      </c>
      <c r="E40" s="59"/>
      <c r="F40" s="110">
        <v>114.873</v>
      </c>
      <c r="G40" s="444"/>
      <c r="H40" s="445"/>
      <c r="I40" s="114">
        <v>79.861999999999995</v>
      </c>
      <c r="J40" s="26">
        <f t="shared" si="0"/>
        <v>0</v>
      </c>
      <c r="K40" s="446">
        <f>D40+F40+I40</f>
        <v>318.36900000000003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20</v>
      </c>
      <c r="D41" s="106">
        <f>SUM(D25:D40)</f>
        <v>400.63400000000001</v>
      </c>
      <c r="E41" s="16">
        <f>SUM(E25:E40)</f>
        <v>17</v>
      </c>
      <c r="F41" s="106">
        <f>SUM(F25:F40)</f>
        <v>244.52300000000002</v>
      </c>
      <c r="G41" s="401">
        <f>SUM(G25:H40)</f>
        <v>21</v>
      </c>
      <c r="H41" s="401"/>
      <c r="I41" s="106">
        <f>SUM(I25:I40)</f>
        <v>750.28200000000004</v>
      </c>
      <c r="J41" s="16">
        <f>SUM(J25:J40)</f>
        <v>58</v>
      </c>
      <c r="K41" s="448">
        <f>SUM(K25:L40)</f>
        <v>1395.4389999999999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>
        <v>0.4</v>
      </c>
      <c r="K45" s="209">
        <v>0.1</v>
      </c>
      <c r="L45" s="210">
        <v>0.1</v>
      </c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20</v>
      </c>
      <c r="K46" s="40">
        <f>K45*50</f>
        <v>5</v>
      </c>
      <c r="L46" s="40">
        <f>L45*50</f>
        <v>5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0.2</v>
      </c>
      <c r="G48" s="413">
        <v>0.1</v>
      </c>
      <c r="H48" s="414"/>
      <c r="I48" s="209">
        <v>0.3</v>
      </c>
      <c r="J48" s="209"/>
      <c r="K48" s="209">
        <v>0.1</v>
      </c>
      <c r="L48" s="209">
        <v>0.1</v>
      </c>
      <c r="M48" s="211">
        <v>0.5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09">
        <f>G48*100</f>
        <v>10</v>
      </c>
      <c r="H49" s="410"/>
      <c r="I49" s="40">
        <f>I48*100</f>
        <v>30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35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0.1</v>
      </c>
      <c r="D51" s="213">
        <v>0.1</v>
      </c>
      <c r="E51" s="214">
        <v>0</v>
      </c>
      <c r="F51" s="209"/>
      <c r="G51" s="413"/>
      <c r="H51" s="414"/>
      <c r="I51" s="209">
        <v>0</v>
      </c>
      <c r="J51" s="209">
        <v>0</v>
      </c>
      <c r="K51" s="209">
        <v>0</v>
      </c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7</v>
      </c>
      <c r="D52" s="41">
        <f>D51*70</f>
        <v>7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165</v>
      </c>
      <c r="F54" s="39" t="s">
        <v>335</v>
      </c>
      <c r="G54" s="188"/>
      <c r="H54" s="188"/>
      <c r="I54" s="30">
        <f>'6'!D54</f>
        <v>361.5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>
        <v>167000</v>
      </c>
      <c r="D58" s="60">
        <v>15900</v>
      </c>
      <c r="E58" s="124">
        <f>SUM(C58:D58)</f>
        <v>182900</v>
      </c>
      <c r="F58" s="396"/>
      <c r="G58" s="397"/>
      <c r="H58" s="60">
        <v>3892</v>
      </c>
      <c r="I58" s="61">
        <v>2341</v>
      </c>
      <c r="J58" s="393"/>
      <c r="K58" s="399"/>
      <c r="L58" s="60">
        <v>6331.08</v>
      </c>
      <c r="M58" s="61">
        <f>L58/3</f>
        <v>2110.36</v>
      </c>
      <c r="N58" s="250">
        <v>5.6</v>
      </c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161.77966476493739</v>
      </c>
      <c r="D59" s="403"/>
      <c r="E59" s="404"/>
      <c r="F59" s="405" t="s">
        <v>347</v>
      </c>
      <c r="G59" s="406"/>
      <c r="H59" s="407">
        <f>IF(ISERROR(SUM(H58:I58)/$H$19),"",(SUM(H58:I58)/$H$19))</f>
        <v>5.513245765335455</v>
      </c>
      <c r="I59" s="408"/>
      <c r="J59" s="405" t="s">
        <v>348</v>
      </c>
      <c r="K59" s="406"/>
      <c r="L59" s="115">
        <f>IF(ISERROR(L58/$H$19),"",(L58/$H$19))</f>
        <v>5.5999999999999988</v>
      </c>
      <c r="M59" s="116">
        <f>IF(ISERROR(M58/$H$19),"",(M58/$H$19))</f>
        <v>1.8666666666666665</v>
      </c>
      <c r="N59" s="194">
        <f>N58*H19</f>
        <v>6331.0800000000008</v>
      </c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0.54166666666666652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23</v>
      </c>
      <c r="E64" s="293"/>
      <c r="F64" s="295"/>
      <c r="G64" s="293" t="s">
        <v>595</v>
      </c>
      <c r="H64" s="294"/>
      <c r="I64" s="294"/>
      <c r="J64" s="295"/>
      <c r="K64" s="238">
        <v>0.33333333333333331</v>
      </c>
      <c r="L64" s="238">
        <v>0.34722222222222227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293"/>
      <c r="F65" s="295"/>
      <c r="G65" s="293" t="s">
        <v>457</v>
      </c>
      <c r="H65" s="294"/>
      <c r="I65" s="294"/>
      <c r="J65" s="295"/>
      <c r="K65" s="239">
        <v>0.3611111111111111</v>
      </c>
      <c r="L65" s="239">
        <v>0.375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93"/>
      <c r="F66" s="295"/>
      <c r="G66" s="293" t="s">
        <v>596</v>
      </c>
      <c r="H66" s="294"/>
      <c r="I66" s="294"/>
      <c r="J66" s="295"/>
      <c r="K66" s="239">
        <v>0.3888888888888889</v>
      </c>
      <c r="L66" s="239">
        <v>0.4513888888888889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11</v>
      </c>
      <c r="E67" s="293"/>
      <c r="F67" s="295"/>
      <c r="G67" s="293" t="s">
        <v>597</v>
      </c>
      <c r="H67" s="294"/>
      <c r="I67" s="294"/>
      <c r="J67" s="295"/>
      <c r="K67" s="238">
        <v>0.4375</v>
      </c>
      <c r="L67" s="238">
        <v>0.45833333333333331</v>
      </c>
      <c r="M67" s="236" t="s">
        <v>598</v>
      </c>
      <c r="N67" s="237">
        <f t="shared" si="2"/>
        <v>2.0833333333333315E-2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29</v>
      </c>
      <c r="E68" s="293"/>
      <c r="F68" s="295"/>
      <c r="G68" s="293" t="s">
        <v>599</v>
      </c>
      <c r="H68" s="294"/>
      <c r="I68" s="294"/>
      <c r="J68" s="295"/>
      <c r="K68" s="239">
        <v>0.44444444444444442</v>
      </c>
      <c r="L68" s="239">
        <v>0.45833333333333331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293"/>
      <c r="F69" s="295"/>
      <c r="G69" s="293" t="s">
        <v>600</v>
      </c>
      <c r="H69" s="294"/>
      <c r="I69" s="294"/>
      <c r="J69" s="295"/>
      <c r="K69" s="239">
        <v>0.49305555555555558</v>
      </c>
      <c r="L69" s="239">
        <v>0.53472222222222221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15</v>
      </c>
      <c r="E70" s="293"/>
      <c r="F70" s="295"/>
      <c r="G70" s="245"/>
      <c r="H70" s="12" t="s">
        <v>601</v>
      </c>
      <c r="K70" s="239">
        <v>0.54166666666666663</v>
      </c>
      <c r="L70" s="239"/>
      <c r="M70" s="236" t="s">
        <v>598</v>
      </c>
      <c r="N70" s="237">
        <f t="shared" si="2"/>
        <v>0.45833333333333337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18</v>
      </c>
      <c r="E71" s="293"/>
      <c r="F71" s="295"/>
      <c r="G71" s="293" t="s">
        <v>602</v>
      </c>
      <c r="H71" s="294"/>
      <c r="I71" s="294"/>
      <c r="J71" s="295"/>
      <c r="K71" s="239">
        <v>0.50694444444444442</v>
      </c>
      <c r="L71" s="239">
        <v>0.54861111111111105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 t="s">
        <v>603</v>
      </c>
      <c r="H72" s="294"/>
      <c r="I72" s="294"/>
      <c r="J72" s="295"/>
      <c r="K72" s="239">
        <v>0.54861111111111105</v>
      </c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14</v>
      </c>
      <c r="C75" s="236" t="s">
        <v>25</v>
      </c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17</v>
      </c>
      <c r="C77" s="236" t="s">
        <v>28</v>
      </c>
      <c r="D77" s="236" t="s">
        <v>23</v>
      </c>
      <c r="E77" s="293" t="s">
        <v>106</v>
      </c>
      <c r="F77" s="295"/>
      <c r="G77" s="293" t="s">
        <v>604</v>
      </c>
      <c r="H77" s="294"/>
      <c r="I77" s="294"/>
      <c r="J77" s="295"/>
      <c r="K77" s="238">
        <v>1.0277777777777779</v>
      </c>
      <c r="L77" s="238">
        <v>4.1666666666666664E-2</v>
      </c>
      <c r="M77" s="236" t="s">
        <v>9</v>
      </c>
      <c r="N77" s="237">
        <f t="shared" si="2"/>
        <v>1.3888888888888729E-2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15</v>
      </c>
      <c r="E78" s="293"/>
      <c r="F78" s="295"/>
      <c r="G78" s="293" t="s">
        <v>605</v>
      </c>
      <c r="H78" s="294"/>
      <c r="I78" s="294"/>
      <c r="J78" s="295"/>
      <c r="K78" s="239">
        <v>7.6388888888888895E-2</v>
      </c>
      <c r="L78" s="239">
        <v>0.125</v>
      </c>
      <c r="M78" s="236" t="s">
        <v>9</v>
      </c>
      <c r="N78" s="237">
        <f t="shared" si="2"/>
        <v>4.8611111111111105E-2</v>
      </c>
      <c r="O78" s="134"/>
      <c r="P78" s="12"/>
      <c r="Q78" s="12"/>
      <c r="R78" s="12"/>
    </row>
    <row r="79" spans="1:18" ht="31.5" customHeight="1" x14ac:dyDescent="0.2">
      <c r="A79" s="12"/>
      <c r="B79" s="236"/>
      <c r="C79" s="236"/>
      <c r="D79" s="236" t="s">
        <v>18</v>
      </c>
      <c r="E79" s="293" t="s">
        <v>91</v>
      </c>
      <c r="F79" s="295"/>
      <c r="G79" s="293" t="s">
        <v>606</v>
      </c>
      <c r="H79" s="294"/>
      <c r="I79" s="294"/>
      <c r="J79" s="295"/>
      <c r="K79" s="239">
        <v>0.25</v>
      </c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460</v>
      </c>
      <c r="D136" s="452"/>
      <c r="E136" s="434" t="s">
        <v>418</v>
      </c>
      <c r="F136" s="435"/>
      <c r="G136" s="423" t="s">
        <v>607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 t="s">
        <v>420</v>
      </c>
      <c r="F137" s="435"/>
      <c r="G137" s="423" t="s">
        <v>534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12</v>
      </c>
      <c r="D144" s="306" t="s">
        <v>608</v>
      </c>
      <c r="E144" s="306"/>
      <c r="F144" s="306"/>
      <c r="G144" s="307" t="s">
        <v>392</v>
      </c>
      <c r="H144" s="307"/>
      <c r="I144" s="307"/>
      <c r="J144" s="307">
        <v>48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13</v>
      </c>
      <c r="D145" s="306" t="s">
        <v>609</v>
      </c>
      <c r="E145" s="306"/>
      <c r="F145" s="306"/>
      <c r="G145" s="307" t="s">
        <v>426</v>
      </c>
      <c r="H145" s="307"/>
      <c r="I145" s="307"/>
      <c r="J145" s="307">
        <v>35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14</v>
      </c>
      <c r="D146" s="306" t="s">
        <v>610</v>
      </c>
      <c r="E146" s="306"/>
      <c r="F146" s="306"/>
      <c r="G146" s="307" t="s">
        <v>611</v>
      </c>
      <c r="H146" s="307"/>
      <c r="I146" s="307"/>
      <c r="J146" s="307">
        <v>26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06" t="s">
        <v>612</v>
      </c>
      <c r="E147" s="306"/>
      <c r="F147" s="306"/>
      <c r="G147" s="307" t="s">
        <v>434</v>
      </c>
      <c r="H147" s="307"/>
      <c r="I147" s="307"/>
      <c r="J147" s="307">
        <v>18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19</v>
      </c>
      <c r="D148" s="306" t="s">
        <v>612</v>
      </c>
      <c r="E148" s="306"/>
      <c r="F148" s="306"/>
      <c r="G148" s="307" t="s">
        <v>474</v>
      </c>
      <c r="H148" s="307"/>
      <c r="I148" s="307"/>
      <c r="J148" s="307">
        <v>13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3</v>
      </c>
      <c r="D149" s="306" t="s">
        <v>613</v>
      </c>
      <c r="E149" s="306"/>
      <c r="F149" s="306"/>
      <c r="G149" s="307" t="s">
        <v>380</v>
      </c>
      <c r="H149" s="307"/>
      <c r="I149" s="307"/>
      <c r="J149" s="307">
        <v>40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 t="s">
        <v>403</v>
      </c>
      <c r="D150" s="306" t="s">
        <v>614</v>
      </c>
      <c r="E150" s="306"/>
      <c r="F150" s="306"/>
      <c r="G150" s="307" t="s">
        <v>377</v>
      </c>
      <c r="H150" s="307"/>
      <c r="I150" s="307"/>
      <c r="J150" s="307">
        <v>32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306" t="s">
        <v>614</v>
      </c>
      <c r="E151" s="306"/>
      <c r="F151" s="306"/>
      <c r="G151" s="307" t="s">
        <v>473</v>
      </c>
      <c r="H151" s="307"/>
      <c r="I151" s="307"/>
      <c r="J151" s="307">
        <v>42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 t="s">
        <v>246</v>
      </c>
      <c r="C154" s="215">
        <v>13</v>
      </c>
      <c r="D154" s="306" t="s">
        <v>615</v>
      </c>
      <c r="E154" s="306"/>
      <c r="F154" s="306"/>
      <c r="G154" s="307" t="s">
        <v>616</v>
      </c>
      <c r="H154" s="307"/>
      <c r="I154" s="307"/>
      <c r="J154" s="307">
        <v>33</v>
      </c>
      <c r="K154" s="307"/>
      <c r="L154" s="306" t="s">
        <v>423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14</v>
      </c>
      <c r="D155" s="306" t="s">
        <v>617</v>
      </c>
      <c r="E155" s="306"/>
      <c r="F155" s="306"/>
      <c r="G155" s="307" t="s">
        <v>618</v>
      </c>
      <c r="H155" s="307"/>
      <c r="I155" s="307"/>
      <c r="J155" s="307">
        <v>26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306" t="s">
        <v>619</v>
      </c>
      <c r="E156" s="306"/>
      <c r="F156" s="306"/>
      <c r="G156" s="307" t="s">
        <v>550</v>
      </c>
      <c r="H156" s="307"/>
      <c r="I156" s="307"/>
      <c r="J156" s="307">
        <v>18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9</v>
      </c>
      <c r="D157" s="306" t="s">
        <v>615</v>
      </c>
      <c r="E157" s="306"/>
      <c r="F157" s="306"/>
      <c r="G157" s="307" t="s">
        <v>377</v>
      </c>
      <c r="H157" s="307"/>
      <c r="I157" s="307"/>
      <c r="J157" s="307">
        <v>29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3</v>
      </c>
      <c r="D158" s="306" t="s">
        <v>620</v>
      </c>
      <c r="E158" s="306"/>
      <c r="F158" s="306"/>
      <c r="G158" s="307" t="s">
        <v>380</v>
      </c>
      <c r="H158" s="307"/>
      <c r="I158" s="307"/>
      <c r="J158" s="307">
        <v>40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22</v>
      </c>
      <c r="D159" s="306" t="s">
        <v>621</v>
      </c>
      <c r="E159" s="306"/>
      <c r="F159" s="306"/>
      <c r="G159" s="307" t="s">
        <v>389</v>
      </c>
      <c r="H159" s="307"/>
      <c r="I159" s="307"/>
      <c r="J159" s="307">
        <v>333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12</v>
      </c>
      <c r="D160" s="306" t="s">
        <v>622</v>
      </c>
      <c r="E160" s="306"/>
      <c r="F160" s="306"/>
      <c r="G160" s="307" t="s">
        <v>392</v>
      </c>
      <c r="H160" s="307"/>
      <c r="I160" s="307"/>
      <c r="J160" s="307" t="s">
        <v>623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19</v>
      </c>
      <c r="D161" s="306" t="s">
        <v>619</v>
      </c>
      <c r="E161" s="306"/>
      <c r="F161" s="306"/>
      <c r="G161" s="307" t="s">
        <v>624</v>
      </c>
      <c r="H161" s="307"/>
      <c r="I161" s="307"/>
      <c r="J161" s="307">
        <v>12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 t="s">
        <v>247</v>
      </c>
      <c r="C163" s="215">
        <v>9</v>
      </c>
      <c r="D163" s="306" t="s">
        <v>625</v>
      </c>
      <c r="E163" s="306"/>
      <c r="F163" s="306"/>
      <c r="G163" s="307" t="s">
        <v>377</v>
      </c>
      <c r="H163" s="307"/>
      <c r="I163" s="307"/>
      <c r="J163" s="307">
        <v>31</v>
      </c>
      <c r="K163" s="307"/>
      <c r="L163" s="306" t="s">
        <v>423</v>
      </c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3</v>
      </c>
      <c r="D164" s="306" t="s">
        <v>626</v>
      </c>
      <c r="E164" s="306"/>
      <c r="F164" s="306"/>
      <c r="G164" s="307" t="s">
        <v>380</v>
      </c>
      <c r="H164" s="307"/>
      <c r="I164" s="307"/>
      <c r="J164" s="307">
        <v>42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306" t="s">
        <v>625</v>
      </c>
      <c r="E165" s="306"/>
      <c r="F165" s="306"/>
      <c r="G165" s="307" t="s">
        <v>386</v>
      </c>
      <c r="H165" s="307"/>
      <c r="I165" s="307"/>
      <c r="J165" s="307">
        <v>32</v>
      </c>
      <c r="K165" s="307"/>
      <c r="L165" s="306" t="s">
        <v>423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17</v>
      </c>
      <c r="D166" s="306" t="s">
        <v>627</v>
      </c>
      <c r="E166" s="306"/>
      <c r="F166" s="306"/>
      <c r="G166" s="307" t="s">
        <v>377</v>
      </c>
      <c r="H166" s="307"/>
      <c r="I166" s="307"/>
      <c r="J166" s="307">
        <v>12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06" t="s">
        <v>627</v>
      </c>
      <c r="E167" s="306"/>
      <c r="F167" s="306"/>
      <c r="G167" s="307" t="s">
        <v>628</v>
      </c>
      <c r="H167" s="307"/>
      <c r="I167" s="307"/>
      <c r="J167" s="307">
        <v>16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16</v>
      </c>
      <c r="D168" s="306" t="s">
        <v>629</v>
      </c>
      <c r="E168" s="306"/>
      <c r="F168" s="306"/>
      <c r="G168" s="307" t="s">
        <v>630</v>
      </c>
      <c r="H168" s="307"/>
      <c r="I168" s="307"/>
      <c r="J168" s="307">
        <v>20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12</v>
      </c>
      <c r="D169" s="306" t="s">
        <v>631</v>
      </c>
      <c r="E169" s="306"/>
      <c r="F169" s="306"/>
      <c r="G169" s="307" t="s">
        <v>392</v>
      </c>
      <c r="H169" s="307"/>
      <c r="I169" s="307"/>
      <c r="J169" s="307">
        <v>50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BBD44BD-6016-4637-9793-4D494244FE9C}">
      <formula1>INDIRECT(D63)</formula1>
    </dataValidation>
  </dataValidations>
  <hyperlinks>
    <hyperlink ref="J14:L15" location="Summary!A1" display="MTD Summary " xr:uid="{1F01AD84-E113-45CC-9428-1D646C544C28}"/>
    <hyperlink ref="J16:L17" location="Graph!A1" display="MTD Trendings" xr:uid="{D38720D1-DDC4-4EA3-8705-89A80B03F02C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C3A2B49-2B07-4CDF-880F-CBFB20FDD789}">
          <x14:formula1>
            <xm:f>Sheet3!$B$3:$B$5</xm:f>
          </x14:formula1>
          <xm:sqref>B143:B165 B132</xm:sqref>
        </x14:dataValidation>
        <x14:dataValidation type="list" allowBlank="1" showInputMessage="1" xr:uid="{0268DF17-3742-4560-A456-F8BEB4A0FE86}">
          <x14:formula1>
            <xm:f>Sheet3!$D$3:$D$11</xm:f>
          </x14:formula1>
          <xm:sqref>C132</xm:sqref>
        </x14:dataValidation>
        <x14:dataValidation type="list" allowBlank="1" showInputMessage="1" showErrorMessage="1" xr:uid="{3116E0D1-4B21-408A-ABC6-E7648035D150}">
          <x14:formula1>
            <xm:f>Sheet3!$C$3:$C$4</xm:f>
          </x14:formula1>
          <xm:sqref>M63:M132</xm:sqref>
        </x14:dataValidation>
        <x14:dataValidation type="list" allowBlank="1" showInputMessage="1" showErrorMessage="1" xr:uid="{F05609E1-9079-4890-92A8-6C03068D92E9}">
          <x14:formula1>
            <xm:f>List!$B$5:$B$8</xm:f>
          </x14:formula1>
          <xm:sqref>B63:B131</xm:sqref>
        </x14:dataValidation>
        <x14:dataValidation type="list" allowBlank="1" showInputMessage="1" showErrorMessage="1" xr:uid="{259C6FD5-4028-497B-92F8-9C10B30FF2FD}">
          <x14:formula1>
            <xm:f>List!$B$10:$B$12</xm:f>
          </x14:formula1>
          <xm:sqref>C63:C131</xm:sqref>
        </x14:dataValidation>
        <x14:dataValidation type="list" allowBlank="1" showInputMessage="1" showErrorMessage="1" xr:uid="{98A11B53-611D-495F-9C4A-8DF1884F4A49}">
          <x14:formula1>
            <xm:f>List!$C$5:$C$14</xm:f>
          </x14:formula1>
          <xm:sqref>D63:D131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A590-07D8-4C31-AA77-7B2C8793758F}">
  <sheetPr>
    <pageSetUpPr fitToPage="1"/>
  </sheetPr>
  <dimension ref="A1:R188"/>
  <sheetViews>
    <sheetView showGridLines="0" view="pageBreakPreview" topLeftCell="A26" zoomScale="80" zoomScaleNormal="90" zoomScaleSheetLayoutView="80" zoomScalePageLayoutView="80" workbookViewId="0">
      <selection activeCell="C19" sqref="C19:F1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8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1770.49</v>
      </c>
      <c r="K6" s="391"/>
      <c r="L6" s="391">
        <f ca="1">Summary!G16</f>
        <v>1254.46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130</v>
      </c>
      <c r="E7" s="84">
        <v>60</v>
      </c>
      <c r="F7" s="366">
        <v>60</v>
      </c>
      <c r="G7" s="367"/>
      <c r="H7" s="345">
        <f>SUM(D7:D10)</f>
        <v>550.22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130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130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160.22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130</v>
      </c>
      <c r="E11" s="90">
        <v>60</v>
      </c>
      <c r="F11" s="357">
        <v>60</v>
      </c>
      <c r="G11" s="358"/>
      <c r="H11" s="359">
        <f>SUM(D11:D14)</f>
        <v>600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160</v>
      </c>
      <c r="E12" s="92">
        <v>60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130</v>
      </c>
      <c r="E13" s="92">
        <v>60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180</v>
      </c>
      <c r="E14" s="94">
        <v>60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130</v>
      </c>
      <c r="E15" s="96">
        <v>60</v>
      </c>
      <c r="F15" s="343">
        <v>60</v>
      </c>
      <c r="G15" s="344"/>
      <c r="H15" s="345">
        <f>SUM(D15:D18)</f>
        <v>620.27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150</v>
      </c>
      <c r="E16" s="98">
        <v>60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150</v>
      </c>
      <c r="E17" s="98">
        <v>60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190.27</v>
      </c>
      <c r="E18" s="100">
        <v>60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1770.49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6</v>
      </c>
      <c r="D25" s="102">
        <v>21</v>
      </c>
      <c r="E25" s="56">
        <v>5</v>
      </c>
      <c r="F25" s="107">
        <v>67</v>
      </c>
      <c r="G25" s="381">
        <v>7</v>
      </c>
      <c r="H25" s="382"/>
      <c r="I25" s="111">
        <v>110</v>
      </c>
      <c r="J25" s="38">
        <f t="shared" ref="J25:J40" si="0">C25+E25+G25</f>
        <v>18</v>
      </c>
      <c r="K25" s="383">
        <f>D25+F25+I25</f>
        <v>198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5</v>
      </c>
      <c r="D26" s="103">
        <v>60</v>
      </c>
      <c r="E26" s="57">
        <v>4</v>
      </c>
      <c r="F26" s="108">
        <v>68</v>
      </c>
      <c r="G26" s="377">
        <v>5</v>
      </c>
      <c r="H26" s="378"/>
      <c r="I26" s="112">
        <v>76</v>
      </c>
      <c r="J26" s="25">
        <f t="shared" si="0"/>
        <v>14</v>
      </c>
      <c r="K26" s="379">
        <f t="shared" ref="K26:K39" si="1">D26+F26+I26</f>
        <v>204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80</v>
      </c>
      <c r="E27" s="57"/>
      <c r="F27" s="108">
        <v>87</v>
      </c>
      <c r="G27" s="377"/>
      <c r="H27" s="378"/>
      <c r="I27" s="112">
        <v>84</v>
      </c>
      <c r="J27" s="25">
        <f t="shared" si="0"/>
        <v>0</v>
      </c>
      <c r="K27" s="379">
        <f t="shared" si="1"/>
        <v>251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5</v>
      </c>
      <c r="D28" s="103"/>
      <c r="E28" s="57">
        <v>5</v>
      </c>
      <c r="F28" s="108"/>
      <c r="G28" s="377">
        <v>4</v>
      </c>
      <c r="H28" s="378"/>
      <c r="I28" s="112"/>
      <c r="J28" s="25">
        <f t="shared" si="0"/>
        <v>14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2</v>
      </c>
      <c r="D29" s="103"/>
      <c r="E29" s="57">
        <v>1</v>
      </c>
      <c r="F29" s="108"/>
      <c r="G29" s="377">
        <v>4</v>
      </c>
      <c r="H29" s="378"/>
      <c r="I29" s="112"/>
      <c r="J29" s="25">
        <f t="shared" si="0"/>
        <v>7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/>
      <c r="E30" s="57"/>
      <c r="F30" s="108"/>
      <c r="G30" s="377"/>
      <c r="H30" s="378"/>
      <c r="I30" s="112"/>
      <c r="J30" s="25">
        <f t="shared" si="0"/>
        <v>1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>
        <v>2</v>
      </c>
      <c r="D31" s="103"/>
      <c r="E31" s="57">
        <v>2</v>
      </c>
      <c r="F31" s="108"/>
      <c r="G31" s="377">
        <v>3</v>
      </c>
      <c r="H31" s="378"/>
      <c r="I31" s="112"/>
      <c r="J31" s="25">
        <f t="shared" si="0"/>
        <v>7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1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>
        <v>1</v>
      </c>
      <c r="H34" s="378"/>
      <c r="I34" s="112"/>
      <c r="J34" s="25">
        <f t="shared" si="0"/>
        <v>1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16</v>
      </c>
      <c r="E36" s="58"/>
      <c r="F36" s="109">
        <v>8</v>
      </c>
      <c r="G36" s="377"/>
      <c r="H36" s="378"/>
      <c r="I36" s="113"/>
      <c r="J36" s="25">
        <f t="shared" si="0"/>
        <v>0</v>
      </c>
      <c r="K36" s="379">
        <f t="shared" si="1"/>
        <v>24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6</v>
      </c>
      <c r="E37" s="58"/>
      <c r="F37" s="109">
        <v>4</v>
      </c>
      <c r="G37" s="377"/>
      <c r="H37" s="378"/>
      <c r="I37" s="113">
        <v>4</v>
      </c>
      <c r="J37" s="25">
        <f t="shared" si="0"/>
        <v>0</v>
      </c>
      <c r="K37" s="379">
        <f t="shared" si="1"/>
        <v>14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195</v>
      </c>
      <c r="J38" s="25">
        <f t="shared" si="0"/>
        <v>0</v>
      </c>
      <c r="K38" s="379">
        <f t="shared" si="1"/>
        <v>195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75</v>
      </c>
      <c r="J39" s="25">
        <f t="shared" si="0"/>
        <v>0</v>
      </c>
      <c r="K39" s="379">
        <f t="shared" si="1"/>
        <v>75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88.26</v>
      </c>
      <c r="E40" s="59"/>
      <c r="F40" s="110">
        <v>76.680000000000007</v>
      </c>
      <c r="G40" s="444"/>
      <c r="H40" s="445"/>
      <c r="I40" s="114">
        <v>128.52000000000001</v>
      </c>
      <c r="J40" s="26">
        <f t="shared" si="0"/>
        <v>0</v>
      </c>
      <c r="K40" s="446">
        <f>D40+F40+I40</f>
        <v>293.46000000000004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22</v>
      </c>
      <c r="D41" s="106">
        <f>SUM(D25:D40)</f>
        <v>271.26</v>
      </c>
      <c r="E41" s="16">
        <f>SUM(E25:E40)</f>
        <v>18</v>
      </c>
      <c r="F41" s="106">
        <f>SUM(F25:F40)</f>
        <v>310.68</v>
      </c>
      <c r="G41" s="401">
        <f>SUM(G25:H40)</f>
        <v>25</v>
      </c>
      <c r="H41" s="401"/>
      <c r="I41" s="106">
        <f>SUM(I25:I40)</f>
        <v>672.52</v>
      </c>
      <c r="J41" s="16">
        <f>SUM(J25:J40)</f>
        <v>65</v>
      </c>
      <c r="K41" s="448">
        <f>SUM(K25:L40)</f>
        <v>1254.46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>
        <v>0.25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12.5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0.65</v>
      </c>
      <c r="G48" s="413">
        <v>0.1</v>
      </c>
      <c r="H48" s="414"/>
      <c r="I48" s="209">
        <v>0.5</v>
      </c>
      <c r="J48" s="209">
        <v>0</v>
      </c>
      <c r="K48" s="209">
        <v>0.1</v>
      </c>
      <c r="L48" s="209">
        <v>0.2</v>
      </c>
      <c r="M48" s="211">
        <v>0.1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104</v>
      </c>
      <c r="G49" s="409">
        <f>G48*100</f>
        <v>10</v>
      </c>
      <c r="H49" s="410"/>
      <c r="I49" s="40">
        <f>I48*100</f>
        <v>50</v>
      </c>
      <c r="J49" s="40">
        <f>J48*150</f>
        <v>0</v>
      </c>
      <c r="K49" s="40">
        <f>K48*70</f>
        <v>7</v>
      </c>
      <c r="L49" s="40">
        <f>L48*70</f>
        <v>14</v>
      </c>
      <c r="M49" s="79">
        <f>M48*70</f>
        <v>7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0.2</v>
      </c>
      <c r="D51" s="213">
        <v>0.1</v>
      </c>
      <c r="E51" s="214">
        <v>0.1</v>
      </c>
      <c r="F51" s="209"/>
      <c r="G51" s="413"/>
      <c r="H51" s="414"/>
      <c r="I51" s="209">
        <v>0</v>
      </c>
      <c r="J51" s="209">
        <v>0</v>
      </c>
      <c r="K51" s="209">
        <v>0.35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14</v>
      </c>
      <c r="D52" s="41">
        <f>D51*70</f>
        <v>7</v>
      </c>
      <c r="E52" s="41">
        <f>E51*70</f>
        <v>7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87.5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325</v>
      </c>
      <c r="F54" s="39" t="s">
        <v>335</v>
      </c>
      <c r="G54" s="188"/>
      <c r="H54" s="188"/>
      <c r="I54" s="30">
        <f>'7'!D54</f>
        <v>165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0</v>
      </c>
      <c r="D59" s="403"/>
      <c r="E59" s="404"/>
      <c r="F59" s="405" t="s">
        <v>347</v>
      </c>
      <c r="G59" s="406"/>
      <c r="H59" s="407">
        <f>IF(ISERROR(SUM(H58:I58)/$H$19),"",(SUM(H58:I58)/$H$19))</f>
        <v>0</v>
      </c>
      <c r="I59" s="408"/>
      <c r="J59" s="405" t="s">
        <v>348</v>
      </c>
      <c r="K59" s="406"/>
      <c r="L59" s="115">
        <f>IF(ISERROR(L58/$H$19),"",(L58/$H$19))</f>
        <v>0</v>
      </c>
      <c r="M59" s="116">
        <f>IF(ISERROR(M58/$H$19),"",(M58/$H$19))</f>
        <v>0</v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23</v>
      </c>
      <c r="E64" s="293"/>
      <c r="F64" s="295"/>
      <c r="G64" s="293" t="s">
        <v>632</v>
      </c>
      <c r="H64" s="294"/>
      <c r="I64" s="294"/>
      <c r="J64" s="295"/>
      <c r="K64" s="238">
        <v>0.28472222222222221</v>
      </c>
      <c r="L64" s="238">
        <v>0.31944444444444448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93"/>
      <c r="F65" s="295"/>
      <c r="G65" s="293" t="s">
        <v>633</v>
      </c>
      <c r="H65" s="294"/>
      <c r="I65" s="294"/>
      <c r="J65" s="295"/>
      <c r="K65" s="239">
        <v>0.2986111111111111</v>
      </c>
      <c r="L65" s="239">
        <v>0.3263888888888889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29</v>
      </c>
      <c r="E66" s="293"/>
      <c r="F66" s="295"/>
      <c r="G66" s="293" t="s">
        <v>634</v>
      </c>
      <c r="H66" s="294"/>
      <c r="I66" s="294"/>
      <c r="J66" s="295"/>
      <c r="K66" s="239">
        <v>0.38194444444444442</v>
      </c>
      <c r="L66" s="239"/>
      <c r="M66" s="236" t="s">
        <v>598</v>
      </c>
      <c r="N66" s="237">
        <f t="shared" si="2"/>
        <v>0.61805555555555558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293"/>
      <c r="F67" s="295"/>
      <c r="G67" s="293" t="s">
        <v>635</v>
      </c>
      <c r="H67" s="294"/>
      <c r="I67" s="294"/>
      <c r="J67" s="295"/>
      <c r="K67" s="238">
        <v>0.5</v>
      </c>
      <c r="L67" s="238"/>
      <c r="M67" s="236" t="s">
        <v>598</v>
      </c>
      <c r="N67" s="237">
        <f t="shared" si="2"/>
        <v>0.5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93"/>
      <c r="F68" s="295"/>
      <c r="G68" s="293" t="s">
        <v>456</v>
      </c>
      <c r="H68" s="294"/>
      <c r="I68" s="294"/>
      <c r="J68" s="295"/>
      <c r="K68" s="239">
        <v>0.4236111111111111</v>
      </c>
      <c r="L68" s="239">
        <v>0.45833333333333331</v>
      </c>
      <c r="M68" s="236" t="s">
        <v>598</v>
      </c>
      <c r="N68" s="237">
        <f t="shared" si="2"/>
        <v>3.472222222222221E-2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 t="s">
        <v>636</v>
      </c>
      <c r="L69" s="239">
        <v>0.54861111111111105</v>
      </c>
      <c r="M69" s="236" t="s">
        <v>598</v>
      </c>
      <c r="N69" s="237" t="e">
        <f t="shared" si="2"/>
        <v>#VALUE!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>
        <v>0.56944444444444442</v>
      </c>
      <c r="L70" s="239">
        <v>0.58333333333333337</v>
      </c>
      <c r="M70" s="236" t="s">
        <v>598</v>
      </c>
      <c r="N70" s="237">
        <f t="shared" si="2"/>
        <v>1.3888888888888951E-2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14</v>
      </c>
      <c r="C72" s="236" t="s">
        <v>25</v>
      </c>
      <c r="D72" s="236" t="s">
        <v>23</v>
      </c>
      <c r="E72" s="293"/>
      <c r="F72" s="295"/>
      <c r="G72" s="293" t="s">
        <v>459</v>
      </c>
      <c r="H72" s="294"/>
      <c r="I72" s="294"/>
      <c r="J72" s="295"/>
      <c r="K72" s="239">
        <v>0.59722222222222221</v>
      </c>
      <c r="L72" s="239">
        <v>0.64583333333333337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>
        <v>0.66666666666666663</v>
      </c>
      <c r="L73" s="239">
        <v>0.6875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>
        <v>0.71527777777777779</v>
      </c>
      <c r="L74" s="238">
        <v>0.76388888888888884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>
        <v>0.78472222222222221</v>
      </c>
      <c r="L75" s="239">
        <v>0.86111111111111116</v>
      </c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>
        <v>0.875</v>
      </c>
      <c r="L76" s="239">
        <v>0.90277777777777779</v>
      </c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293" t="s">
        <v>106</v>
      </c>
      <c r="F77" s="295"/>
      <c r="G77" s="293" t="s">
        <v>637</v>
      </c>
      <c r="H77" s="294"/>
      <c r="I77" s="294"/>
      <c r="J77" s="295"/>
      <c r="K77" s="238">
        <v>0.86111111111111116</v>
      </c>
      <c r="L77" s="238">
        <v>0.875</v>
      </c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26</v>
      </c>
      <c r="E78" s="293"/>
      <c r="F78" s="295"/>
      <c r="G78" s="293" t="s">
        <v>638</v>
      </c>
      <c r="H78" s="294"/>
      <c r="I78" s="294"/>
      <c r="J78" s="295"/>
      <c r="K78" s="239">
        <v>0.5</v>
      </c>
      <c r="L78" s="239">
        <v>0.77777777777777779</v>
      </c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29</v>
      </c>
      <c r="E79" s="293" t="s">
        <v>106</v>
      </c>
      <c r="F79" s="295"/>
      <c r="G79" s="293" t="s">
        <v>414</v>
      </c>
      <c r="H79" s="294"/>
      <c r="I79" s="294"/>
      <c r="J79" s="295"/>
      <c r="K79" s="239">
        <v>0.79861111111111116</v>
      </c>
      <c r="L79" s="239">
        <v>0.84722222222222221</v>
      </c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 t="s">
        <v>6</v>
      </c>
      <c r="C81" s="236" t="s">
        <v>28</v>
      </c>
      <c r="D81" s="236" t="s">
        <v>20</v>
      </c>
      <c r="E81" s="293" t="s">
        <v>107</v>
      </c>
      <c r="F81" s="295"/>
      <c r="G81" s="293" t="s">
        <v>639</v>
      </c>
      <c r="H81" s="294"/>
      <c r="I81" s="294"/>
      <c r="J81" s="295"/>
      <c r="K81" s="239">
        <v>0.98611111111111116</v>
      </c>
      <c r="L81" s="239">
        <v>1.0277777777777779</v>
      </c>
      <c r="M81" s="236" t="s">
        <v>9</v>
      </c>
      <c r="N81" s="237">
        <f t="shared" si="2"/>
        <v>4.1666666666666741E-2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23</v>
      </c>
      <c r="E82" s="293"/>
      <c r="F82" s="295"/>
      <c r="G82" s="293" t="s">
        <v>640</v>
      </c>
      <c r="H82" s="294"/>
      <c r="I82" s="294"/>
      <c r="J82" s="295"/>
      <c r="K82" s="239">
        <v>1</v>
      </c>
      <c r="L82" s="239">
        <v>1.0208333333333333</v>
      </c>
      <c r="M82" s="236" t="s">
        <v>9</v>
      </c>
      <c r="N82" s="237">
        <f t="shared" si="2"/>
        <v>2.0833333333333259E-2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23</v>
      </c>
      <c r="E83" s="293"/>
      <c r="F83" s="295"/>
      <c r="G83" s="293" t="s">
        <v>357</v>
      </c>
      <c r="H83" s="294"/>
      <c r="I83" s="294"/>
      <c r="J83" s="295"/>
      <c r="K83" s="239">
        <v>0.92361111111111116</v>
      </c>
      <c r="L83" s="239">
        <v>0.98611111111111116</v>
      </c>
      <c r="M83" s="236" t="s">
        <v>9</v>
      </c>
      <c r="N83" s="237">
        <f t="shared" si="2"/>
        <v>6.25E-2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23</v>
      </c>
      <c r="E84" s="293"/>
      <c r="F84" s="295"/>
      <c r="G84" s="293" t="s">
        <v>357</v>
      </c>
      <c r="H84" s="294"/>
      <c r="I84" s="294"/>
      <c r="J84" s="295"/>
      <c r="K84" s="239">
        <v>1.0277777777777779</v>
      </c>
      <c r="L84" s="239">
        <v>6.25E-2</v>
      </c>
      <c r="M84" s="236" t="s">
        <v>9</v>
      </c>
      <c r="N84" s="237">
        <f t="shared" si="2"/>
        <v>3.4722222222222099E-2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 t="s">
        <v>23</v>
      </c>
      <c r="E85" s="293"/>
      <c r="F85" s="295"/>
      <c r="G85" s="293" t="s">
        <v>357</v>
      </c>
      <c r="H85" s="294"/>
      <c r="I85" s="294"/>
      <c r="J85" s="295"/>
      <c r="K85" s="239">
        <v>8.3333333333333329E-2</v>
      </c>
      <c r="L85" s="239">
        <v>0.11805555555555557</v>
      </c>
      <c r="M85" s="236" t="s">
        <v>9</v>
      </c>
      <c r="N85" s="237">
        <f t="shared" si="2"/>
        <v>3.4722222222222238E-2</v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 t="s">
        <v>15</v>
      </c>
      <c r="E86" s="293" t="s">
        <v>59</v>
      </c>
      <c r="F86" s="295"/>
      <c r="G86" s="293" t="s">
        <v>641</v>
      </c>
      <c r="H86" s="294"/>
      <c r="I86" s="294"/>
      <c r="J86" s="295"/>
      <c r="K86" s="239">
        <v>1</v>
      </c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 t="s">
        <v>18</v>
      </c>
      <c r="E87" s="293" t="s">
        <v>92</v>
      </c>
      <c r="F87" s="295"/>
      <c r="G87" s="293" t="s">
        <v>642</v>
      </c>
      <c r="H87" s="294"/>
      <c r="I87" s="294"/>
      <c r="J87" s="295"/>
      <c r="K87" s="239">
        <v>0.16666666666666666</v>
      </c>
      <c r="L87" s="239">
        <v>0.19444444444444445</v>
      </c>
      <c r="M87" s="236" t="s">
        <v>9</v>
      </c>
      <c r="N87" s="237">
        <f t="shared" si="2"/>
        <v>2.777777777777779E-2</v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460</v>
      </c>
      <c r="D136" s="452"/>
      <c r="E136" s="434" t="s">
        <v>418</v>
      </c>
      <c r="F136" s="435"/>
      <c r="G136" s="423" t="s">
        <v>367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 t="s">
        <v>420</v>
      </c>
      <c r="F137" s="435"/>
      <c r="G137" s="423" t="s">
        <v>369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3</v>
      </c>
      <c r="D144" s="306" t="s">
        <v>643</v>
      </c>
      <c r="E144" s="306"/>
      <c r="F144" s="306"/>
      <c r="G144" s="307" t="s">
        <v>380</v>
      </c>
      <c r="H144" s="307"/>
      <c r="I144" s="307"/>
      <c r="J144" s="307">
        <v>22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403</v>
      </c>
      <c r="D145" s="306" t="s">
        <v>644</v>
      </c>
      <c r="E145" s="306"/>
      <c r="F145" s="306"/>
      <c r="G145" s="307" t="s">
        <v>377</v>
      </c>
      <c r="H145" s="307"/>
      <c r="I145" s="307"/>
      <c r="J145" s="307">
        <v>37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306" t="s">
        <v>645</v>
      </c>
      <c r="E146" s="306"/>
      <c r="F146" s="306"/>
      <c r="G146" s="307" t="s">
        <v>392</v>
      </c>
      <c r="H146" s="307"/>
      <c r="I146" s="307"/>
      <c r="J146" s="307" t="s">
        <v>646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06" t="s">
        <v>647</v>
      </c>
      <c r="E147" s="306"/>
      <c r="F147" s="306"/>
      <c r="G147" s="307" t="s">
        <v>648</v>
      </c>
      <c r="H147" s="307"/>
      <c r="I147" s="307"/>
      <c r="J147" s="307">
        <v>21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06" t="s">
        <v>644</v>
      </c>
      <c r="E148" s="306"/>
      <c r="F148" s="306"/>
      <c r="G148" s="307" t="s">
        <v>473</v>
      </c>
      <c r="H148" s="307"/>
      <c r="I148" s="307"/>
      <c r="J148" s="307">
        <v>24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06" t="s">
        <v>649</v>
      </c>
      <c r="E149" s="306"/>
      <c r="F149" s="306"/>
      <c r="G149" s="307" t="s">
        <v>630</v>
      </c>
      <c r="H149" s="307"/>
      <c r="I149" s="307"/>
      <c r="J149" s="307">
        <v>13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306" t="s">
        <v>650</v>
      </c>
      <c r="E150" s="306"/>
      <c r="F150" s="306"/>
      <c r="G150" s="307" t="s">
        <v>474</v>
      </c>
      <c r="H150" s="307"/>
      <c r="I150" s="307"/>
      <c r="J150" s="307">
        <v>9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14</v>
      </c>
      <c r="D151" s="306" t="s">
        <v>651</v>
      </c>
      <c r="E151" s="306"/>
      <c r="F151" s="306"/>
      <c r="G151" s="307" t="s">
        <v>618</v>
      </c>
      <c r="H151" s="307"/>
      <c r="I151" s="307"/>
      <c r="J151" s="307">
        <v>16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 t="s">
        <v>652</v>
      </c>
      <c r="D152" s="306" t="s">
        <v>650</v>
      </c>
      <c r="E152" s="306"/>
      <c r="F152" s="306"/>
      <c r="G152" s="307" t="s">
        <v>653</v>
      </c>
      <c r="H152" s="307"/>
      <c r="I152" s="307"/>
      <c r="J152" s="307">
        <v>12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 t="s">
        <v>246</v>
      </c>
      <c r="C155" s="215">
        <v>18</v>
      </c>
      <c r="D155" s="306" t="s">
        <v>654</v>
      </c>
      <c r="E155" s="306"/>
      <c r="F155" s="306"/>
      <c r="G155" s="307" t="s">
        <v>387</v>
      </c>
      <c r="H155" s="307"/>
      <c r="I155" s="307"/>
      <c r="J155" s="307">
        <v>14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17</v>
      </c>
      <c r="D156" s="306" t="s">
        <v>655</v>
      </c>
      <c r="E156" s="306"/>
      <c r="F156" s="306"/>
      <c r="G156" s="307" t="s">
        <v>386</v>
      </c>
      <c r="H156" s="307"/>
      <c r="I156" s="307"/>
      <c r="J156" s="307">
        <v>20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 t="s">
        <v>656</v>
      </c>
      <c r="E157" s="306"/>
      <c r="F157" s="306"/>
      <c r="G157" s="307" t="s">
        <v>657</v>
      </c>
      <c r="H157" s="307"/>
      <c r="I157" s="307"/>
      <c r="J157" s="307">
        <v>1245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14</v>
      </c>
      <c r="D158" s="306" t="s">
        <v>658</v>
      </c>
      <c r="E158" s="306"/>
      <c r="F158" s="306"/>
      <c r="G158" s="307" t="s">
        <v>659</v>
      </c>
      <c r="H158" s="307"/>
      <c r="I158" s="307"/>
      <c r="J158" s="307">
        <v>15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9</v>
      </c>
      <c r="D159" s="306" t="s">
        <v>655</v>
      </c>
      <c r="E159" s="306"/>
      <c r="F159" s="306"/>
      <c r="G159" s="307" t="s">
        <v>377</v>
      </c>
      <c r="H159" s="307"/>
      <c r="I159" s="307"/>
      <c r="J159" s="307">
        <v>19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3</v>
      </c>
      <c r="D160" s="306" t="s">
        <v>660</v>
      </c>
      <c r="E160" s="306"/>
      <c r="F160" s="306"/>
      <c r="G160" s="307" t="s">
        <v>380</v>
      </c>
      <c r="H160" s="307"/>
      <c r="I160" s="307"/>
      <c r="J160" s="307">
        <v>39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18</v>
      </c>
      <c r="D161" s="306" t="s">
        <v>654</v>
      </c>
      <c r="E161" s="306"/>
      <c r="F161" s="306"/>
      <c r="G161" s="307" t="s">
        <v>387</v>
      </c>
      <c r="H161" s="307"/>
      <c r="I161" s="307"/>
      <c r="J161" s="307">
        <v>11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19</v>
      </c>
      <c r="D162" s="306" t="s">
        <v>654</v>
      </c>
      <c r="E162" s="306"/>
      <c r="F162" s="306"/>
      <c r="G162" s="307" t="s">
        <v>396</v>
      </c>
      <c r="H162" s="307"/>
      <c r="I162" s="307"/>
      <c r="J162" s="307">
        <v>10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 t="s">
        <v>247</v>
      </c>
      <c r="C164" s="215">
        <v>12</v>
      </c>
      <c r="D164" s="306" t="s">
        <v>661</v>
      </c>
      <c r="E164" s="306"/>
      <c r="F164" s="306"/>
      <c r="G164" s="307" t="s">
        <v>392</v>
      </c>
      <c r="H164" s="307"/>
      <c r="I164" s="307"/>
      <c r="J164" s="307">
        <v>59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18</v>
      </c>
      <c r="D165" s="306" t="s">
        <v>662</v>
      </c>
      <c r="E165" s="306"/>
      <c r="F165" s="306"/>
      <c r="G165" s="307" t="s">
        <v>630</v>
      </c>
      <c r="H165" s="307"/>
      <c r="I165" s="307"/>
      <c r="J165" s="307">
        <v>15</v>
      </c>
      <c r="K165" s="307"/>
      <c r="L165" s="306" t="s">
        <v>423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3</v>
      </c>
      <c r="D166" s="306" t="s">
        <v>663</v>
      </c>
      <c r="E166" s="306"/>
      <c r="F166" s="306"/>
      <c r="G166" s="307" t="s">
        <v>380</v>
      </c>
      <c r="H166" s="307"/>
      <c r="I166" s="307"/>
      <c r="J166" s="307">
        <v>48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9</v>
      </c>
      <c r="D167" s="306" t="s">
        <v>664</v>
      </c>
      <c r="E167" s="306"/>
      <c r="F167" s="306"/>
      <c r="G167" s="307" t="s">
        <v>377</v>
      </c>
      <c r="H167" s="307"/>
      <c r="I167" s="307"/>
      <c r="J167" s="307">
        <v>20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18</v>
      </c>
      <c r="D168" s="306" t="s">
        <v>665</v>
      </c>
      <c r="E168" s="306"/>
      <c r="F168" s="306"/>
      <c r="G168" s="307" t="s">
        <v>387</v>
      </c>
      <c r="H168" s="307"/>
      <c r="I168" s="307"/>
      <c r="J168" s="307">
        <v>14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13</v>
      </c>
      <c r="D169" s="306" t="s">
        <v>664</v>
      </c>
      <c r="E169" s="306"/>
      <c r="F169" s="306"/>
      <c r="G169" s="307" t="s">
        <v>436</v>
      </c>
      <c r="H169" s="307"/>
      <c r="I169" s="307"/>
      <c r="J169" s="307">
        <v>24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>
        <v>19</v>
      </c>
      <c r="D170" s="306" t="s">
        <v>665</v>
      </c>
      <c r="E170" s="306"/>
      <c r="F170" s="306"/>
      <c r="G170" s="307" t="s">
        <v>435</v>
      </c>
      <c r="H170" s="307"/>
      <c r="I170" s="307"/>
      <c r="J170" s="307">
        <v>10</v>
      </c>
      <c r="K170" s="307"/>
      <c r="L170" s="306" t="s">
        <v>423</v>
      </c>
      <c r="M170" s="306"/>
      <c r="N170" s="245"/>
    </row>
    <row r="171" spans="1:18" ht="14.25" x14ac:dyDescent="0.2">
      <c r="B171" s="216"/>
      <c r="C171" s="215">
        <v>12</v>
      </c>
      <c r="D171" s="308" t="s">
        <v>661</v>
      </c>
      <c r="E171" s="309"/>
      <c r="F171" s="310"/>
      <c r="G171" s="307" t="s">
        <v>392</v>
      </c>
      <c r="H171" s="307"/>
      <c r="I171" s="307"/>
      <c r="J171" s="307">
        <v>62</v>
      </c>
      <c r="K171" s="307"/>
      <c r="L171" s="306" t="s">
        <v>423</v>
      </c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02F609E6-9CB7-4DA3-84B1-7E33537AE3C3}">
      <formula1>INDIRECT(D63)</formula1>
    </dataValidation>
  </dataValidations>
  <hyperlinks>
    <hyperlink ref="J14:L15" location="Summary!A1" display="MTD Summary " xr:uid="{881E223D-1327-46FF-8785-56AE53BE5AC8}"/>
    <hyperlink ref="J16:L17" location="Graph!A1" display="MTD Trendings" xr:uid="{42509C14-1F11-4F13-9074-179020CBCCE7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E58C5D7-2DC3-4EBA-BFE7-3ACD857928C0}">
          <x14:formula1>
            <xm:f>List!$C$5:$C$14</xm:f>
          </x14:formula1>
          <xm:sqref>D63:D131</xm:sqref>
        </x14:dataValidation>
        <x14:dataValidation type="list" allowBlank="1" showInputMessage="1" showErrorMessage="1" xr:uid="{6ED32DD8-84E4-4654-854C-599888143D49}">
          <x14:formula1>
            <xm:f>List!$B$10:$B$12</xm:f>
          </x14:formula1>
          <xm:sqref>C63:C131</xm:sqref>
        </x14:dataValidation>
        <x14:dataValidation type="list" allowBlank="1" showInputMessage="1" showErrorMessage="1" xr:uid="{C7CB21F8-2757-42C2-B674-11A279765066}">
          <x14:formula1>
            <xm:f>List!$B$5:$B$8</xm:f>
          </x14:formula1>
          <xm:sqref>B63:B131</xm:sqref>
        </x14:dataValidation>
        <x14:dataValidation type="list" allowBlank="1" showInputMessage="1" showErrorMessage="1" xr:uid="{1F74C3CE-CC3F-4A78-BC0A-669516107CE5}">
          <x14:formula1>
            <xm:f>Sheet3!$C$3:$C$4</xm:f>
          </x14:formula1>
          <xm:sqref>M63:M132</xm:sqref>
        </x14:dataValidation>
        <x14:dataValidation type="list" allowBlank="1" showInputMessage="1" xr:uid="{D7C34C29-926E-48F5-B9FC-A5CA945A675E}">
          <x14:formula1>
            <xm:f>Sheet3!$D$3:$D$11</xm:f>
          </x14:formula1>
          <xm:sqref>C132</xm:sqref>
        </x14:dataValidation>
        <x14:dataValidation type="list" allowBlank="1" showInputMessage="1" showErrorMessage="1" xr:uid="{B63FC8C3-4B95-4C30-80A4-8EAAE1DE6321}">
          <x14:formula1>
            <xm:f>Sheet3!$B$3:$B$5</xm:f>
          </x14:formula1>
          <xm:sqref>B143:B165 B132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2206-B050-4942-A69E-DC0CE0D9DB90}">
  <sheetPr>
    <pageSetUpPr fitToPage="1"/>
  </sheetPr>
  <dimension ref="A1:R188"/>
  <sheetViews>
    <sheetView showGridLines="0" view="pageBreakPreview" topLeftCell="A19" zoomScale="80" zoomScaleNormal="90" zoomScaleSheetLayoutView="80" zoomScalePageLayoutView="80" workbookViewId="0">
      <selection activeCell="C19" sqref="C19:F1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9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1550.8200000000002</v>
      </c>
      <c r="K6" s="391"/>
      <c r="L6" s="391">
        <f ca="1">Summary!G17</f>
        <v>1528.52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130</v>
      </c>
      <c r="E7" s="84">
        <v>60</v>
      </c>
      <c r="F7" s="366">
        <v>60</v>
      </c>
      <c r="G7" s="367"/>
      <c r="H7" s="345">
        <f>SUM(D7:D10)</f>
        <v>500.22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130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130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110.22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130</v>
      </c>
      <c r="E11" s="90">
        <v>60</v>
      </c>
      <c r="F11" s="357">
        <v>60</v>
      </c>
      <c r="G11" s="358"/>
      <c r="H11" s="359">
        <f>SUM(D11:D14)</f>
        <v>550.33000000000004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140</v>
      </c>
      <c r="E12" s="92">
        <v>60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140</v>
      </c>
      <c r="E13" s="92">
        <v>60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140.33000000000001</v>
      </c>
      <c r="E14" s="94">
        <v>60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130</v>
      </c>
      <c r="E15" s="96">
        <v>60</v>
      </c>
      <c r="F15" s="343">
        <v>60</v>
      </c>
      <c r="G15" s="344"/>
      <c r="H15" s="345">
        <f>SUM(D15:D18)</f>
        <v>500.27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140</v>
      </c>
      <c r="E16" s="98">
        <v>60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120</v>
      </c>
      <c r="E17" s="98">
        <v>60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110.27</v>
      </c>
      <c r="E18" s="100">
        <v>60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1550.8200000000002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8</v>
      </c>
      <c r="D25" s="102"/>
      <c r="E25" s="56">
        <v>6</v>
      </c>
      <c r="F25" s="107">
        <v>20</v>
      </c>
      <c r="G25" s="381">
        <v>7</v>
      </c>
      <c r="H25" s="382"/>
      <c r="I25" s="111">
        <v>60</v>
      </c>
      <c r="J25" s="38">
        <f t="shared" ref="J25:J40" si="0">C25+E25+G25</f>
        <v>21</v>
      </c>
      <c r="K25" s="383">
        <f>D25+F25+I25</f>
        <v>80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6</v>
      </c>
      <c r="D26" s="103">
        <v>108</v>
      </c>
      <c r="E26" s="57">
        <v>5</v>
      </c>
      <c r="F26" s="108">
        <v>100</v>
      </c>
      <c r="G26" s="377">
        <v>5</v>
      </c>
      <c r="H26" s="378"/>
      <c r="I26" s="112">
        <v>146</v>
      </c>
      <c r="J26" s="25">
        <f t="shared" si="0"/>
        <v>16</v>
      </c>
      <c r="K26" s="379">
        <f t="shared" ref="K26:K39" si="1">D26+F26+I26</f>
        <v>354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170</v>
      </c>
      <c r="E27" s="57"/>
      <c r="F27" s="108">
        <v>126</v>
      </c>
      <c r="G27" s="377"/>
      <c r="H27" s="378"/>
      <c r="I27" s="112">
        <v>106</v>
      </c>
      <c r="J27" s="25">
        <f t="shared" si="0"/>
        <v>0</v>
      </c>
      <c r="K27" s="379">
        <f t="shared" si="1"/>
        <v>402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6</v>
      </c>
      <c r="D28" s="103"/>
      <c r="E28" s="57">
        <v>5</v>
      </c>
      <c r="F28" s="108"/>
      <c r="G28" s="377">
        <v>5</v>
      </c>
      <c r="H28" s="378"/>
      <c r="I28" s="112"/>
      <c r="J28" s="25">
        <f t="shared" si="0"/>
        <v>16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2</v>
      </c>
      <c r="D29" s="103"/>
      <c r="E29" s="57">
        <v>4</v>
      </c>
      <c r="F29" s="108"/>
      <c r="G29" s="377">
        <v>4</v>
      </c>
      <c r="H29" s="378"/>
      <c r="I29" s="112"/>
      <c r="J29" s="25">
        <f t="shared" si="0"/>
        <v>10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>
        <v>20</v>
      </c>
      <c r="E30" s="57">
        <v>1</v>
      </c>
      <c r="F30" s="108">
        <v>24</v>
      </c>
      <c r="G30" s="377"/>
      <c r="H30" s="378"/>
      <c r="I30" s="112"/>
      <c r="J30" s="25">
        <f t="shared" si="0"/>
        <v>2</v>
      </c>
      <c r="K30" s="379">
        <f t="shared" si="1"/>
        <v>44</v>
      </c>
      <c r="L30" s="380"/>
      <c r="N30" s="245"/>
    </row>
    <row r="31" spans="2:14" ht="14.1" customHeight="1" x14ac:dyDescent="0.2">
      <c r="B31" s="80" t="s">
        <v>313</v>
      </c>
      <c r="C31" s="45">
        <v>2</v>
      </c>
      <c r="D31" s="103"/>
      <c r="E31" s="57">
        <v>3</v>
      </c>
      <c r="F31" s="108"/>
      <c r="G31" s="377">
        <v>3</v>
      </c>
      <c r="H31" s="378"/>
      <c r="I31" s="112"/>
      <c r="J31" s="25">
        <f t="shared" si="0"/>
        <v>8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/>
      <c r="F32" s="108"/>
      <c r="G32" s="377">
        <v>2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>
        <v>1</v>
      </c>
      <c r="F34" s="108"/>
      <c r="G34" s="377"/>
      <c r="H34" s="378"/>
      <c r="I34" s="112"/>
      <c r="J34" s="25">
        <f t="shared" si="0"/>
        <v>1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46</v>
      </c>
      <c r="E36" s="58"/>
      <c r="F36" s="109">
        <v>12</v>
      </c>
      <c r="G36" s="377"/>
      <c r="H36" s="378"/>
      <c r="I36" s="113"/>
      <c r="J36" s="25">
        <f t="shared" si="0"/>
        <v>0</v>
      </c>
      <c r="K36" s="379">
        <f t="shared" si="1"/>
        <v>58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10</v>
      </c>
      <c r="E37" s="58"/>
      <c r="F37" s="109">
        <v>5</v>
      </c>
      <c r="G37" s="377"/>
      <c r="H37" s="378"/>
      <c r="I37" s="113">
        <v>6</v>
      </c>
      <c r="J37" s="25">
        <f t="shared" si="0"/>
        <v>0</v>
      </c>
      <c r="K37" s="379">
        <f t="shared" si="1"/>
        <v>21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165</v>
      </c>
      <c r="J38" s="25">
        <f t="shared" si="0"/>
        <v>0</v>
      </c>
      <c r="K38" s="379">
        <f t="shared" si="1"/>
        <v>165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165</v>
      </c>
      <c r="J39" s="25">
        <f t="shared" si="0"/>
        <v>0</v>
      </c>
      <c r="K39" s="379">
        <f t="shared" si="1"/>
        <v>165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94.08</v>
      </c>
      <c r="E40" s="59"/>
      <c r="F40" s="110">
        <v>140.76</v>
      </c>
      <c r="G40" s="444"/>
      <c r="H40" s="445"/>
      <c r="I40" s="114">
        <v>109.68</v>
      </c>
      <c r="J40" s="26">
        <f t="shared" si="0"/>
        <v>0</v>
      </c>
      <c r="K40" s="446">
        <f>D40+F40+I40</f>
        <v>344.52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26</v>
      </c>
      <c r="D41" s="106">
        <f>SUM(D25:D40)</f>
        <v>448.08</v>
      </c>
      <c r="E41" s="16">
        <f>SUM(E25:E40)</f>
        <v>25</v>
      </c>
      <c r="F41" s="106">
        <f>SUM(F25:F40)</f>
        <v>427.76</v>
      </c>
      <c r="G41" s="401">
        <f>SUM(G25:H40)</f>
        <v>26</v>
      </c>
      <c r="H41" s="401"/>
      <c r="I41" s="106">
        <f>SUM(I25:I40)</f>
        <v>757.68000000000006</v>
      </c>
      <c r="J41" s="16">
        <f>SUM(J25:J40)</f>
        <v>77</v>
      </c>
      <c r="K41" s="448">
        <f>SUM(K25:L40)</f>
        <v>1633.52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>
        <v>0.45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22.5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0.45</v>
      </c>
      <c r="G48" s="413">
        <v>0.1</v>
      </c>
      <c r="H48" s="414"/>
      <c r="I48" s="209">
        <v>0.4</v>
      </c>
      <c r="J48" s="209">
        <v>0</v>
      </c>
      <c r="K48" s="209">
        <v>0.1</v>
      </c>
      <c r="L48" s="209">
        <v>0.1</v>
      </c>
      <c r="M48" s="211">
        <v>0.2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72</v>
      </c>
      <c r="G49" s="409">
        <f>G48*100</f>
        <v>10</v>
      </c>
      <c r="H49" s="410"/>
      <c r="I49" s="40">
        <f>I48*100</f>
        <v>40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14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0.1</v>
      </c>
      <c r="D51" s="213">
        <v>0</v>
      </c>
      <c r="E51" s="214">
        <v>0.05</v>
      </c>
      <c r="F51" s="209">
        <v>0</v>
      </c>
      <c r="G51" s="413">
        <v>0</v>
      </c>
      <c r="H51" s="414"/>
      <c r="I51" s="209">
        <v>0</v>
      </c>
      <c r="J51" s="209">
        <v>0</v>
      </c>
      <c r="K51" s="209">
        <v>0.37</v>
      </c>
      <c r="L51" s="209">
        <v>0.39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7</v>
      </c>
      <c r="D52" s="41">
        <f>D51*70</f>
        <v>0</v>
      </c>
      <c r="E52" s="41">
        <f>E51*70</f>
        <v>3.5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92.5</v>
      </c>
      <c r="L52" s="41">
        <f>L51*250</f>
        <v>97.5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378</v>
      </c>
      <c r="F54" s="39" t="s">
        <v>335</v>
      </c>
      <c r="G54" s="188"/>
      <c r="H54" s="188"/>
      <c r="I54" s="30">
        <f>'8'!D54</f>
        <v>325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0</v>
      </c>
      <c r="D59" s="403"/>
      <c r="E59" s="404"/>
      <c r="F59" s="405" t="s">
        <v>347</v>
      </c>
      <c r="G59" s="406"/>
      <c r="H59" s="407">
        <f>IF(ISERROR(SUM(H58:I58)/$H$19),"",(SUM(H58:I58)/$H$19))</f>
        <v>0</v>
      </c>
      <c r="I59" s="408"/>
      <c r="J59" s="405" t="s">
        <v>348</v>
      </c>
      <c r="K59" s="406"/>
      <c r="L59" s="115">
        <f>IF(ISERROR(L58/$H$19),"",(L58/$H$19))</f>
        <v>0</v>
      </c>
      <c r="M59" s="116">
        <f>IF(ISERROR(M58/$H$19),"",(M58/$H$19))</f>
        <v>0</v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1.3298611111111107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11</v>
      </c>
      <c r="E64" s="293"/>
      <c r="F64" s="295"/>
      <c r="G64" s="293" t="s">
        <v>666</v>
      </c>
      <c r="H64" s="294"/>
      <c r="I64" s="294"/>
      <c r="J64" s="295"/>
      <c r="K64" s="238">
        <v>0.34375</v>
      </c>
      <c r="L64" s="238"/>
      <c r="M64" s="236" t="s">
        <v>598</v>
      </c>
      <c r="N64" s="237">
        <f t="shared" si="2"/>
        <v>0.65625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93"/>
      <c r="F65" s="295"/>
      <c r="G65" s="293" t="s">
        <v>667</v>
      </c>
      <c r="H65" s="294"/>
      <c r="I65" s="294"/>
      <c r="J65" s="295"/>
      <c r="K65" s="239">
        <v>0.27083333333333331</v>
      </c>
      <c r="L65" s="239">
        <v>0.3125</v>
      </c>
      <c r="M65" s="236" t="s">
        <v>598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93"/>
      <c r="F66" s="295"/>
      <c r="G66" s="293" t="s">
        <v>456</v>
      </c>
      <c r="H66" s="294"/>
      <c r="I66" s="294"/>
      <c r="J66" s="295"/>
      <c r="K66" s="239">
        <v>0.33333333333333331</v>
      </c>
      <c r="L66" s="239">
        <v>0.3611111111111111</v>
      </c>
      <c r="M66" s="236" t="s">
        <v>598</v>
      </c>
      <c r="N66" s="237">
        <f t="shared" si="2"/>
        <v>2.777777777777779E-2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>
        <v>0.47916666666666669</v>
      </c>
      <c r="L67" s="238">
        <v>0.54861111111111105</v>
      </c>
      <c r="M67" s="236" t="s">
        <v>598</v>
      </c>
      <c r="N67" s="237">
        <f t="shared" si="2"/>
        <v>6.9444444444444364E-2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29</v>
      </c>
      <c r="E68" s="293"/>
      <c r="F68" s="295"/>
      <c r="G68" s="293" t="s">
        <v>668</v>
      </c>
      <c r="H68" s="294"/>
      <c r="I68" s="294"/>
      <c r="J68" s="295"/>
      <c r="K68" s="239">
        <v>0.54166666666666663</v>
      </c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17</v>
      </c>
      <c r="C70" s="236" t="s">
        <v>25</v>
      </c>
      <c r="D70" s="236" t="s">
        <v>29</v>
      </c>
      <c r="E70" s="293" t="s">
        <v>141</v>
      </c>
      <c r="F70" s="295"/>
      <c r="G70" s="245"/>
      <c r="H70" t="s">
        <v>669</v>
      </c>
      <c r="K70" s="239">
        <v>0.73611111111111116</v>
      </c>
      <c r="L70" s="239">
        <v>0.77083333333333337</v>
      </c>
      <c r="M70" s="236" t="s">
        <v>9</v>
      </c>
      <c r="N70" s="237">
        <f t="shared" si="2"/>
        <v>3.472222222222221E-2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29</v>
      </c>
      <c r="E71" s="293" t="s">
        <v>141</v>
      </c>
      <c r="F71" s="295"/>
      <c r="G71" s="293" t="s">
        <v>670</v>
      </c>
      <c r="H71" s="294"/>
      <c r="I71" s="294"/>
      <c r="J71" s="295"/>
      <c r="K71" s="239">
        <v>0.77777777777777779</v>
      </c>
      <c r="L71" s="239">
        <v>0.82638888888888884</v>
      </c>
      <c r="M71" s="236" t="s">
        <v>9</v>
      </c>
      <c r="N71" s="237">
        <f t="shared" si="2"/>
        <v>4.8611111111111049E-2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293" t="s">
        <v>112</v>
      </c>
      <c r="F72" s="295"/>
      <c r="G72" s="293" t="s">
        <v>671</v>
      </c>
      <c r="H72" s="294"/>
      <c r="I72" s="294"/>
      <c r="J72" s="295"/>
      <c r="K72" s="239">
        <v>0.8125</v>
      </c>
      <c r="L72" s="239">
        <v>0.84722222222222221</v>
      </c>
      <c r="M72" s="236" t="s">
        <v>9</v>
      </c>
      <c r="N72" s="237">
        <f t="shared" si="2"/>
        <v>3.472222222222221E-2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20</v>
      </c>
      <c r="E73" s="293" t="s">
        <v>111</v>
      </c>
      <c r="F73" s="295"/>
      <c r="G73" s="293" t="s">
        <v>672</v>
      </c>
      <c r="H73" s="294"/>
      <c r="I73" s="294"/>
      <c r="J73" s="295"/>
      <c r="K73" s="239">
        <v>0.83333333333333337</v>
      </c>
      <c r="L73" s="239">
        <v>0.86805555555555547</v>
      </c>
      <c r="M73" s="236" t="s">
        <v>9</v>
      </c>
      <c r="N73" s="237">
        <f t="shared" si="2"/>
        <v>3.4722222222222099E-2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293"/>
      <c r="F74" s="295"/>
      <c r="G74" s="293" t="s">
        <v>357</v>
      </c>
      <c r="H74" s="294"/>
      <c r="I74" s="294"/>
      <c r="J74" s="295"/>
      <c r="K74" s="238">
        <v>0.66666666666666663</v>
      </c>
      <c r="L74" s="238">
        <v>0.6875</v>
      </c>
      <c r="M74" s="236" t="s">
        <v>9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293"/>
      <c r="F75" s="295"/>
      <c r="G75" s="293" t="s">
        <v>357</v>
      </c>
      <c r="H75" s="294"/>
      <c r="I75" s="294"/>
      <c r="J75" s="295"/>
      <c r="K75" s="239">
        <v>0.74305555555555547</v>
      </c>
      <c r="L75" s="239">
        <v>0.78472222222222221</v>
      </c>
      <c r="M75" s="236" t="s">
        <v>9</v>
      </c>
      <c r="N75" s="237">
        <f t="shared" si="2"/>
        <v>4.1666666666666741E-2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29</v>
      </c>
      <c r="E76" s="293" t="s">
        <v>141</v>
      </c>
      <c r="F76" s="295"/>
      <c r="G76" s="293" t="s">
        <v>673</v>
      </c>
      <c r="H76" s="294"/>
      <c r="I76" s="294"/>
      <c r="J76" s="295"/>
      <c r="K76" s="239">
        <v>0.84722222222222221</v>
      </c>
      <c r="L76" s="239">
        <v>0.92361111111111116</v>
      </c>
      <c r="M76" s="236" t="s">
        <v>9</v>
      </c>
      <c r="N76" s="237">
        <f t="shared" si="2"/>
        <v>7.6388888888888951E-2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293" t="s">
        <v>109</v>
      </c>
      <c r="F77" s="295"/>
      <c r="G77" s="293" t="s">
        <v>674</v>
      </c>
      <c r="H77" s="294"/>
      <c r="I77" s="294"/>
      <c r="J77" s="295"/>
      <c r="K77" s="238">
        <v>0.84722222222222221</v>
      </c>
      <c r="L77" s="238">
        <v>0.88888888888888884</v>
      </c>
      <c r="M77" s="236" t="s">
        <v>9</v>
      </c>
      <c r="N77" s="237">
        <f t="shared" si="2"/>
        <v>4.166666666666663E-2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6</v>
      </c>
      <c r="C79" s="236" t="s">
        <v>28</v>
      </c>
      <c r="D79" s="236" t="s">
        <v>15</v>
      </c>
      <c r="E79" s="293" t="s">
        <v>60</v>
      </c>
      <c r="F79" s="295"/>
      <c r="G79" s="293" t="s">
        <v>675</v>
      </c>
      <c r="H79" s="294"/>
      <c r="I79" s="294"/>
      <c r="J79" s="295"/>
      <c r="K79" s="239">
        <v>1</v>
      </c>
      <c r="L79" s="239"/>
      <c r="M79" s="236" t="s">
        <v>13</v>
      </c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15</v>
      </c>
      <c r="E80" s="293" t="s">
        <v>60</v>
      </c>
      <c r="F80" s="295"/>
      <c r="G80" s="293" t="s">
        <v>675</v>
      </c>
      <c r="H80" s="294"/>
      <c r="I80" s="294"/>
      <c r="J80" s="295"/>
      <c r="K80" s="239">
        <v>0.96527777777777779</v>
      </c>
      <c r="L80" s="239"/>
      <c r="M80" s="236" t="s">
        <v>13</v>
      </c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15</v>
      </c>
      <c r="E81" s="293" t="s">
        <v>60</v>
      </c>
      <c r="F81" s="295"/>
      <c r="G81" s="293" t="s">
        <v>675</v>
      </c>
      <c r="H81" s="294"/>
      <c r="I81" s="294"/>
      <c r="J81" s="295"/>
      <c r="K81" s="239">
        <v>1.0277777777777779</v>
      </c>
      <c r="L81" s="239"/>
      <c r="M81" s="236" t="s">
        <v>13</v>
      </c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15</v>
      </c>
      <c r="E82" s="293"/>
      <c r="F82" s="295"/>
      <c r="G82" s="293" t="s">
        <v>676</v>
      </c>
      <c r="H82" s="294"/>
      <c r="I82" s="294"/>
      <c r="J82" s="295"/>
      <c r="K82" s="239">
        <v>4.1666666666666664E-2</v>
      </c>
      <c r="L82" s="239"/>
      <c r="M82" s="236" t="s">
        <v>13</v>
      </c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 t="s">
        <v>677</v>
      </c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29</v>
      </c>
      <c r="E84" s="293" t="s">
        <v>108</v>
      </c>
      <c r="F84" s="295"/>
      <c r="G84" s="293" t="s">
        <v>678</v>
      </c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 t="s">
        <v>679</v>
      </c>
      <c r="H85" s="294"/>
      <c r="I85" s="294"/>
      <c r="J85" s="295"/>
      <c r="K85" s="239">
        <v>6.9444444444444434E-2</v>
      </c>
      <c r="L85" s="239">
        <v>0.125</v>
      </c>
      <c r="M85" s="236" t="s">
        <v>9</v>
      </c>
      <c r="N85" s="237">
        <f t="shared" si="2"/>
        <v>5.5555555555555566E-2</v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 t="s">
        <v>23</v>
      </c>
      <c r="E86" s="293" t="s">
        <v>109</v>
      </c>
      <c r="F86" s="295"/>
      <c r="G86" s="293" t="s">
        <v>680</v>
      </c>
      <c r="H86" s="294"/>
      <c r="I86" s="294"/>
      <c r="J86" s="295"/>
      <c r="K86" s="239">
        <v>0.94444444444444453</v>
      </c>
      <c r="L86" s="239">
        <v>1.0138888888888888</v>
      </c>
      <c r="M86" s="236" t="s">
        <v>9</v>
      </c>
      <c r="N86" s="237">
        <f t="shared" si="2"/>
        <v>6.9444444444444309E-2</v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 t="s">
        <v>23</v>
      </c>
      <c r="E87" s="293"/>
      <c r="F87" s="295"/>
      <c r="G87" s="293" t="s">
        <v>357</v>
      </c>
      <c r="H87" s="294"/>
      <c r="I87" s="294"/>
      <c r="J87" s="295"/>
      <c r="K87" s="239">
        <v>1.0277777777777779</v>
      </c>
      <c r="L87" s="239">
        <v>0.10416666666666667</v>
      </c>
      <c r="M87" s="236" t="s">
        <v>9</v>
      </c>
      <c r="N87" s="237">
        <f t="shared" si="2"/>
        <v>7.6388888888888729E-2</v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533</v>
      </c>
      <c r="D136" s="452"/>
      <c r="E136" s="434" t="s">
        <v>366</v>
      </c>
      <c r="F136" s="435"/>
      <c r="G136" s="423" t="s">
        <v>571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 t="s">
        <v>419</v>
      </c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3</v>
      </c>
      <c r="D144" s="306" t="s">
        <v>681</v>
      </c>
      <c r="E144" s="306"/>
      <c r="F144" s="306"/>
      <c r="G144" s="307" t="s">
        <v>380</v>
      </c>
      <c r="H144" s="307"/>
      <c r="I144" s="307"/>
      <c r="J144" s="307">
        <v>41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403</v>
      </c>
      <c r="D145" s="306" t="s">
        <v>682</v>
      </c>
      <c r="E145" s="306"/>
      <c r="F145" s="306"/>
      <c r="G145" s="307" t="s">
        <v>377</v>
      </c>
      <c r="H145" s="307"/>
      <c r="I145" s="307"/>
      <c r="J145" s="307">
        <v>22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306" t="s">
        <v>683</v>
      </c>
      <c r="E146" s="306"/>
      <c r="F146" s="306"/>
      <c r="G146" s="307" t="s">
        <v>392</v>
      </c>
      <c r="H146" s="307"/>
      <c r="I146" s="307"/>
      <c r="J146" s="307">
        <v>50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06" t="s">
        <v>684</v>
      </c>
      <c r="E147" s="306"/>
      <c r="F147" s="306"/>
      <c r="G147" s="307" t="s">
        <v>648</v>
      </c>
      <c r="H147" s="307"/>
      <c r="I147" s="307"/>
      <c r="J147" s="307">
        <v>21</v>
      </c>
      <c r="K147" s="307"/>
      <c r="L147" s="306" t="s">
        <v>685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306" t="s">
        <v>686</v>
      </c>
      <c r="E148" s="306"/>
      <c r="F148" s="306"/>
      <c r="G148" s="307" t="s">
        <v>498</v>
      </c>
      <c r="H148" s="307"/>
      <c r="I148" s="307"/>
      <c r="J148" s="307">
        <v>19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306" t="s">
        <v>687</v>
      </c>
      <c r="E149" s="306"/>
      <c r="F149" s="306"/>
      <c r="G149" s="307" t="s">
        <v>630</v>
      </c>
      <c r="H149" s="307"/>
      <c r="I149" s="307"/>
      <c r="J149" s="307">
        <v>14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18</v>
      </c>
      <c r="D150" s="306" t="s">
        <v>688</v>
      </c>
      <c r="E150" s="306"/>
      <c r="F150" s="306"/>
      <c r="G150" s="307" t="s">
        <v>380</v>
      </c>
      <c r="H150" s="307"/>
      <c r="I150" s="307"/>
      <c r="J150" s="307">
        <v>18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23</v>
      </c>
      <c r="D151" s="306" t="s">
        <v>689</v>
      </c>
      <c r="E151" s="306"/>
      <c r="F151" s="306"/>
      <c r="G151" s="307" t="s">
        <v>389</v>
      </c>
      <c r="H151" s="307"/>
      <c r="I151" s="307"/>
      <c r="J151" s="307">
        <v>398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13</v>
      </c>
      <c r="D152" s="306" t="s">
        <v>682</v>
      </c>
      <c r="E152" s="306"/>
      <c r="F152" s="306"/>
      <c r="G152" s="307" t="s">
        <v>473</v>
      </c>
      <c r="H152" s="307"/>
      <c r="I152" s="307"/>
      <c r="J152" s="307">
        <v>33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19</v>
      </c>
      <c r="D153" s="306" t="s">
        <v>688</v>
      </c>
      <c r="E153" s="306"/>
      <c r="F153" s="306"/>
      <c r="G153" s="307" t="s">
        <v>474</v>
      </c>
      <c r="H153" s="307"/>
      <c r="I153" s="307"/>
      <c r="J153" s="307">
        <v>16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 t="s">
        <v>246</v>
      </c>
      <c r="C155" s="215">
        <v>3</v>
      </c>
      <c r="D155" s="306" t="s">
        <v>690</v>
      </c>
      <c r="E155" s="306"/>
      <c r="F155" s="306"/>
      <c r="G155" s="307" t="s">
        <v>380</v>
      </c>
      <c r="H155" s="307"/>
      <c r="I155" s="307"/>
      <c r="J155" s="307" t="s">
        <v>691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9</v>
      </c>
      <c r="D156" s="306" t="s">
        <v>692</v>
      </c>
      <c r="E156" s="306"/>
      <c r="F156" s="306"/>
      <c r="G156" s="307" t="s">
        <v>377</v>
      </c>
      <c r="H156" s="307"/>
      <c r="I156" s="307"/>
      <c r="J156" s="307">
        <v>23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24</v>
      </c>
      <c r="D157" s="306" t="s">
        <v>693</v>
      </c>
      <c r="E157" s="306"/>
      <c r="F157" s="306"/>
      <c r="G157" s="307" t="s">
        <v>389</v>
      </c>
      <c r="H157" s="307"/>
      <c r="I157" s="307"/>
      <c r="J157" s="307">
        <v>315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306" t="s">
        <v>694</v>
      </c>
      <c r="E158" s="306"/>
      <c r="F158" s="306"/>
      <c r="G158" s="307" t="s">
        <v>442</v>
      </c>
      <c r="H158" s="307"/>
      <c r="I158" s="307"/>
      <c r="J158" s="307">
        <v>16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14</v>
      </c>
      <c r="D159" s="306" t="s">
        <v>695</v>
      </c>
      <c r="E159" s="306"/>
      <c r="F159" s="306"/>
      <c r="G159" s="307" t="s">
        <v>498</v>
      </c>
      <c r="H159" s="307"/>
      <c r="I159" s="307"/>
      <c r="J159" s="307">
        <v>24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306" t="s">
        <v>694</v>
      </c>
      <c r="E160" s="306"/>
      <c r="F160" s="306"/>
      <c r="G160" s="307" t="s">
        <v>385</v>
      </c>
      <c r="H160" s="307"/>
      <c r="I160" s="307"/>
      <c r="J160" s="307">
        <v>14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306" t="s">
        <v>692</v>
      </c>
      <c r="E161" s="306"/>
      <c r="F161" s="306"/>
      <c r="G161" s="307" t="s">
        <v>386</v>
      </c>
      <c r="H161" s="307"/>
      <c r="I161" s="307"/>
      <c r="J161" s="307">
        <v>26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 t="s">
        <v>247</v>
      </c>
      <c r="C163" s="215">
        <v>18</v>
      </c>
      <c r="D163" s="306" t="s">
        <v>696</v>
      </c>
      <c r="E163" s="306"/>
      <c r="F163" s="306"/>
      <c r="G163" s="307" t="s">
        <v>630</v>
      </c>
      <c r="H163" s="307"/>
      <c r="I163" s="307"/>
      <c r="J163" s="307">
        <v>14</v>
      </c>
      <c r="K163" s="307"/>
      <c r="L163" s="306" t="s">
        <v>423</v>
      </c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12</v>
      </c>
      <c r="D164" s="306" t="s">
        <v>697</v>
      </c>
      <c r="E164" s="306"/>
      <c r="F164" s="306"/>
      <c r="G164" s="307" t="s">
        <v>392</v>
      </c>
      <c r="H164" s="307"/>
      <c r="I164" s="307"/>
      <c r="J164" s="307">
        <v>58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3</v>
      </c>
      <c r="D165" s="306" t="s">
        <v>698</v>
      </c>
      <c r="E165" s="306"/>
      <c r="F165" s="306"/>
      <c r="G165" s="307" t="s">
        <v>380</v>
      </c>
      <c r="H165" s="307"/>
      <c r="I165" s="307"/>
      <c r="J165" s="307">
        <v>50</v>
      </c>
      <c r="K165" s="307"/>
      <c r="L165" s="306" t="s">
        <v>423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9</v>
      </c>
      <c r="D166" s="306" t="s">
        <v>699</v>
      </c>
      <c r="E166" s="306"/>
      <c r="F166" s="306"/>
      <c r="G166" s="307" t="s">
        <v>377</v>
      </c>
      <c r="H166" s="307"/>
      <c r="I166" s="307"/>
      <c r="J166" s="307">
        <v>28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19</v>
      </c>
      <c r="D167" s="306" t="s">
        <v>700</v>
      </c>
      <c r="E167" s="306"/>
      <c r="F167" s="306"/>
      <c r="G167" s="307" t="s">
        <v>377</v>
      </c>
      <c r="H167" s="307"/>
      <c r="I167" s="307"/>
      <c r="J167" s="307">
        <v>13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13</v>
      </c>
      <c r="D168" s="306" t="s">
        <v>699</v>
      </c>
      <c r="E168" s="306"/>
      <c r="F168" s="306"/>
      <c r="G168" s="307" t="s">
        <v>386</v>
      </c>
      <c r="H168" s="307"/>
      <c r="I168" s="307"/>
      <c r="J168" s="307">
        <v>34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18</v>
      </c>
      <c r="D169" s="306" t="s">
        <v>700</v>
      </c>
      <c r="E169" s="306"/>
      <c r="F169" s="306"/>
      <c r="G169" s="307" t="s">
        <v>701</v>
      </c>
      <c r="H169" s="307"/>
      <c r="I169" s="307"/>
      <c r="J169" s="307">
        <v>14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 t="s">
        <v>582</v>
      </c>
      <c r="D170" s="306" t="s">
        <v>697</v>
      </c>
      <c r="E170" s="306"/>
      <c r="F170" s="306"/>
      <c r="G170" s="307" t="s">
        <v>392</v>
      </c>
      <c r="H170" s="307"/>
      <c r="I170" s="307"/>
      <c r="J170" s="307">
        <v>60</v>
      </c>
      <c r="K170" s="307"/>
      <c r="L170" s="306" t="s">
        <v>423</v>
      </c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24C27E5A-EEA0-48EC-B064-EAE617B2F25A}">
      <formula1>INDIRECT(D63)</formula1>
    </dataValidation>
  </dataValidations>
  <hyperlinks>
    <hyperlink ref="J14:L15" location="Summary!A1" display="MTD Summary " xr:uid="{9979C8EE-81BD-4B5F-A459-57CF88457825}"/>
    <hyperlink ref="J16:L17" location="Graph!A1" display="MTD Trendings" xr:uid="{0153F6C1-BC29-4891-9D30-704E1A926FA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B2BB8C9-A0AB-4156-A7A5-0B6BDC2C6E5D}">
          <x14:formula1>
            <xm:f>Sheet3!$B$3:$B$5</xm:f>
          </x14:formula1>
          <xm:sqref>B143:B165 B132</xm:sqref>
        </x14:dataValidation>
        <x14:dataValidation type="list" allowBlank="1" showInputMessage="1" xr:uid="{18CF275F-EF87-48CD-9202-FED0C5577247}">
          <x14:formula1>
            <xm:f>Sheet3!$D$3:$D$11</xm:f>
          </x14:formula1>
          <xm:sqref>C132</xm:sqref>
        </x14:dataValidation>
        <x14:dataValidation type="list" allowBlank="1" showInputMessage="1" showErrorMessage="1" xr:uid="{167866AB-DD25-4CE8-8F98-3269B0E1DD66}">
          <x14:formula1>
            <xm:f>Sheet3!$C$3:$C$4</xm:f>
          </x14:formula1>
          <xm:sqref>M63:M132</xm:sqref>
        </x14:dataValidation>
        <x14:dataValidation type="list" allowBlank="1" showInputMessage="1" showErrorMessage="1" xr:uid="{F466BD64-1B31-43AC-83DB-ADCE9D8B9C72}">
          <x14:formula1>
            <xm:f>List!$B$5:$B$8</xm:f>
          </x14:formula1>
          <xm:sqref>B63:B131</xm:sqref>
        </x14:dataValidation>
        <x14:dataValidation type="list" allowBlank="1" showInputMessage="1" showErrorMessage="1" xr:uid="{458933DE-9811-488B-8BF7-9FCB40031AC7}">
          <x14:formula1>
            <xm:f>List!$B$10:$B$12</xm:f>
          </x14:formula1>
          <xm:sqref>C63:C131</xm:sqref>
        </x14:dataValidation>
        <x14:dataValidation type="list" allowBlank="1" showInputMessage="1" showErrorMessage="1" xr:uid="{79CF0DBC-3292-4A1D-B993-24154849F611}">
          <x14:formula1>
            <xm:f>List!$C$5:$C$14</xm:f>
          </x14:formula1>
          <xm:sqref>D63:D131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D11-CB81-4936-8280-942620E041D6}">
  <sheetPr>
    <pageSetUpPr fitToPage="1"/>
  </sheetPr>
  <dimension ref="A1:R188"/>
  <sheetViews>
    <sheetView showGridLines="0" view="pageBreakPreview" zoomScale="105" zoomScaleNormal="90" zoomScaleSheetLayoutView="105" zoomScalePageLayoutView="80" workbookViewId="0">
      <selection activeCell="I38" sqref="I38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10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1700.6</v>
      </c>
      <c r="K6" s="391"/>
      <c r="L6" s="391">
        <f ca="1">Summary!G18</f>
        <v>1465.0400000000002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110</v>
      </c>
      <c r="E7" s="84">
        <v>60</v>
      </c>
      <c r="F7" s="366">
        <v>60</v>
      </c>
      <c r="G7" s="367"/>
      <c r="H7" s="345">
        <f>SUM(D7:D10)</f>
        <v>550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150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130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160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130</v>
      </c>
      <c r="E11" s="90">
        <v>60</v>
      </c>
      <c r="F11" s="357">
        <v>60</v>
      </c>
      <c r="G11" s="358"/>
      <c r="H11" s="359">
        <f>SUM(D11:D14)</f>
        <v>550.33000000000004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140</v>
      </c>
      <c r="E12" s="92">
        <v>60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140</v>
      </c>
      <c r="E13" s="92">
        <v>60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140.33000000000001</v>
      </c>
      <c r="E14" s="94">
        <v>60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130</v>
      </c>
      <c r="E15" s="96">
        <v>60</v>
      </c>
      <c r="F15" s="343">
        <v>60</v>
      </c>
      <c r="G15" s="344"/>
      <c r="H15" s="345">
        <f>SUM(D15:D18)</f>
        <v>600.27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130</v>
      </c>
      <c r="E16" s="98">
        <v>60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160</v>
      </c>
      <c r="E17" s="98">
        <v>60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180.27</v>
      </c>
      <c r="E18" s="100">
        <v>60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1700.6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6</v>
      </c>
      <c r="D25" s="102">
        <v>80</v>
      </c>
      <c r="E25" s="56">
        <v>7</v>
      </c>
      <c r="F25" s="107">
        <v>100</v>
      </c>
      <c r="G25" s="381">
        <v>7</v>
      </c>
      <c r="H25" s="382"/>
      <c r="I25" s="111">
        <v>50</v>
      </c>
      <c r="J25" s="38">
        <f t="shared" ref="J25:J40" si="0">C25+E25+G25</f>
        <v>20</v>
      </c>
      <c r="K25" s="383">
        <f>D25+F25+I25</f>
        <v>230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6</v>
      </c>
      <c r="D26" s="103">
        <v>172</v>
      </c>
      <c r="E26" s="57">
        <v>6</v>
      </c>
      <c r="F26" s="108">
        <v>72</v>
      </c>
      <c r="G26" s="377">
        <v>5</v>
      </c>
      <c r="H26" s="378"/>
      <c r="I26" s="112">
        <v>78</v>
      </c>
      <c r="J26" s="25">
        <f t="shared" si="0"/>
        <v>17</v>
      </c>
      <c r="K26" s="379">
        <f t="shared" ref="K26:K39" si="1">D26+F26+I26</f>
        <v>322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78</v>
      </c>
      <c r="E27" s="57"/>
      <c r="F27" s="108">
        <v>224</v>
      </c>
      <c r="G27" s="377"/>
      <c r="H27" s="378"/>
      <c r="I27" s="112">
        <v>188</v>
      </c>
      <c r="J27" s="25">
        <f t="shared" si="0"/>
        <v>0</v>
      </c>
      <c r="K27" s="379">
        <f t="shared" si="1"/>
        <v>490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6</v>
      </c>
      <c r="D28" s="103"/>
      <c r="E28" s="57">
        <v>6</v>
      </c>
      <c r="F28" s="108"/>
      <c r="G28" s="377">
        <v>5</v>
      </c>
      <c r="H28" s="378"/>
      <c r="I28" s="112"/>
      <c r="J28" s="25">
        <f t="shared" si="0"/>
        <v>17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3</v>
      </c>
      <c r="D29" s="103"/>
      <c r="E29" s="57">
        <v>5</v>
      </c>
      <c r="F29" s="108"/>
      <c r="G29" s="377">
        <v>3</v>
      </c>
      <c r="H29" s="378"/>
      <c r="I29" s="112"/>
      <c r="J29" s="25">
        <f t="shared" si="0"/>
        <v>11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>
        <v>1</v>
      </c>
      <c r="F30" s="108"/>
      <c r="G30" s="377"/>
      <c r="H30" s="378"/>
      <c r="I30" s="112"/>
      <c r="J30" s="25">
        <f t="shared" si="0"/>
        <v>1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>
        <v>3</v>
      </c>
      <c r="D31" s="103"/>
      <c r="E31" s="57">
        <v>2</v>
      </c>
      <c r="F31" s="108"/>
      <c r="G31" s="377">
        <v>3</v>
      </c>
      <c r="H31" s="378"/>
      <c r="I31" s="112"/>
      <c r="J31" s="25">
        <f t="shared" si="0"/>
        <v>8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1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22</v>
      </c>
      <c r="E36" s="58"/>
      <c r="F36" s="109">
        <v>16</v>
      </c>
      <c r="G36" s="377"/>
      <c r="H36" s="378"/>
      <c r="I36" s="113"/>
      <c r="J36" s="25">
        <f t="shared" si="0"/>
        <v>0</v>
      </c>
      <c r="K36" s="379">
        <f t="shared" si="1"/>
        <v>38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11</v>
      </c>
      <c r="E37" s="58"/>
      <c r="F37" s="109">
        <v>5</v>
      </c>
      <c r="G37" s="377"/>
      <c r="H37" s="378"/>
      <c r="I37" s="113"/>
      <c r="J37" s="25">
        <f t="shared" si="0"/>
        <v>0</v>
      </c>
      <c r="K37" s="379">
        <f t="shared" si="1"/>
        <v>16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86.88</v>
      </c>
      <c r="J38" s="25">
        <f t="shared" si="0"/>
        <v>0</v>
      </c>
      <c r="K38" s="379">
        <f t="shared" si="1"/>
        <v>86.88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150</v>
      </c>
      <c r="J39" s="25">
        <f t="shared" si="0"/>
        <v>0</v>
      </c>
      <c r="K39" s="379">
        <f t="shared" si="1"/>
        <v>150</v>
      </c>
      <c r="L39" s="380"/>
      <c r="N39"/>
    </row>
    <row r="40" spans="1:16" ht="14.1" customHeight="1" x14ac:dyDescent="0.2">
      <c r="B40" s="81" t="s">
        <v>322</v>
      </c>
      <c r="C40" s="47"/>
      <c r="D40" s="105">
        <v>99.6</v>
      </c>
      <c r="E40" s="59"/>
      <c r="F40" s="110">
        <v>106.56</v>
      </c>
      <c r="G40" s="444"/>
      <c r="H40" s="445"/>
      <c r="I40" s="114"/>
      <c r="J40" s="26">
        <f t="shared" si="0"/>
        <v>0</v>
      </c>
      <c r="K40" s="446">
        <f>D40+F40+I40</f>
        <v>206.16</v>
      </c>
      <c r="L40" s="447"/>
      <c r="N40"/>
    </row>
    <row r="41" spans="1:16" ht="17.25" customHeight="1" x14ac:dyDescent="0.2">
      <c r="B41" s="15" t="s">
        <v>244</v>
      </c>
      <c r="C41" s="16">
        <f>SUM(C25:C40)</f>
        <v>25</v>
      </c>
      <c r="D41" s="106">
        <f>SUM(D25:D40)</f>
        <v>462.6</v>
      </c>
      <c r="E41" s="16">
        <f>SUM(E25:E40)</f>
        <v>28</v>
      </c>
      <c r="F41" s="106">
        <f>SUM(F25:F40)</f>
        <v>523.55999999999995</v>
      </c>
      <c r="G41" s="401">
        <f>SUM(G25:H40)</f>
        <v>24</v>
      </c>
      <c r="H41" s="401"/>
      <c r="I41" s="106">
        <f>SUM(I25:I40)</f>
        <v>552.88</v>
      </c>
      <c r="J41" s="16">
        <f>SUM(J25:J40)</f>
        <v>77</v>
      </c>
      <c r="K41" s="448">
        <f>SUM(K25:L40)</f>
        <v>1539.0400000000002</v>
      </c>
      <c r="L41" s="448"/>
      <c r="N41" s="244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>
        <v>0.45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22.5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0.75</v>
      </c>
      <c r="G48" s="413">
        <v>0.1</v>
      </c>
      <c r="H48" s="414"/>
      <c r="I48" s="209">
        <v>0.4</v>
      </c>
      <c r="J48" s="209">
        <v>0</v>
      </c>
      <c r="K48" s="209">
        <v>0.2</v>
      </c>
      <c r="L48" s="209">
        <v>0.1</v>
      </c>
      <c r="M48" s="211">
        <v>0.1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120</v>
      </c>
      <c r="G49" s="409">
        <f>G48*100</f>
        <v>10</v>
      </c>
      <c r="H49" s="410"/>
      <c r="I49" s="40">
        <f>I48*100</f>
        <v>40</v>
      </c>
      <c r="J49" s="40">
        <f>J48*150</f>
        <v>0</v>
      </c>
      <c r="K49" s="40">
        <f>K48*70</f>
        <v>14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0.1</v>
      </c>
      <c r="D51" s="213">
        <v>0.1</v>
      </c>
      <c r="E51" s="214">
        <v>0.1</v>
      </c>
      <c r="F51" s="209"/>
      <c r="G51" s="413"/>
      <c r="H51" s="414"/>
      <c r="I51" s="209">
        <v>0</v>
      </c>
      <c r="J51" s="209">
        <v>0</v>
      </c>
      <c r="K51" s="209">
        <v>0.8</v>
      </c>
      <c r="L51" s="209">
        <v>0.4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7</v>
      </c>
      <c r="D52" s="41">
        <f>D51*70</f>
        <v>7</v>
      </c>
      <c r="E52" s="41">
        <f>E51*70</f>
        <v>7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200</v>
      </c>
      <c r="L52" s="41">
        <f>L51*250</f>
        <v>100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546.5</v>
      </c>
      <c r="F54" s="39" t="s">
        <v>335</v>
      </c>
      <c r="G54" s="188"/>
      <c r="H54" s="188"/>
      <c r="I54" s="30">
        <f>'9'!D54</f>
        <v>378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>
        <v>170800</v>
      </c>
      <c r="D58" s="60">
        <v>15260</v>
      </c>
      <c r="E58" s="124">
        <f>SUM(C58:D58)</f>
        <v>186060</v>
      </c>
      <c r="F58" s="396"/>
      <c r="G58" s="397"/>
      <c r="H58" s="60">
        <v>3654</v>
      </c>
      <c r="I58" s="61">
        <v>2529</v>
      </c>
      <c r="J58" s="393"/>
      <c r="K58" s="399"/>
      <c r="L58" s="60">
        <f>N58*H19</f>
        <v>6632.3399999999992</v>
      </c>
      <c r="M58" s="61">
        <f>L58/3</f>
        <v>2210.7799999999997</v>
      </c>
      <c r="N58" s="250">
        <v>3.9</v>
      </c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109.40844407856052</v>
      </c>
      <c r="D59" s="403"/>
      <c r="E59" s="404"/>
      <c r="F59" s="405" t="s">
        <v>347</v>
      </c>
      <c r="G59" s="406"/>
      <c r="H59" s="407">
        <f>IF(ISERROR(SUM(H58:I58)/$H$19),"",(SUM(H58:I58)/$H$19))</f>
        <v>3.6357756086087267</v>
      </c>
      <c r="I59" s="408"/>
      <c r="J59" s="405" t="s">
        <v>348</v>
      </c>
      <c r="K59" s="406"/>
      <c r="L59" s="115">
        <f>IF(ISERROR(L58/$H$19),"",(L58/$H$19))</f>
        <v>3.9</v>
      </c>
      <c r="M59" s="116">
        <f>IF(ISERROR(M58/$H$19),"",(M58/$H$19))</f>
        <v>1.2999999999999998</v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0.78472222222222221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293"/>
      <c r="F63" s="295"/>
      <c r="G63" s="293" t="s">
        <v>702</v>
      </c>
      <c r="H63" s="294"/>
      <c r="I63" s="294"/>
      <c r="J63" s="295"/>
      <c r="K63" s="238">
        <v>0.27083333333333331</v>
      </c>
      <c r="L63" s="238">
        <v>0.3125</v>
      </c>
      <c r="M63" s="236" t="s">
        <v>9</v>
      </c>
      <c r="N63" s="237">
        <f t="shared" ref="N63:N126" si="2">IF(M63="No","",IF(M63="Yes",(L63-K63+(L63&lt;K63)),""))</f>
        <v>4.1666666666666685E-2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23</v>
      </c>
      <c r="E64" s="293" t="s">
        <v>107</v>
      </c>
      <c r="F64" s="295"/>
      <c r="G64" s="293" t="s">
        <v>414</v>
      </c>
      <c r="H64" s="294"/>
      <c r="I64" s="294"/>
      <c r="J64" s="295"/>
      <c r="K64" s="238">
        <v>0.43055555555555558</v>
      </c>
      <c r="L64" s="238">
        <v>0.46527777777777773</v>
      </c>
      <c r="M64" s="236" t="s">
        <v>9</v>
      </c>
      <c r="N64" s="237">
        <f t="shared" si="2"/>
        <v>3.4722222222222154E-2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93"/>
      <c r="F65" s="295"/>
      <c r="G65" s="293" t="s">
        <v>703</v>
      </c>
      <c r="H65" s="294"/>
      <c r="I65" s="294"/>
      <c r="J65" s="295"/>
      <c r="K65" s="239">
        <v>0.43055555555555558</v>
      </c>
      <c r="L65" s="239">
        <v>0.46527777777777773</v>
      </c>
      <c r="M65" s="236" t="s">
        <v>9</v>
      </c>
      <c r="N65" s="237">
        <f t="shared" si="2"/>
        <v>3.4722222222222154E-2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93"/>
      <c r="F66" s="295"/>
      <c r="G66" s="293" t="s">
        <v>459</v>
      </c>
      <c r="H66" s="294"/>
      <c r="I66" s="294"/>
      <c r="J66" s="295"/>
      <c r="K66" s="239">
        <v>0.31944444444444448</v>
      </c>
      <c r="L66" s="239">
        <v>0.43055555555555558</v>
      </c>
      <c r="M66" s="236" t="s">
        <v>9</v>
      </c>
      <c r="N66" s="237">
        <f t="shared" si="2"/>
        <v>0.1111111111111111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>
        <v>0.49305555555555558</v>
      </c>
      <c r="L67" s="238">
        <v>0.55555555555555558</v>
      </c>
      <c r="M67" s="236" t="s">
        <v>9</v>
      </c>
      <c r="N67" s="237">
        <f t="shared" si="2"/>
        <v>6.25E-2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293" t="s">
        <v>107</v>
      </c>
      <c r="F68" s="295"/>
      <c r="G68" s="293" t="s">
        <v>704</v>
      </c>
      <c r="H68" s="294"/>
      <c r="I68" s="294"/>
      <c r="J68" s="295"/>
      <c r="K68" s="239">
        <v>0.45833333333333331</v>
      </c>
      <c r="L68" s="239">
        <v>0.57638888888888895</v>
      </c>
      <c r="M68" s="236" t="s">
        <v>9</v>
      </c>
      <c r="N68" s="237">
        <f t="shared" si="2"/>
        <v>0.11805555555555564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17</v>
      </c>
      <c r="C70" s="236" t="s">
        <v>25</v>
      </c>
      <c r="D70" s="236" t="s">
        <v>20</v>
      </c>
      <c r="E70" s="293"/>
      <c r="F70" s="295"/>
      <c r="G70" s="245"/>
      <c r="H70" t="s">
        <v>705</v>
      </c>
      <c r="K70" s="239">
        <v>0.84027777777777779</v>
      </c>
      <c r="L70" s="239">
        <v>0.84722222222222221</v>
      </c>
      <c r="M70" s="236" t="s">
        <v>9</v>
      </c>
      <c r="N70" s="237">
        <f t="shared" si="2"/>
        <v>6.9444444444444198E-3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93"/>
      <c r="F71" s="295"/>
      <c r="G71" s="293" t="s">
        <v>706</v>
      </c>
      <c r="H71" s="294"/>
      <c r="I71" s="294"/>
      <c r="J71" s="295"/>
      <c r="K71" s="239">
        <v>0.64583333333333337</v>
      </c>
      <c r="L71" s="239">
        <v>0.67361111111111116</v>
      </c>
      <c r="M71" s="236" t="s">
        <v>9</v>
      </c>
      <c r="N71" s="237">
        <f t="shared" si="2"/>
        <v>2.777777777777779E-2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>
        <v>0.75</v>
      </c>
      <c r="L72" s="239">
        <v>0.78472222222222221</v>
      </c>
      <c r="M72" s="236" t="s">
        <v>9</v>
      </c>
      <c r="N72" s="237">
        <f t="shared" si="2"/>
        <v>3.472222222222221E-2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6</v>
      </c>
      <c r="C74" s="236" t="s">
        <v>28</v>
      </c>
      <c r="D74" s="236" t="s">
        <v>31</v>
      </c>
      <c r="E74" s="293" t="s">
        <v>148</v>
      </c>
      <c r="F74" s="295"/>
      <c r="G74" s="293" t="s">
        <v>707</v>
      </c>
      <c r="H74" s="294"/>
      <c r="I74" s="294"/>
      <c r="J74" s="295"/>
      <c r="K74" s="238">
        <v>4.1666666666666664E-2</v>
      </c>
      <c r="L74" s="238">
        <v>0.14583333333333334</v>
      </c>
      <c r="M74" s="236" t="s">
        <v>9</v>
      </c>
      <c r="N74" s="237">
        <f t="shared" si="2"/>
        <v>0.10416666666666669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293" t="s">
        <v>106</v>
      </c>
      <c r="F75" s="295"/>
      <c r="G75" s="293" t="s">
        <v>708</v>
      </c>
      <c r="H75" s="294"/>
      <c r="I75" s="294"/>
      <c r="J75" s="295"/>
      <c r="K75" s="239">
        <v>0.1875</v>
      </c>
      <c r="L75" s="239">
        <v>0.20833333333333334</v>
      </c>
      <c r="M75" s="236" t="s">
        <v>9</v>
      </c>
      <c r="N75" s="237">
        <f t="shared" si="2"/>
        <v>2.0833333333333343E-2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26</v>
      </c>
      <c r="E76" s="293" t="s">
        <v>107</v>
      </c>
      <c r="F76" s="295"/>
      <c r="G76" s="293" t="s">
        <v>709</v>
      </c>
      <c r="H76" s="294"/>
      <c r="I76" s="294"/>
      <c r="J76" s="295"/>
      <c r="K76" s="239">
        <v>0.95138888888888884</v>
      </c>
      <c r="L76" s="239">
        <v>0.97916666666666663</v>
      </c>
      <c r="M76" s="236" t="s">
        <v>9</v>
      </c>
      <c r="N76" s="237">
        <f t="shared" si="2"/>
        <v>2.777777777777779E-2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293"/>
      <c r="F77" s="295"/>
      <c r="G77" s="293" t="s">
        <v>357</v>
      </c>
      <c r="H77" s="294"/>
      <c r="I77" s="294"/>
      <c r="J77" s="295"/>
      <c r="K77" s="238">
        <v>1</v>
      </c>
      <c r="L77" s="238">
        <v>6.25E-2</v>
      </c>
      <c r="M77" s="236" t="s">
        <v>9</v>
      </c>
      <c r="N77" s="237">
        <f t="shared" si="2"/>
        <v>6.25E-2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23</v>
      </c>
      <c r="E78" s="293"/>
      <c r="F78" s="295"/>
      <c r="G78" s="293" t="s">
        <v>357</v>
      </c>
      <c r="H78" s="294"/>
      <c r="I78" s="294"/>
      <c r="J78" s="295"/>
      <c r="K78" s="239">
        <v>9.7222222222222224E-2</v>
      </c>
      <c r="L78" s="239">
        <v>0.13194444444444445</v>
      </c>
      <c r="M78" s="236" t="s">
        <v>9</v>
      </c>
      <c r="N78" s="237">
        <f t="shared" si="2"/>
        <v>3.4722222222222224E-2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293"/>
      <c r="F79" s="295"/>
      <c r="G79" s="293" t="s">
        <v>357</v>
      </c>
      <c r="H79" s="294"/>
      <c r="I79" s="294"/>
      <c r="J79" s="295"/>
      <c r="K79" s="239">
        <v>0.15277777777777776</v>
      </c>
      <c r="L79" s="239">
        <v>0.1875</v>
      </c>
      <c r="M79" s="236" t="s">
        <v>9</v>
      </c>
      <c r="N79" s="237">
        <f t="shared" si="2"/>
        <v>3.4722222222222238E-2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29</v>
      </c>
      <c r="E80" s="293" t="s">
        <v>141</v>
      </c>
      <c r="F80" s="295"/>
      <c r="G80" s="293" t="s">
        <v>710</v>
      </c>
      <c r="H80" s="294"/>
      <c r="I80" s="294"/>
      <c r="J80" s="295"/>
      <c r="K80" s="239">
        <v>0.20138888888888887</v>
      </c>
      <c r="L80" s="239">
        <v>0.22916666666666666</v>
      </c>
      <c r="M80" s="236" t="s">
        <v>9</v>
      </c>
      <c r="N80" s="237">
        <f t="shared" si="2"/>
        <v>2.777777777777779E-2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29</v>
      </c>
      <c r="E81" s="293" t="s">
        <v>141</v>
      </c>
      <c r="F81" s="295"/>
      <c r="G81" s="293" t="s">
        <v>710</v>
      </c>
      <c r="H81" s="294"/>
      <c r="I81" s="294"/>
      <c r="J81" s="295"/>
      <c r="K81" s="239">
        <v>0.25</v>
      </c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418</v>
      </c>
      <c r="D136" s="452"/>
      <c r="E136" s="434"/>
      <c r="F136" s="435"/>
      <c r="G136" s="423" t="s">
        <v>367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420</v>
      </c>
      <c r="D137" s="450"/>
      <c r="E137" s="434" t="s">
        <v>534</v>
      </c>
      <c r="F137" s="435"/>
      <c r="G137" s="423" t="s">
        <v>369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 t="s">
        <v>245</v>
      </c>
      <c r="C143" s="215">
        <v>9</v>
      </c>
      <c r="D143" s="306" t="s">
        <v>711</v>
      </c>
      <c r="E143" s="306"/>
      <c r="F143" s="306"/>
      <c r="G143" s="307" t="s">
        <v>377</v>
      </c>
      <c r="H143" s="307"/>
      <c r="I143" s="307"/>
      <c r="J143" s="307">
        <v>24</v>
      </c>
      <c r="K143" s="307"/>
      <c r="L143" s="306" t="s">
        <v>423</v>
      </c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3</v>
      </c>
      <c r="D144" s="306" t="s">
        <v>712</v>
      </c>
      <c r="E144" s="306"/>
      <c r="F144" s="306"/>
      <c r="G144" s="307" t="s">
        <v>380</v>
      </c>
      <c r="H144" s="307"/>
      <c r="I144" s="307"/>
      <c r="J144" s="307">
        <v>40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306" t="s">
        <v>713</v>
      </c>
      <c r="E145" s="306"/>
      <c r="F145" s="306"/>
      <c r="G145" s="307" t="s">
        <v>616</v>
      </c>
      <c r="H145" s="307"/>
      <c r="I145" s="307"/>
      <c r="J145" s="307">
        <v>24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306" t="s">
        <v>714</v>
      </c>
      <c r="E146" s="306"/>
      <c r="F146" s="306"/>
      <c r="G146" s="307" t="s">
        <v>392</v>
      </c>
      <c r="H146" s="307"/>
      <c r="I146" s="307"/>
      <c r="J146" s="307">
        <v>50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306" t="s">
        <v>715</v>
      </c>
      <c r="E147" s="306"/>
      <c r="F147" s="306"/>
      <c r="G147" s="307" t="s">
        <v>701</v>
      </c>
      <c r="H147" s="307"/>
      <c r="I147" s="307"/>
      <c r="J147" s="307">
        <v>15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306" t="s">
        <v>716</v>
      </c>
      <c r="E148" s="306"/>
      <c r="F148" s="306"/>
      <c r="G148" s="307" t="s">
        <v>717</v>
      </c>
      <c r="H148" s="307"/>
      <c r="I148" s="307"/>
      <c r="J148" s="307">
        <v>24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19</v>
      </c>
      <c r="D149" s="306" t="s">
        <v>715</v>
      </c>
      <c r="E149" s="306"/>
      <c r="F149" s="306"/>
      <c r="G149" s="307" t="s">
        <v>377</v>
      </c>
      <c r="H149" s="307"/>
      <c r="I149" s="307"/>
      <c r="J149" s="307">
        <v>11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14</v>
      </c>
      <c r="D150" s="306" t="s">
        <v>711</v>
      </c>
      <c r="E150" s="306"/>
      <c r="F150" s="306"/>
      <c r="G150" s="307" t="s">
        <v>718</v>
      </c>
      <c r="H150" s="307"/>
      <c r="I150" s="307"/>
      <c r="J150" s="307">
        <v>28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 t="s">
        <v>246</v>
      </c>
      <c r="C152" s="193">
        <v>4</v>
      </c>
      <c r="D152" s="306" t="s">
        <v>719</v>
      </c>
      <c r="E152" s="306"/>
      <c r="F152" s="306"/>
      <c r="G152" s="307" t="s">
        <v>377</v>
      </c>
      <c r="H152" s="307"/>
      <c r="I152" s="307"/>
      <c r="J152" s="307">
        <v>32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3</v>
      </c>
      <c r="D153" s="306" t="s">
        <v>720</v>
      </c>
      <c r="E153" s="306"/>
      <c r="F153" s="306"/>
      <c r="G153" s="307" t="s">
        <v>380</v>
      </c>
      <c r="H153" s="307"/>
      <c r="I153" s="307"/>
      <c r="J153" s="307">
        <v>39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13</v>
      </c>
      <c r="D154" s="306" t="s">
        <v>719</v>
      </c>
      <c r="E154" s="306"/>
      <c r="F154" s="306"/>
      <c r="G154" s="307" t="s">
        <v>386</v>
      </c>
      <c r="H154" s="307"/>
      <c r="I154" s="307"/>
      <c r="J154" s="307">
        <v>30</v>
      </c>
      <c r="K154" s="307"/>
      <c r="L154" s="306" t="s">
        <v>423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19</v>
      </c>
      <c r="D155" s="306" t="s">
        <v>721</v>
      </c>
      <c r="E155" s="306"/>
      <c r="F155" s="306"/>
      <c r="G155" s="307" t="s">
        <v>385</v>
      </c>
      <c r="H155" s="307"/>
      <c r="I155" s="307"/>
      <c r="J155" s="307">
        <v>11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14</v>
      </c>
      <c r="D156" s="306" t="s">
        <v>722</v>
      </c>
      <c r="E156" s="306"/>
      <c r="F156" s="306"/>
      <c r="G156" s="307" t="s">
        <v>723</v>
      </c>
      <c r="H156" s="307"/>
      <c r="I156" s="307"/>
      <c r="J156" s="307">
        <v>19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18</v>
      </c>
      <c r="D157" s="306" t="s">
        <v>721</v>
      </c>
      <c r="E157" s="306"/>
      <c r="F157" s="306"/>
      <c r="G157" s="307" t="s">
        <v>380</v>
      </c>
      <c r="H157" s="307"/>
      <c r="I157" s="307"/>
      <c r="J157" s="307">
        <v>13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12</v>
      </c>
      <c r="D158" s="306" t="s">
        <v>724</v>
      </c>
      <c r="E158" s="306"/>
      <c r="F158" s="306"/>
      <c r="G158" s="307" t="s">
        <v>392</v>
      </c>
      <c r="H158" s="307"/>
      <c r="I158" s="307"/>
      <c r="J158" s="307">
        <v>49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 t="s">
        <v>247</v>
      </c>
      <c r="C160" s="215">
        <v>3</v>
      </c>
      <c r="D160" s="306" t="s">
        <v>725</v>
      </c>
      <c r="E160" s="306"/>
      <c r="F160" s="306"/>
      <c r="G160" s="307" t="s">
        <v>380</v>
      </c>
      <c r="H160" s="307"/>
      <c r="I160" s="307"/>
      <c r="J160" s="307">
        <v>50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403</v>
      </c>
      <c r="D161" s="306" t="s">
        <v>726</v>
      </c>
      <c r="E161" s="306"/>
      <c r="F161" s="306"/>
      <c r="G161" s="307" t="s">
        <v>377</v>
      </c>
      <c r="H161" s="307"/>
      <c r="I161" s="307"/>
      <c r="J161" s="307">
        <v>23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306" t="s">
        <v>727</v>
      </c>
      <c r="E162" s="306"/>
      <c r="F162" s="306"/>
      <c r="G162" s="307" t="s">
        <v>380</v>
      </c>
      <c r="H162" s="307"/>
      <c r="I162" s="307"/>
      <c r="J162" s="307">
        <v>16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13</v>
      </c>
      <c r="D163" s="306" t="s">
        <v>726</v>
      </c>
      <c r="E163" s="306"/>
      <c r="F163" s="306"/>
      <c r="G163" s="307" t="s">
        <v>436</v>
      </c>
      <c r="H163" s="307"/>
      <c r="I163" s="307"/>
      <c r="J163" s="307">
        <v>27</v>
      </c>
      <c r="K163" s="307"/>
      <c r="L163" s="306" t="s">
        <v>423</v>
      </c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19</v>
      </c>
      <c r="D164" s="306" t="s">
        <v>727</v>
      </c>
      <c r="E164" s="306"/>
      <c r="F164" s="306"/>
      <c r="G164" s="307" t="s">
        <v>435</v>
      </c>
      <c r="H164" s="307"/>
      <c r="I164" s="307"/>
      <c r="J164" s="307">
        <v>15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disablePrompts="1" count="1">
    <dataValidation type="list" allowBlank="1" showInputMessage="1" showErrorMessage="1" sqref="E63:F131" xr:uid="{FF0B62C8-92F2-4090-81D4-8991080C2FC0}">
      <formula1>INDIRECT(D63)</formula1>
    </dataValidation>
  </dataValidations>
  <hyperlinks>
    <hyperlink ref="J14:L15" location="Summary!A1" display="MTD Summary " xr:uid="{031B9A92-4D25-48FF-BF0E-9105DFFFFBAA}"/>
    <hyperlink ref="J16:L17" location="Graph!A1" display="MTD Trendings" xr:uid="{FE3AF732-CB81-4336-AF5C-08CDD92C1E4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C57F654C-2794-4EC2-992E-4B5EDCC581E3}">
          <x14:formula1>
            <xm:f>List!$C$5:$C$14</xm:f>
          </x14:formula1>
          <xm:sqref>D63:D131</xm:sqref>
        </x14:dataValidation>
        <x14:dataValidation type="list" allowBlank="1" showInputMessage="1" showErrorMessage="1" xr:uid="{4C29C638-F2F8-44D9-A215-264D01A34BA9}">
          <x14:formula1>
            <xm:f>List!$B$10:$B$12</xm:f>
          </x14:formula1>
          <xm:sqref>C63:C131</xm:sqref>
        </x14:dataValidation>
        <x14:dataValidation type="list" allowBlank="1" showInputMessage="1" showErrorMessage="1" xr:uid="{3B79B45F-D80A-47E3-A97A-09A2A95EF021}">
          <x14:formula1>
            <xm:f>List!$B$5:$B$8</xm:f>
          </x14:formula1>
          <xm:sqref>B63:B131</xm:sqref>
        </x14:dataValidation>
        <x14:dataValidation type="list" allowBlank="1" showInputMessage="1" showErrorMessage="1" xr:uid="{B73D244E-26BF-4F5A-B9CE-BF112AACC988}">
          <x14:formula1>
            <xm:f>Sheet3!$C$3:$C$4</xm:f>
          </x14:formula1>
          <xm:sqref>M63:M132</xm:sqref>
        </x14:dataValidation>
        <x14:dataValidation type="list" allowBlank="1" showInputMessage="1" xr:uid="{24630CB6-BAE8-481E-801F-634B6173AADA}">
          <x14:formula1>
            <xm:f>Sheet3!$D$3:$D$11</xm:f>
          </x14:formula1>
          <xm:sqref>C132</xm:sqref>
        </x14:dataValidation>
        <x14:dataValidation type="list" allowBlank="1" showInputMessage="1" showErrorMessage="1" xr:uid="{08D8807B-FBD6-4B37-80C3-12E8635755E3}">
          <x14:formula1>
            <xm:f>Sheet3!$B$3:$B$5</xm:f>
          </x14:formula1>
          <xm:sqref>B143:B165 B132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2983-4626-4C8C-98F7-EE516103162D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11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1650.55</v>
      </c>
      <c r="K6" s="391"/>
      <c r="L6" s="391">
        <f ca="1">Summary!G19</f>
        <v>1767.01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110</v>
      </c>
      <c r="E7" s="84">
        <v>50</v>
      </c>
      <c r="F7" s="366">
        <v>60</v>
      </c>
      <c r="G7" s="367"/>
      <c r="H7" s="345">
        <f>SUM(D7:D10)</f>
        <v>550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140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150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150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130</v>
      </c>
      <c r="E11" s="90">
        <v>60</v>
      </c>
      <c r="F11" s="357">
        <v>60</v>
      </c>
      <c r="G11" s="358"/>
      <c r="H11" s="359">
        <f>SUM(D11:D14)</f>
        <v>560.33000000000004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140</v>
      </c>
      <c r="E12" s="92">
        <v>60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150</v>
      </c>
      <c r="E13" s="92">
        <v>60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140.33000000000001</v>
      </c>
      <c r="E14" s="94">
        <v>60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120</v>
      </c>
      <c r="E15" s="96">
        <v>60</v>
      </c>
      <c r="F15" s="343">
        <v>60</v>
      </c>
      <c r="G15" s="344"/>
      <c r="H15" s="345">
        <f>SUM(D15:D18)</f>
        <v>540.22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120</v>
      </c>
      <c r="E16" s="98">
        <v>50</v>
      </c>
      <c r="F16" s="372">
        <v>50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130</v>
      </c>
      <c r="E17" s="98">
        <v>50</v>
      </c>
      <c r="F17" s="372">
        <v>50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170.22</v>
      </c>
      <c r="E18" s="100">
        <v>50</v>
      </c>
      <c r="F18" s="375">
        <v>50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1650.55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728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7</v>
      </c>
      <c r="D25" s="102">
        <v>90</v>
      </c>
      <c r="E25" s="56">
        <v>7</v>
      </c>
      <c r="F25" s="107">
        <v>40</v>
      </c>
      <c r="G25" s="381">
        <v>8</v>
      </c>
      <c r="H25" s="382"/>
      <c r="I25" s="111">
        <v>60</v>
      </c>
      <c r="J25" s="38">
        <f t="shared" ref="J25:J40" si="0">C25+E25+G25</f>
        <v>22</v>
      </c>
      <c r="K25" s="383">
        <f>D25+F25+I25</f>
        <v>190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7</v>
      </c>
      <c r="D26" s="103">
        <v>96</v>
      </c>
      <c r="E26" s="57">
        <v>5</v>
      </c>
      <c r="F26" s="108">
        <v>112</v>
      </c>
      <c r="G26" s="377">
        <v>6</v>
      </c>
      <c r="H26" s="378"/>
      <c r="I26" s="112">
        <v>62</v>
      </c>
      <c r="J26" s="25">
        <f t="shared" si="0"/>
        <v>18</v>
      </c>
      <c r="K26" s="379">
        <f t="shared" ref="K26:K39" si="1">D26+F26+I26</f>
        <v>270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184</v>
      </c>
      <c r="E27" s="57"/>
      <c r="F27" s="108">
        <v>150</v>
      </c>
      <c r="G27" s="377"/>
      <c r="H27" s="378"/>
      <c r="I27" s="112">
        <v>152</v>
      </c>
      <c r="J27" s="25">
        <f t="shared" si="0"/>
        <v>0</v>
      </c>
      <c r="K27" s="379">
        <f t="shared" si="1"/>
        <v>486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7</v>
      </c>
      <c r="D28" s="103"/>
      <c r="E28" s="57">
        <v>6</v>
      </c>
      <c r="F28" s="108"/>
      <c r="G28" s="377">
        <v>5</v>
      </c>
      <c r="H28" s="378"/>
      <c r="I28" s="112"/>
      <c r="J28" s="25">
        <f t="shared" si="0"/>
        <v>18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5</v>
      </c>
      <c r="D29" s="103"/>
      <c r="E29" s="57">
        <v>4</v>
      </c>
      <c r="F29" s="108"/>
      <c r="G29" s="377">
        <v>3</v>
      </c>
      <c r="H29" s="378"/>
      <c r="I29" s="112"/>
      <c r="J29" s="25">
        <f t="shared" si="0"/>
        <v>12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>
        <v>1</v>
      </c>
      <c r="F30" s="108"/>
      <c r="G30" s="377"/>
      <c r="H30" s="378"/>
      <c r="I30" s="112"/>
      <c r="J30" s="25">
        <f t="shared" si="0"/>
        <v>1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>
        <v>3</v>
      </c>
      <c r="D31" s="103"/>
      <c r="E31" s="57">
        <v>2</v>
      </c>
      <c r="F31" s="108"/>
      <c r="G31" s="377">
        <v>2</v>
      </c>
      <c r="H31" s="378"/>
      <c r="I31" s="112"/>
      <c r="J31" s="25">
        <f t="shared" si="0"/>
        <v>7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1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>
        <v>1</v>
      </c>
      <c r="D34" s="103"/>
      <c r="E34" s="57"/>
      <c r="F34" s="108"/>
      <c r="G34" s="377">
        <v>1</v>
      </c>
      <c r="H34" s="378"/>
      <c r="I34" s="112"/>
      <c r="J34" s="25">
        <f t="shared" si="0"/>
        <v>2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84</v>
      </c>
      <c r="E36" s="58"/>
      <c r="F36" s="109"/>
      <c r="G36" s="377"/>
      <c r="H36" s="378"/>
      <c r="I36" s="113">
        <v>18</v>
      </c>
      <c r="J36" s="25">
        <f t="shared" si="0"/>
        <v>0</v>
      </c>
      <c r="K36" s="379">
        <f t="shared" si="1"/>
        <v>102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11</v>
      </c>
      <c r="E37" s="58"/>
      <c r="F37" s="109"/>
      <c r="G37" s="377"/>
      <c r="H37" s="378"/>
      <c r="I37" s="113">
        <v>10</v>
      </c>
      <c r="J37" s="25">
        <f t="shared" si="0"/>
        <v>0</v>
      </c>
      <c r="K37" s="379">
        <f t="shared" si="1"/>
        <v>21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277.20999999999998</v>
      </c>
      <c r="J38" s="25">
        <f t="shared" si="0"/>
        <v>0</v>
      </c>
      <c r="K38" s="379">
        <f t="shared" si="1"/>
        <v>277.20999999999998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120</v>
      </c>
      <c r="J39" s="25">
        <f t="shared" si="0"/>
        <v>0</v>
      </c>
      <c r="K39" s="379">
        <f t="shared" si="1"/>
        <v>120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116.88</v>
      </c>
      <c r="E40" s="59"/>
      <c r="F40" s="110">
        <v>133.32</v>
      </c>
      <c r="G40" s="444"/>
      <c r="H40" s="445"/>
      <c r="I40" s="114">
        <v>99.6</v>
      </c>
      <c r="J40" s="26">
        <f t="shared" si="0"/>
        <v>0</v>
      </c>
      <c r="K40" s="446">
        <f>D40+F40+I40</f>
        <v>349.79999999999995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31</v>
      </c>
      <c r="D41" s="106">
        <f>SUM(D25:D40)</f>
        <v>581.88</v>
      </c>
      <c r="E41" s="16">
        <f>SUM(E25:E40)</f>
        <v>26</v>
      </c>
      <c r="F41" s="106">
        <f>SUM(F25:F40)</f>
        <v>435.32</v>
      </c>
      <c r="G41" s="401">
        <f>SUM(G25:H40)</f>
        <v>26</v>
      </c>
      <c r="H41" s="401"/>
      <c r="I41" s="106">
        <f>SUM(I25:I40)</f>
        <v>798.81000000000006</v>
      </c>
      <c r="J41" s="16">
        <f>SUM(J25:J40)</f>
        <v>83</v>
      </c>
      <c r="K41" s="448">
        <f>SUM(K25:L40)</f>
        <v>1816.01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>
        <v>0</v>
      </c>
      <c r="D45" s="209">
        <v>0</v>
      </c>
      <c r="E45" s="209">
        <v>0.1</v>
      </c>
      <c r="F45" s="209">
        <v>0</v>
      </c>
      <c r="G45" s="413">
        <v>0</v>
      </c>
      <c r="H45" s="443"/>
      <c r="I45" s="209">
        <v>0</v>
      </c>
      <c r="J45" s="209">
        <v>0.35</v>
      </c>
      <c r="K45" s="209">
        <v>0.2</v>
      </c>
      <c r="L45" s="209">
        <v>0.1</v>
      </c>
      <c r="M45" s="211">
        <v>0</v>
      </c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17.5</v>
      </c>
      <c r="K46" s="40">
        <f>K45*50</f>
        <v>10</v>
      </c>
      <c r="L46" s="40">
        <f>L45*50</f>
        <v>5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>
        <v>0</v>
      </c>
      <c r="D48" s="209">
        <v>0</v>
      </c>
      <c r="E48" s="209"/>
      <c r="F48" s="209">
        <v>0.2</v>
      </c>
      <c r="G48" s="413">
        <v>0.35</v>
      </c>
      <c r="H48" s="414"/>
      <c r="I48" s="209">
        <v>0.6</v>
      </c>
      <c r="J48" s="209">
        <v>0.5</v>
      </c>
      <c r="K48" s="209">
        <v>0</v>
      </c>
      <c r="L48" s="209">
        <v>0.2</v>
      </c>
      <c r="M48" s="211">
        <v>0.1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09">
        <f>G48*100</f>
        <v>35</v>
      </c>
      <c r="H49" s="410"/>
      <c r="I49" s="40">
        <f>I48*100</f>
        <v>60</v>
      </c>
      <c r="J49" s="40">
        <f>J48*150</f>
        <v>75</v>
      </c>
      <c r="K49" s="40">
        <f>K48*70</f>
        <v>0</v>
      </c>
      <c r="L49" s="40">
        <f>L48*70</f>
        <v>14</v>
      </c>
      <c r="M49" s="79">
        <f>M48*70</f>
        <v>7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0.05</v>
      </c>
      <c r="D51" s="213">
        <v>0</v>
      </c>
      <c r="E51" s="213">
        <v>0</v>
      </c>
      <c r="F51" s="209"/>
      <c r="G51" s="413"/>
      <c r="H51" s="414"/>
      <c r="I51" s="209">
        <v>0</v>
      </c>
      <c r="J51" s="209">
        <v>0</v>
      </c>
      <c r="K51" s="209">
        <v>0.64</v>
      </c>
      <c r="L51" s="209">
        <v>0.31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3.5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160</v>
      </c>
      <c r="L52" s="41">
        <f>L51*250</f>
        <v>77.5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501.5</v>
      </c>
      <c r="F54" s="39" t="s">
        <v>335</v>
      </c>
      <c r="G54" s="188"/>
      <c r="H54" s="188"/>
      <c r="I54" s="30">
        <f>'10'!D54</f>
        <v>546.5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>
        <v>172200</v>
      </c>
      <c r="D58" s="60">
        <v>16160</v>
      </c>
      <c r="E58" s="124">
        <f>SUM(C58:D58)</f>
        <v>188360</v>
      </c>
      <c r="F58" s="396"/>
      <c r="G58" s="397"/>
      <c r="H58" s="60">
        <v>3877</v>
      </c>
      <c r="I58" s="61">
        <v>2387</v>
      </c>
      <c r="J58" s="393"/>
      <c r="K58" s="399"/>
      <c r="L58" s="60">
        <v>6882.79</v>
      </c>
      <c r="M58" s="61">
        <f>L58/3</f>
        <v>2294.2633333333333</v>
      </c>
      <c r="N58" s="250">
        <v>4.17</v>
      </c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114.11953591227167</v>
      </c>
      <c r="D59" s="403"/>
      <c r="E59" s="404"/>
      <c r="F59" s="405" t="s">
        <v>347</v>
      </c>
      <c r="G59" s="406"/>
      <c r="H59" s="407">
        <f>IF(ISERROR(SUM(H58:I58)/$H$19),"",(SUM(H58:I58)/$H$19))</f>
        <v>3.7950986034958047</v>
      </c>
      <c r="I59" s="408"/>
      <c r="J59" s="405" t="s">
        <v>348</v>
      </c>
      <c r="K59" s="406"/>
      <c r="L59" s="115">
        <f>IF(ISERROR(L58/$H$19),"",(L58/$H$19))</f>
        <v>4.1699978794947139</v>
      </c>
      <c r="M59" s="116">
        <f>IF(ISERROR(M58/$H$19),"",(M58/$H$19))</f>
        <v>1.3899992931649046</v>
      </c>
      <c r="N59" s="194">
        <f>N58*H19</f>
        <v>6882.7934999999998</v>
      </c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23</v>
      </c>
      <c r="E63" s="293"/>
      <c r="F63" s="295"/>
      <c r="G63" s="293" t="s">
        <v>729</v>
      </c>
      <c r="H63" s="294"/>
      <c r="I63" s="294"/>
      <c r="J63" s="295"/>
      <c r="K63" s="238">
        <v>0.29166666666666669</v>
      </c>
      <c r="L63" s="238">
        <v>0.3888888888888889</v>
      </c>
      <c r="M63" s="236" t="s">
        <v>9</v>
      </c>
      <c r="N63" s="237">
        <f t="shared" ref="N63:N126" si="2">IF(M63="No","",IF(M63="Yes",(L63-K63+(L63&lt;K63)),""))</f>
        <v>9.722222222222221E-2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23</v>
      </c>
      <c r="E64" s="293"/>
      <c r="F64" s="295"/>
      <c r="G64" s="293" t="s">
        <v>730</v>
      </c>
      <c r="H64" s="294"/>
      <c r="I64" s="294"/>
      <c r="J64" s="295"/>
      <c r="K64" s="238">
        <v>0.33333333333333331</v>
      </c>
      <c r="L64" s="238">
        <v>0.3888888888888889</v>
      </c>
      <c r="M64" s="236" t="s">
        <v>9</v>
      </c>
      <c r="N64" s="237">
        <f t="shared" si="2"/>
        <v>5.555555555555558E-2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93" t="s">
        <v>108</v>
      </c>
      <c r="F65" s="295"/>
      <c r="G65" s="293" t="s">
        <v>731</v>
      </c>
      <c r="H65" s="294"/>
      <c r="I65" s="294"/>
      <c r="J65" s="295"/>
      <c r="K65" s="239">
        <v>0.29166666666666669</v>
      </c>
      <c r="L65" s="239">
        <v>0.34027777777777773</v>
      </c>
      <c r="M65" s="236" t="s">
        <v>9</v>
      </c>
      <c r="N65" s="237">
        <f t="shared" si="2"/>
        <v>4.8611111111111049E-2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93" t="s">
        <v>106</v>
      </c>
      <c r="F66" s="295"/>
      <c r="G66" s="293" t="s">
        <v>731</v>
      </c>
      <c r="H66" s="294"/>
      <c r="I66" s="294"/>
      <c r="J66" s="295"/>
      <c r="K66" s="239">
        <v>0.3888888888888889</v>
      </c>
      <c r="L66" s="239">
        <v>0.41666666666666669</v>
      </c>
      <c r="M66" s="236" t="s">
        <v>9</v>
      </c>
      <c r="N66" s="237"/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93"/>
      <c r="F67" s="295"/>
      <c r="G67" s="293" t="s">
        <v>706</v>
      </c>
      <c r="H67" s="294"/>
      <c r="I67" s="294"/>
      <c r="J67" s="295"/>
      <c r="K67" s="238">
        <v>0.3125</v>
      </c>
      <c r="L67" s="238">
        <v>0.3888888888888889</v>
      </c>
      <c r="M67" s="236" t="s">
        <v>9</v>
      </c>
      <c r="N67" s="237">
        <f t="shared" si="2"/>
        <v>7.6388888888888895E-2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17</v>
      </c>
      <c r="C69" s="236" t="s">
        <v>25</v>
      </c>
      <c r="D69" s="236" t="s">
        <v>23</v>
      </c>
      <c r="E69" s="293"/>
      <c r="F69" s="295"/>
      <c r="G69" s="293" t="s">
        <v>732</v>
      </c>
      <c r="H69" s="294"/>
      <c r="I69" s="294"/>
      <c r="J69" s="295"/>
      <c r="K69" s="239" t="s">
        <v>733</v>
      </c>
      <c r="L69" s="239" t="s">
        <v>734</v>
      </c>
      <c r="M69" s="236" t="s">
        <v>9</v>
      </c>
      <c r="N69" s="237" t="e">
        <f t="shared" si="2"/>
        <v>#VALUE!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93"/>
      <c r="F70" s="295"/>
      <c r="G70" s="245"/>
      <c r="H70" t="s">
        <v>735</v>
      </c>
      <c r="K70" s="239">
        <v>0.63194444444444442</v>
      </c>
      <c r="L70" s="239">
        <v>0.66666666666666663</v>
      </c>
      <c r="M70" s="236" t="s">
        <v>9</v>
      </c>
      <c r="N70" s="237">
        <f t="shared" si="2"/>
        <v>3.472222222222221E-2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293"/>
      <c r="F71" s="295"/>
      <c r="G71" s="293" t="s">
        <v>736</v>
      </c>
      <c r="H71" s="294"/>
      <c r="I71" s="294"/>
      <c r="J71" s="295"/>
      <c r="K71" s="239">
        <v>0.625</v>
      </c>
      <c r="L71" s="239">
        <v>0.67361111111111116</v>
      </c>
      <c r="M71" s="236" t="s">
        <v>9</v>
      </c>
      <c r="N71" s="237">
        <f t="shared" si="2"/>
        <v>4.861111111111116E-2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10</v>
      </c>
      <c r="C73" s="236" t="s">
        <v>28</v>
      </c>
      <c r="D73" s="236" t="s">
        <v>26</v>
      </c>
      <c r="E73" s="293"/>
      <c r="F73" s="295"/>
      <c r="G73" s="293" t="s">
        <v>362</v>
      </c>
      <c r="H73" s="294"/>
      <c r="I73" s="294"/>
      <c r="J73" s="295"/>
      <c r="K73" s="239">
        <v>0.96527777777777779</v>
      </c>
      <c r="L73" s="239">
        <v>0.125</v>
      </c>
      <c r="M73" s="236" t="s">
        <v>9</v>
      </c>
      <c r="N73" s="237">
        <f t="shared" si="2"/>
        <v>0.15972222222222221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>
        <v>0.15972222222222224</v>
      </c>
      <c r="L74" s="238">
        <v>0.24305555555555555</v>
      </c>
      <c r="M74" s="236" t="s">
        <v>9</v>
      </c>
      <c r="N74" s="237">
        <f t="shared" si="2"/>
        <v>8.3333333333333315E-2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293" t="s">
        <v>106</v>
      </c>
      <c r="F75" s="295"/>
      <c r="G75" s="293" t="s">
        <v>737</v>
      </c>
      <c r="H75" s="294"/>
      <c r="I75" s="294"/>
      <c r="J75" s="295"/>
      <c r="K75" s="239">
        <v>0.125</v>
      </c>
      <c r="L75" s="239">
        <v>0.1388888888888889</v>
      </c>
      <c r="M75" s="236" t="s">
        <v>9</v>
      </c>
      <c r="N75" s="237">
        <f t="shared" si="2"/>
        <v>1.3888888888888895E-2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26</v>
      </c>
      <c r="E76" s="293"/>
      <c r="F76" s="295"/>
      <c r="G76" s="293" t="s">
        <v>738</v>
      </c>
      <c r="H76" s="294"/>
      <c r="I76" s="294"/>
      <c r="J76" s="295"/>
      <c r="K76" s="239">
        <v>0.125</v>
      </c>
      <c r="L76" s="239">
        <v>0.1388888888888889</v>
      </c>
      <c r="M76" s="236" t="s">
        <v>9</v>
      </c>
      <c r="N76" s="237">
        <f t="shared" si="2"/>
        <v>1.3888888888888895E-2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418</v>
      </c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420</v>
      </c>
      <c r="D137" s="450"/>
      <c r="E137" s="434" t="s">
        <v>534</v>
      </c>
      <c r="F137" s="435"/>
      <c r="G137" s="423" t="s">
        <v>370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>
        <v>13</v>
      </c>
      <c r="D144" s="306" t="s">
        <v>716</v>
      </c>
      <c r="E144" s="306"/>
      <c r="F144" s="306"/>
      <c r="G144" s="307" t="s">
        <v>717</v>
      </c>
      <c r="H144" s="307"/>
      <c r="I144" s="307"/>
      <c r="J144" s="307">
        <v>24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19</v>
      </c>
      <c r="D145" s="306" t="s">
        <v>739</v>
      </c>
      <c r="E145" s="306"/>
      <c r="F145" s="306"/>
      <c r="G145" s="307" t="s">
        <v>396</v>
      </c>
      <c r="H145" s="307"/>
      <c r="I145" s="307"/>
      <c r="J145" s="307">
        <v>14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9</v>
      </c>
      <c r="D146" s="306" t="s">
        <v>740</v>
      </c>
      <c r="E146" s="306"/>
      <c r="F146" s="306"/>
      <c r="G146" s="307" t="s">
        <v>422</v>
      </c>
      <c r="H146" s="307"/>
      <c r="I146" s="307"/>
      <c r="J146" s="307">
        <v>38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3</v>
      </c>
      <c r="D147" s="306" t="s">
        <v>741</v>
      </c>
      <c r="E147" s="306"/>
      <c r="F147" s="306"/>
      <c r="G147" s="307" t="s">
        <v>380</v>
      </c>
      <c r="H147" s="307"/>
      <c r="I147" s="307"/>
      <c r="J147" s="307">
        <v>49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306" t="s">
        <v>740</v>
      </c>
      <c r="E148" s="306"/>
      <c r="F148" s="306"/>
      <c r="G148" s="307" t="s">
        <v>742</v>
      </c>
      <c r="H148" s="307"/>
      <c r="I148" s="307"/>
      <c r="J148" s="307">
        <v>22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306" t="s">
        <v>743</v>
      </c>
      <c r="E149" s="306"/>
      <c r="F149" s="306"/>
      <c r="G149" s="307" t="s">
        <v>442</v>
      </c>
      <c r="H149" s="307"/>
      <c r="I149" s="307"/>
      <c r="J149" s="307">
        <v>37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18</v>
      </c>
      <c r="D150" s="306" t="s">
        <v>739</v>
      </c>
      <c r="E150" s="306"/>
      <c r="F150" s="306"/>
      <c r="G150" s="307" t="s">
        <v>380</v>
      </c>
      <c r="H150" s="307"/>
      <c r="I150" s="307"/>
      <c r="J150" s="307">
        <v>15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 t="s">
        <v>744</v>
      </c>
      <c r="E151" s="306"/>
      <c r="F151" s="306"/>
      <c r="G151" s="307" t="s">
        <v>389</v>
      </c>
      <c r="H151" s="307"/>
      <c r="I151" s="307"/>
      <c r="J151" s="307">
        <v>395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9</v>
      </c>
      <c r="D152" s="306" t="s">
        <v>740</v>
      </c>
      <c r="E152" s="306"/>
      <c r="F152" s="306"/>
      <c r="G152" s="307" t="s">
        <v>377</v>
      </c>
      <c r="H152" s="307"/>
      <c r="I152" s="307"/>
      <c r="J152" s="307">
        <v>37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306" t="s">
        <v>740</v>
      </c>
      <c r="E153" s="306"/>
      <c r="F153" s="306"/>
      <c r="G153" s="307" t="s">
        <v>386</v>
      </c>
      <c r="H153" s="307"/>
      <c r="I153" s="307"/>
      <c r="J153" s="307">
        <v>38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12</v>
      </c>
      <c r="D154" s="306" t="s">
        <v>745</v>
      </c>
      <c r="E154" s="306"/>
      <c r="F154" s="306"/>
      <c r="G154" s="307" t="s">
        <v>392</v>
      </c>
      <c r="H154" s="307"/>
      <c r="I154" s="307"/>
      <c r="J154" s="307">
        <v>73</v>
      </c>
      <c r="K154" s="307"/>
      <c r="L154" s="306" t="s">
        <v>423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 t="s">
        <v>246</v>
      </c>
      <c r="C156" s="215">
        <v>3</v>
      </c>
      <c r="D156" s="306" t="s">
        <v>746</v>
      </c>
      <c r="E156" s="306"/>
      <c r="F156" s="306"/>
      <c r="G156" s="307" t="s">
        <v>747</v>
      </c>
      <c r="H156" s="307"/>
      <c r="I156" s="307"/>
      <c r="J156" s="307" t="s">
        <v>443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10</v>
      </c>
      <c r="D157" s="306" t="s">
        <v>748</v>
      </c>
      <c r="E157" s="306"/>
      <c r="F157" s="306"/>
      <c r="G157" s="307" t="s">
        <v>377</v>
      </c>
      <c r="H157" s="307"/>
      <c r="I157" s="307"/>
      <c r="J157" s="307">
        <v>37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12</v>
      </c>
      <c r="D158" s="306" t="s">
        <v>749</v>
      </c>
      <c r="E158" s="306"/>
      <c r="F158" s="306"/>
      <c r="G158" s="307" t="s">
        <v>392</v>
      </c>
      <c r="H158" s="307"/>
      <c r="I158" s="307"/>
      <c r="J158" s="307" t="s">
        <v>750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306" t="s">
        <v>751</v>
      </c>
      <c r="E159" s="306"/>
      <c r="F159" s="306"/>
      <c r="G159" s="307" t="s">
        <v>380</v>
      </c>
      <c r="H159" s="307"/>
      <c r="I159" s="307"/>
      <c r="J159" s="307">
        <v>15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 t="s">
        <v>403</v>
      </c>
      <c r="D160" s="306" t="s">
        <v>748</v>
      </c>
      <c r="E160" s="306"/>
      <c r="F160" s="306"/>
      <c r="G160" s="307" t="s">
        <v>377</v>
      </c>
      <c r="H160" s="307"/>
      <c r="I160" s="307"/>
      <c r="J160" s="307" t="s">
        <v>505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306" t="s">
        <v>752</v>
      </c>
      <c r="E161" s="306"/>
      <c r="F161" s="306"/>
      <c r="G161" s="307" t="s">
        <v>380</v>
      </c>
      <c r="H161" s="307"/>
      <c r="I161" s="307"/>
      <c r="J161" s="307">
        <v>34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19</v>
      </c>
      <c r="D162" s="306" t="s">
        <v>751</v>
      </c>
      <c r="E162" s="306"/>
      <c r="F162" s="306"/>
      <c r="G162" s="307" t="s">
        <v>385</v>
      </c>
      <c r="H162" s="307"/>
      <c r="I162" s="307"/>
      <c r="J162" s="307">
        <v>12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 t="s">
        <v>247</v>
      </c>
      <c r="C164" s="215">
        <v>3</v>
      </c>
      <c r="D164" s="306" t="s">
        <v>753</v>
      </c>
      <c r="E164" s="306"/>
      <c r="F164" s="306"/>
      <c r="G164" s="307" t="s">
        <v>380</v>
      </c>
      <c r="H164" s="307"/>
      <c r="I164" s="307"/>
      <c r="J164" s="307">
        <v>34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 t="s">
        <v>403</v>
      </c>
      <c r="D165" s="306" t="s">
        <v>754</v>
      </c>
      <c r="E165" s="306"/>
      <c r="F165" s="306"/>
      <c r="G165" s="307" t="s">
        <v>377</v>
      </c>
      <c r="H165" s="307"/>
      <c r="I165" s="307"/>
      <c r="J165" s="307">
        <v>22</v>
      </c>
      <c r="K165" s="307"/>
      <c r="L165" s="306" t="s">
        <v>423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306" t="s">
        <v>755</v>
      </c>
      <c r="E166" s="306"/>
      <c r="F166" s="306"/>
      <c r="G166" s="307" t="s">
        <v>392</v>
      </c>
      <c r="H166" s="307"/>
      <c r="I166" s="307"/>
      <c r="J166" s="307">
        <v>53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06" t="s">
        <v>756</v>
      </c>
      <c r="E167" s="306"/>
      <c r="F167" s="306"/>
      <c r="G167" s="307" t="s">
        <v>380</v>
      </c>
      <c r="H167" s="307"/>
      <c r="I167" s="307"/>
      <c r="J167" s="307">
        <v>11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19</v>
      </c>
      <c r="D168" s="306" t="s">
        <v>756</v>
      </c>
      <c r="E168" s="306"/>
      <c r="F168" s="306"/>
      <c r="G168" s="307" t="s">
        <v>396</v>
      </c>
      <c r="H168" s="307"/>
      <c r="I168" s="307"/>
      <c r="J168" s="307">
        <v>9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3</v>
      </c>
      <c r="D169" s="306" t="s">
        <v>753</v>
      </c>
      <c r="E169" s="306"/>
      <c r="F169" s="306"/>
      <c r="G169" s="307" t="s">
        <v>757</v>
      </c>
      <c r="H169" s="307"/>
      <c r="I169" s="307"/>
      <c r="J169" s="307">
        <v>34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>
        <v>12</v>
      </c>
      <c r="D170" s="306" t="s">
        <v>754</v>
      </c>
      <c r="E170" s="306"/>
      <c r="F170" s="306"/>
      <c r="G170" s="307" t="s">
        <v>392</v>
      </c>
      <c r="H170" s="307"/>
      <c r="I170" s="307"/>
      <c r="J170" s="307">
        <v>54</v>
      </c>
      <c r="K170" s="307"/>
      <c r="L170" s="306" t="s">
        <v>423</v>
      </c>
      <c r="M170" s="306"/>
      <c r="N170" s="245"/>
    </row>
    <row r="171" spans="1:18" ht="14.25" x14ac:dyDescent="0.2">
      <c r="B171" s="216"/>
      <c r="C171" s="215">
        <v>13</v>
      </c>
      <c r="D171" s="308" t="s">
        <v>754</v>
      </c>
      <c r="E171" s="309"/>
      <c r="F171" s="310"/>
      <c r="G171" s="307" t="s">
        <v>386</v>
      </c>
      <c r="H171" s="307"/>
      <c r="I171" s="307"/>
      <c r="J171" s="307">
        <v>21</v>
      </c>
      <c r="K171" s="307"/>
      <c r="L171" s="306" t="s">
        <v>423</v>
      </c>
      <c r="M171" s="306"/>
      <c r="N171" s="245"/>
    </row>
    <row r="172" spans="1:18" ht="14.25" x14ac:dyDescent="0.2">
      <c r="B172" s="216"/>
      <c r="C172" s="215">
        <v>14</v>
      </c>
      <c r="D172" s="306" t="s">
        <v>758</v>
      </c>
      <c r="E172" s="306"/>
      <c r="F172" s="306"/>
      <c r="G172" s="307" t="s">
        <v>742</v>
      </c>
      <c r="H172" s="307"/>
      <c r="I172" s="307"/>
      <c r="J172" s="307">
        <v>18</v>
      </c>
      <c r="K172" s="307"/>
      <c r="L172" s="306" t="s">
        <v>423</v>
      </c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97E6871D-D03E-4EBE-BB0E-A0A65C1EBADF}">
      <formula1>INDIRECT(D63)</formula1>
    </dataValidation>
  </dataValidations>
  <hyperlinks>
    <hyperlink ref="J14:L15" location="Summary!A1" display="MTD Summary " xr:uid="{A5118505-586E-42F2-B4A0-0146BAF7ABC7}"/>
    <hyperlink ref="J16:L17" location="Graph!A1" display="MTD Trendings" xr:uid="{B27E7E0F-D2B3-4AD7-8C25-E395F6ADD92B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1C5485F-31C0-4ED9-98AC-06FA445DF583}">
          <x14:formula1>
            <xm:f>Sheet3!$B$3:$B$5</xm:f>
          </x14:formula1>
          <xm:sqref>B143:B165 B132</xm:sqref>
        </x14:dataValidation>
        <x14:dataValidation type="list" allowBlank="1" showInputMessage="1" xr:uid="{1A660947-ADFE-4AD0-B1A2-0BBBF8947C97}">
          <x14:formula1>
            <xm:f>Sheet3!$D$3:$D$11</xm:f>
          </x14:formula1>
          <xm:sqref>C132</xm:sqref>
        </x14:dataValidation>
        <x14:dataValidation type="list" allowBlank="1" showInputMessage="1" showErrorMessage="1" xr:uid="{A3B51D45-37B3-41DF-9A9B-D9E020C68414}">
          <x14:formula1>
            <xm:f>Sheet3!$C$3:$C$4</xm:f>
          </x14:formula1>
          <xm:sqref>M63:M132</xm:sqref>
        </x14:dataValidation>
        <x14:dataValidation type="list" allowBlank="1" showInputMessage="1" showErrorMessage="1" xr:uid="{4E89C96D-5CEF-497F-BE02-61139CD06E7A}">
          <x14:formula1>
            <xm:f>List!$B$5:$B$8</xm:f>
          </x14:formula1>
          <xm:sqref>B63:B131</xm:sqref>
        </x14:dataValidation>
        <x14:dataValidation type="list" allowBlank="1" showInputMessage="1" showErrorMessage="1" xr:uid="{884EE11A-4CEB-4EF4-960B-3337719E4486}">
          <x14:formula1>
            <xm:f>List!$B$10:$B$12</xm:f>
          </x14:formula1>
          <xm:sqref>C63:C131</xm:sqref>
        </x14:dataValidation>
        <x14:dataValidation type="list" allowBlank="1" showInputMessage="1" showErrorMessage="1" xr:uid="{EB15ED71-18D3-49DB-96E9-5715264131ED}">
          <x14:formula1>
            <xm:f>List!$C$5:$C$14</xm:f>
          </x14:formula1>
          <xm:sqref>D63:D131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590F-2178-49D9-AAA0-34E21FA9DC0C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12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1720.49</v>
      </c>
      <c r="K6" s="391"/>
      <c r="L6" s="391">
        <f ca="1">Summary!G20</f>
        <v>1788.4199999999998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130</v>
      </c>
      <c r="E7" s="84">
        <v>50</v>
      </c>
      <c r="F7" s="366">
        <v>60</v>
      </c>
      <c r="G7" s="367"/>
      <c r="H7" s="345">
        <f>SUM(D7:D10)</f>
        <v>570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150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130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160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140</v>
      </c>
      <c r="E11" s="90">
        <v>60</v>
      </c>
      <c r="F11" s="357">
        <v>60</v>
      </c>
      <c r="G11" s="358"/>
      <c r="H11" s="359">
        <f>SUM(D11:D14)</f>
        <v>580.27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140</v>
      </c>
      <c r="E12" s="92">
        <v>60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150</v>
      </c>
      <c r="E13" s="92">
        <v>60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150.27000000000001</v>
      </c>
      <c r="E14" s="94">
        <v>60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120</v>
      </c>
      <c r="E15" s="96">
        <v>60</v>
      </c>
      <c r="F15" s="343">
        <v>60</v>
      </c>
      <c r="G15" s="344"/>
      <c r="H15" s="345">
        <f>SUM(D15:D18)</f>
        <v>570.22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140</v>
      </c>
      <c r="E16" s="98">
        <v>60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160</v>
      </c>
      <c r="E17" s="98">
        <v>60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150.22</v>
      </c>
      <c r="E18" s="100">
        <v>60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1720.49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6</v>
      </c>
      <c r="D25" s="102">
        <v>75</v>
      </c>
      <c r="E25" s="56">
        <v>6</v>
      </c>
      <c r="F25" s="107">
        <v>136</v>
      </c>
      <c r="G25" s="381">
        <v>7</v>
      </c>
      <c r="H25" s="382"/>
      <c r="I25" s="111">
        <v>60</v>
      </c>
      <c r="J25" s="38">
        <f t="shared" ref="J25:J40" si="0">C25+E25+G25</f>
        <v>19</v>
      </c>
      <c r="K25" s="383">
        <f>D25+F25+I25</f>
        <v>271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6</v>
      </c>
      <c r="D26" s="103">
        <v>14</v>
      </c>
      <c r="E26" s="57">
        <v>5</v>
      </c>
      <c r="F26" s="108"/>
      <c r="G26" s="377">
        <v>5</v>
      </c>
      <c r="H26" s="378"/>
      <c r="I26" s="112">
        <v>78</v>
      </c>
      <c r="J26" s="25">
        <f t="shared" si="0"/>
        <v>16</v>
      </c>
      <c r="K26" s="379">
        <f t="shared" ref="K26:K39" si="1">D26+F26+I26</f>
        <v>92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221</v>
      </c>
      <c r="E27" s="57"/>
      <c r="F27" s="108">
        <v>136</v>
      </c>
      <c r="G27" s="377"/>
      <c r="H27" s="378"/>
      <c r="I27" s="112">
        <v>140</v>
      </c>
      <c r="J27" s="25">
        <f t="shared" si="0"/>
        <v>0</v>
      </c>
      <c r="K27" s="379">
        <f t="shared" si="1"/>
        <v>497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5</v>
      </c>
      <c r="D28" s="103"/>
      <c r="E28" s="57">
        <v>7</v>
      </c>
      <c r="F28" s="108"/>
      <c r="G28" s="377">
        <v>5</v>
      </c>
      <c r="H28" s="378"/>
      <c r="I28" s="112"/>
      <c r="J28" s="25">
        <f t="shared" si="0"/>
        <v>17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4</v>
      </c>
      <c r="D29" s="103"/>
      <c r="E29" s="57">
        <v>4</v>
      </c>
      <c r="F29" s="108"/>
      <c r="G29" s="377">
        <v>4</v>
      </c>
      <c r="H29" s="378"/>
      <c r="I29" s="112"/>
      <c r="J29" s="25">
        <f t="shared" si="0"/>
        <v>12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>
        <v>20</v>
      </c>
      <c r="E30" s="57">
        <v>1</v>
      </c>
      <c r="F30" s="108">
        <v>26</v>
      </c>
      <c r="G30" s="377"/>
      <c r="H30" s="378"/>
      <c r="I30" s="112"/>
      <c r="J30" s="25">
        <f t="shared" si="0"/>
        <v>2</v>
      </c>
      <c r="K30" s="379">
        <f t="shared" si="1"/>
        <v>46</v>
      </c>
      <c r="L30" s="380"/>
      <c r="N30" s="245"/>
    </row>
    <row r="31" spans="2:14" ht="14.1" customHeight="1" x14ac:dyDescent="0.2">
      <c r="B31" s="80" t="s">
        <v>313</v>
      </c>
      <c r="C31" s="45">
        <v>3</v>
      </c>
      <c r="D31" s="103"/>
      <c r="E31" s="57">
        <v>2</v>
      </c>
      <c r="F31" s="108"/>
      <c r="G31" s="377">
        <v>4</v>
      </c>
      <c r="H31" s="378"/>
      <c r="I31" s="112"/>
      <c r="J31" s="25">
        <f t="shared" si="0"/>
        <v>9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2</v>
      </c>
      <c r="H32" s="378"/>
      <c r="I32" s="112"/>
      <c r="J32" s="25">
        <f t="shared" si="0"/>
        <v>4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>
        <v>1</v>
      </c>
      <c r="H34" s="378"/>
      <c r="I34" s="112"/>
      <c r="J34" s="25">
        <f t="shared" si="0"/>
        <v>1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>
        <v>53</v>
      </c>
      <c r="G36" s="377"/>
      <c r="H36" s="378"/>
      <c r="I36" s="113"/>
      <c r="J36" s="25">
        <f t="shared" si="0"/>
        <v>0</v>
      </c>
      <c r="K36" s="379">
        <f t="shared" si="1"/>
        <v>53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11</v>
      </c>
      <c r="E37" s="58"/>
      <c r="F37" s="109">
        <v>11</v>
      </c>
      <c r="G37" s="377"/>
      <c r="H37" s="378"/>
      <c r="I37" s="113">
        <v>9</v>
      </c>
      <c r="J37" s="25">
        <f t="shared" si="0"/>
        <v>0</v>
      </c>
      <c r="K37" s="379">
        <f t="shared" si="1"/>
        <v>31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330.14</v>
      </c>
      <c r="J38" s="25">
        <f t="shared" si="0"/>
        <v>0</v>
      </c>
      <c r="K38" s="379">
        <f t="shared" si="1"/>
        <v>330.14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135</v>
      </c>
      <c r="J39" s="25">
        <f t="shared" si="0"/>
        <v>0</v>
      </c>
      <c r="K39" s="379">
        <f t="shared" si="1"/>
        <v>135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121.44</v>
      </c>
      <c r="E40" s="59"/>
      <c r="F40" s="110">
        <v>149.76</v>
      </c>
      <c r="G40" s="444"/>
      <c r="H40" s="445"/>
      <c r="I40" s="114">
        <v>142.08000000000001</v>
      </c>
      <c r="J40" s="26">
        <f t="shared" si="0"/>
        <v>0</v>
      </c>
      <c r="K40" s="446">
        <f>D40+F40+I40</f>
        <v>413.28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26</v>
      </c>
      <c r="D41" s="106">
        <f>SUM(D25:D40)</f>
        <v>462.44</v>
      </c>
      <c r="E41" s="16">
        <f>SUM(E25:E40)</f>
        <v>26</v>
      </c>
      <c r="F41" s="106">
        <f>SUM(F25:F40)</f>
        <v>511.76</v>
      </c>
      <c r="G41" s="401">
        <f>SUM(G25:H40)</f>
        <v>28</v>
      </c>
      <c r="H41" s="401"/>
      <c r="I41" s="106">
        <f>SUM(I25:I40)</f>
        <v>894.22</v>
      </c>
      <c r="J41" s="16">
        <f>SUM(J25:J40)</f>
        <v>80</v>
      </c>
      <c r="K41" s="448">
        <f>SUM(K25:L40)</f>
        <v>1868.4199999999998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>
        <v>0</v>
      </c>
      <c r="D45" s="209">
        <v>0</v>
      </c>
      <c r="E45" s="209">
        <v>0.1</v>
      </c>
      <c r="F45" s="209">
        <v>0</v>
      </c>
      <c r="G45" s="413">
        <v>0</v>
      </c>
      <c r="H45" s="443"/>
      <c r="I45" s="209">
        <v>0</v>
      </c>
      <c r="J45" s="209">
        <v>0.65</v>
      </c>
      <c r="K45" s="209">
        <v>0.2</v>
      </c>
      <c r="L45" s="209">
        <v>0.1</v>
      </c>
      <c r="M45" s="211">
        <v>0</v>
      </c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32.5</v>
      </c>
      <c r="K46" s="40">
        <f>K45*50</f>
        <v>10</v>
      </c>
      <c r="L46" s="40">
        <f>L45*50</f>
        <v>5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>
        <v>0</v>
      </c>
      <c r="D48" s="209">
        <v>0</v>
      </c>
      <c r="E48" s="209">
        <v>0</v>
      </c>
      <c r="F48" s="209">
        <v>0.2</v>
      </c>
      <c r="G48" s="413">
        <v>0.1</v>
      </c>
      <c r="H48" s="414"/>
      <c r="I48" s="209">
        <v>0.3</v>
      </c>
      <c r="J48" s="209">
        <v>0.05</v>
      </c>
      <c r="K48" s="209">
        <v>0</v>
      </c>
      <c r="L48" s="209">
        <v>0.1</v>
      </c>
      <c r="M48" s="211">
        <v>0.1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09">
        <f>G48*100</f>
        <v>10</v>
      </c>
      <c r="H49" s="410"/>
      <c r="I49" s="40">
        <f>I48*100</f>
        <v>30</v>
      </c>
      <c r="J49" s="40">
        <f>J48*150</f>
        <v>7.5</v>
      </c>
      <c r="K49" s="40">
        <f>K48*70</f>
        <v>0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0.05</v>
      </c>
      <c r="D51" s="213">
        <v>0</v>
      </c>
      <c r="E51" s="213">
        <v>0</v>
      </c>
      <c r="F51" s="209"/>
      <c r="G51" s="413"/>
      <c r="H51" s="414"/>
      <c r="I51" s="209">
        <v>0</v>
      </c>
      <c r="J51" s="209">
        <v>0</v>
      </c>
      <c r="K51" s="209">
        <v>0.24</v>
      </c>
      <c r="L51" s="209">
        <v>0.26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3.5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60</v>
      </c>
      <c r="L52" s="41">
        <f>L51*250</f>
        <v>65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274.5</v>
      </c>
      <c r="F54" s="39" t="s">
        <v>335</v>
      </c>
      <c r="G54" s="188"/>
      <c r="H54" s="188"/>
      <c r="I54" s="30">
        <f>'11'!D54</f>
        <v>501.5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>
        <v>173600</v>
      </c>
      <c r="D58" s="60">
        <v>16430</v>
      </c>
      <c r="E58" s="124">
        <f>SUM(C58:D58)</f>
        <v>190030</v>
      </c>
      <c r="F58" s="396"/>
      <c r="G58" s="397"/>
      <c r="H58" s="60">
        <v>4035</v>
      </c>
      <c r="I58" s="61">
        <v>2222</v>
      </c>
      <c r="J58" s="393"/>
      <c r="K58" s="399"/>
      <c r="L58" s="60">
        <v>6830.35</v>
      </c>
      <c r="M58" s="61">
        <f>L58/3</f>
        <v>2276.7833333333333</v>
      </c>
      <c r="N58" s="250">
        <v>3.97</v>
      </c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110.45109242134508</v>
      </c>
      <c r="D59" s="403"/>
      <c r="E59" s="404"/>
      <c r="F59" s="405" t="s">
        <v>347</v>
      </c>
      <c r="G59" s="406"/>
      <c r="H59" s="407">
        <f>IF(ISERROR(SUM(H58:I58)/$H$19),"",(SUM(H58:I58)/$H$19))</f>
        <v>3.6367546454789044</v>
      </c>
      <c r="I59" s="408"/>
      <c r="J59" s="405" t="s">
        <v>348</v>
      </c>
      <c r="K59" s="406"/>
      <c r="L59" s="115">
        <f>IF(ISERROR(L58/$H$19),"",(L58/$H$19))</f>
        <v>3.9700027317799003</v>
      </c>
      <c r="M59" s="116">
        <f>IF(ISERROR(M58/$H$19),"",(M58/$H$19))</f>
        <v>1.3233342439266333</v>
      </c>
      <c r="N59" s="194">
        <f>N58*H19</f>
        <v>6830.3453</v>
      </c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0.84722222222222221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293"/>
      <c r="F63" s="295"/>
      <c r="G63" s="293" t="s">
        <v>759</v>
      </c>
      <c r="H63" s="294"/>
      <c r="I63" s="294"/>
      <c r="J63" s="295"/>
      <c r="K63" s="238">
        <v>0.34722222222222227</v>
      </c>
      <c r="L63" s="238">
        <v>0.5</v>
      </c>
      <c r="M63" s="236" t="s">
        <v>9</v>
      </c>
      <c r="N63" s="237">
        <f t="shared" ref="N63:N126" si="2">IF(M63="No","",IF(M63="Yes",(L63-K63+(L63&lt;K63)),""))</f>
        <v>0.15277777777777773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20</v>
      </c>
      <c r="E64" s="293" t="s">
        <v>107</v>
      </c>
      <c r="F64" s="295"/>
      <c r="G64" s="293" t="s">
        <v>760</v>
      </c>
      <c r="H64" s="294"/>
      <c r="I64" s="294"/>
      <c r="J64" s="295"/>
      <c r="K64" s="238">
        <v>0.41666666666666669</v>
      </c>
      <c r="L64" s="238">
        <v>0.5</v>
      </c>
      <c r="M64" s="236" t="s">
        <v>9</v>
      </c>
      <c r="N64" s="237">
        <f t="shared" si="2"/>
        <v>8.3333333333333315E-2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 t="s">
        <v>6</v>
      </c>
      <c r="C66" s="236" t="s">
        <v>25</v>
      </c>
      <c r="D66" s="236" t="s">
        <v>23</v>
      </c>
      <c r="E66" s="293"/>
      <c r="F66" s="295"/>
      <c r="G66" s="293" t="s">
        <v>357</v>
      </c>
      <c r="H66" s="294"/>
      <c r="I66" s="294"/>
      <c r="J66" s="295"/>
      <c r="K66" s="239">
        <v>0.71527777777777779</v>
      </c>
      <c r="L66" s="239">
        <v>0.78472222222222221</v>
      </c>
      <c r="M66" s="236" t="s">
        <v>9</v>
      </c>
      <c r="N66" s="237">
        <f t="shared" si="2"/>
        <v>6.944444444444442E-2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93"/>
      <c r="F67" s="295"/>
      <c r="G67" s="293" t="s">
        <v>357</v>
      </c>
      <c r="H67" s="294"/>
      <c r="I67" s="294"/>
      <c r="J67" s="295"/>
      <c r="K67" s="238">
        <v>0.80555555555555547</v>
      </c>
      <c r="L67" s="238">
        <v>0.86111111111111116</v>
      </c>
      <c r="M67" s="236" t="s">
        <v>9</v>
      </c>
      <c r="N67" s="237">
        <f t="shared" si="2"/>
        <v>5.5555555555555691E-2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293"/>
      <c r="F68" s="295"/>
      <c r="G68" s="293" t="s">
        <v>453</v>
      </c>
      <c r="H68" s="294"/>
      <c r="I68" s="294"/>
      <c r="J68" s="295"/>
      <c r="K68" s="239">
        <v>0.58333333333333337</v>
      </c>
      <c r="L68" s="239">
        <v>0.70138888888888884</v>
      </c>
      <c r="M68" s="236" t="s">
        <v>9</v>
      </c>
      <c r="N68" s="237">
        <f t="shared" si="2"/>
        <v>0.11805555555555547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293"/>
      <c r="F69" s="295"/>
      <c r="G69" s="293" t="s">
        <v>453</v>
      </c>
      <c r="H69" s="294"/>
      <c r="I69" s="294"/>
      <c r="J69" s="295"/>
      <c r="K69" s="239">
        <v>0.75694444444444453</v>
      </c>
      <c r="L69" s="239">
        <v>0.77777777777777779</v>
      </c>
      <c r="M69" s="236" t="s">
        <v>9</v>
      </c>
      <c r="N69" s="237">
        <f t="shared" si="2"/>
        <v>2.0833333333333259E-2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93"/>
      <c r="F70" s="295"/>
      <c r="G70" s="293" t="s">
        <v>761</v>
      </c>
      <c r="H70" s="294" t="s">
        <v>762</v>
      </c>
      <c r="I70" s="294"/>
      <c r="J70" s="295"/>
      <c r="K70" s="239">
        <v>0.70138888888888884</v>
      </c>
      <c r="L70" s="239">
        <v>0.71527777777777779</v>
      </c>
      <c r="M70" s="236" t="s">
        <v>9</v>
      </c>
      <c r="N70" s="237">
        <f t="shared" si="2"/>
        <v>1.3888888888888951E-2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29</v>
      </c>
      <c r="E71" s="293" t="s">
        <v>141</v>
      </c>
      <c r="F71" s="295"/>
      <c r="G71" s="293" t="s">
        <v>763</v>
      </c>
      <c r="H71" s="294"/>
      <c r="I71" s="294"/>
      <c r="J71" s="295"/>
      <c r="K71" s="239">
        <v>0.60416666666666663</v>
      </c>
      <c r="L71" s="239">
        <v>0.6875</v>
      </c>
      <c r="M71" s="236" t="s">
        <v>9</v>
      </c>
      <c r="N71" s="237">
        <f t="shared" si="2"/>
        <v>8.333333333333337E-2</v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10</v>
      </c>
      <c r="C72" s="236" t="s">
        <v>28</v>
      </c>
      <c r="D72" s="236" t="s">
        <v>26</v>
      </c>
      <c r="E72" s="293"/>
      <c r="F72" s="295"/>
      <c r="G72" s="293" t="s">
        <v>362</v>
      </c>
      <c r="H72" s="294"/>
      <c r="I72" s="294"/>
      <c r="J72" s="295"/>
      <c r="K72" s="239">
        <v>0.93055555555555547</v>
      </c>
      <c r="L72" s="239">
        <v>0.99305555555555547</v>
      </c>
      <c r="M72" s="236" t="s">
        <v>9</v>
      </c>
      <c r="N72" s="237">
        <f t="shared" si="2"/>
        <v>6.25E-2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>
        <v>4.8611111111111112E-2</v>
      </c>
      <c r="L73" s="239">
        <v>9.7222222222222224E-2</v>
      </c>
      <c r="M73" s="236" t="s">
        <v>9</v>
      </c>
      <c r="N73" s="237">
        <f t="shared" si="2"/>
        <v>4.8611111111111112E-2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293"/>
      <c r="F74" s="295"/>
      <c r="G74" s="293" t="s">
        <v>764</v>
      </c>
      <c r="H74" s="294"/>
      <c r="I74" s="294"/>
      <c r="J74" s="295"/>
      <c r="K74" s="238">
        <v>0.125</v>
      </c>
      <c r="L74" s="238">
        <v>0.16666666666666666</v>
      </c>
      <c r="M74" s="236" t="s">
        <v>9</v>
      </c>
      <c r="N74" s="237">
        <f t="shared" si="2"/>
        <v>4.1666666666666657E-2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293"/>
      <c r="F75" s="295"/>
      <c r="G75" s="293" t="s">
        <v>362</v>
      </c>
      <c r="H75" s="294"/>
      <c r="I75" s="294"/>
      <c r="J75" s="295"/>
      <c r="K75" s="239">
        <v>0.9375</v>
      </c>
      <c r="L75" s="239">
        <v>0.97222222222222221</v>
      </c>
      <c r="M75" s="236" t="s">
        <v>9</v>
      </c>
      <c r="N75" s="237">
        <f t="shared" si="2"/>
        <v>3.472222222222221E-2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>
        <v>6.9444444444444434E-2</v>
      </c>
      <c r="L76" s="239">
        <v>9.0277777777777776E-2</v>
      </c>
      <c r="M76" s="236" t="s">
        <v>9</v>
      </c>
      <c r="N76" s="237">
        <f t="shared" si="2"/>
        <v>2.0833333333333343E-2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>
        <v>0.1111111111111111</v>
      </c>
      <c r="L77" s="238">
        <v>0.15277777777777776</v>
      </c>
      <c r="M77" s="236" t="s">
        <v>9</v>
      </c>
      <c r="N77" s="237">
        <f t="shared" si="2"/>
        <v>4.1666666666666657E-2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418</v>
      </c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420</v>
      </c>
      <c r="D137" s="450"/>
      <c r="E137" s="434" t="s">
        <v>369</v>
      </c>
      <c r="F137" s="435"/>
      <c r="G137" s="423" t="s">
        <v>370</v>
      </c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 t="s">
        <v>245</v>
      </c>
      <c r="C143" s="215">
        <v>13</v>
      </c>
      <c r="D143" s="306" t="s">
        <v>765</v>
      </c>
      <c r="E143" s="306"/>
      <c r="F143" s="306"/>
      <c r="G143" s="307" t="s">
        <v>717</v>
      </c>
      <c r="H143" s="307"/>
      <c r="I143" s="307"/>
      <c r="J143" s="307">
        <v>22</v>
      </c>
      <c r="K143" s="307"/>
      <c r="L143" s="306" t="s">
        <v>423</v>
      </c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13</v>
      </c>
      <c r="D144" s="306" t="s">
        <v>766</v>
      </c>
      <c r="E144" s="306"/>
      <c r="F144" s="306"/>
      <c r="G144" s="307" t="s">
        <v>479</v>
      </c>
      <c r="H144" s="307"/>
      <c r="I144" s="307"/>
      <c r="J144" s="307">
        <v>29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19</v>
      </c>
      <c r="D145" s="306" t="s">
        <v>767</v>
      </c>
      <c r="E145" s="306"/>
      <c r="F145" s="306"/>
      <c r="G145" s="307" t="s">
        <v>478</v>
      </c>
      <c r="H145" s="307"/>
      <c r="I145" s="307"/>
      <c r="J145" s="307">
        <v>11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9</v>
      </c>
      <c r="D146" s="306" t="s">
        <v>766</v>
      </c>
      <c r="E146" s="306"/>
      <c r="F146" s="306"/>
      <c r="G146" s="307" t="s">
        <v>377</v>
      </c>
      <c r="H146" s="307"/>
      <c r="I146" s="307"/>
      <c r="J146" s="307">
        <v>32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3</v>
      </c>
      <c r="D147" s="306" t="s">
        <v>768</v>
      </c>
      <c r="E147" s="306"/>
      <c r="F147" s="306"/>
      <c r="G147" s="307" t="s">
        <v>380</v>
      </c>
      <c r="H147" s="307"/>
      <c r="I147" s="307"/>
      <c r="J147" s="307" t="s">
        <v>769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 t="s">
        <v>770</v>
      </c>
      <c r="D148" s="306" t="s">
        <v>771</v>
      </c>
      <c r="E148" s="306"/>
      <c r="F148" s="306"/>
      <c r="G148" s="307" t="s">
        <v>389</v>
      </c>
      <c r="H148" s="307"/>
      <c r="I148" s="307"/>
      <c r="J148" s="307">
        <v>326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15</v>
      </c>
      <c r="D149" s="306" t="s">
        <v>772</v>
      </c>
      <c r="E149" s="306"/>
      <c r="F149" s="306"/>
      <c r="G149" s="307" t="s">
        <v>773</v>
      </c>
      <c r="H149" s="307"/>
      <c r="I149" s="307"/>
      <c r="J149" s="307">
        <v>28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18</v>
      </c>
      <c r="D150" s="306" t="s">
        <v>767</v>
      </c>
      <c r="E150" s="306"/>
      <c r="F150" s="306"/>
      <c r="G150" s="307" t="s">
        <v>380</v>
      </c>
      <c r="H150" s="307"/>
      <c r="I150" s="307"/>
      <c r="J150" s="307">
        <v>19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 t="s">
        <v>774</v>
      </c>
      <c r="D151" s="306" t="s">
        <v>768</v>
      </c>
      <c r="E151" s="306"/>
      <c r="F151" s="306"/>
      <c r="G151" s="307" t="s">
        <v>380</v>
      </c>
      <c r="H151" s="307"/>
      <c r="I151" s="307"/>
      <c r="J151" s="307" t="s">
        <v>775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13</v>
      </c>
      <c r="D152" s="306" t="s">
        <v>748</v>
      </c>
      <c r="E152" s="306"/>
      <c r="F152" s="306"/>
      <c r="G152" s="307" t="s">
        <v>479</v>
      </c>
      <c r="H152" s="307"/>
      <c r="I152" s="307"/>
      <c r="J152" s="307">
        <v>23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12</v>
      </c>
      <c r="D153" s="306" t="s">
        <v>776</v>
      </c>
      <c r="E153" s="306"/>
      <c r="F153" s="306"/>
      <c r="G153" s="307" t="s">
        <v>392</v>
      </c>
      <c r="H153" s="307"/>
      <c r="I153" s="307"/>
      <c r="J153" s="307">
        <v>43</v>
      </c>
      <c r="K153" s="307"/>
      <c r="L153" s="306" t="s">
        <v>423</v>
      </c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 t="s">
        <v>246</v>
      </c>
      <c r="C155" s="215">
        <v>3</v>
      </c>
      <c r="D155" s="306" t="s">
        <v>777</v>
      </c>
      <c r="E155" s="306"/>
      <c r="F155" s="306"/>
      <c r="G155" s="307" t="s">
        <v>380</v>
      </c>
      <c r="H155" s="307"/>
      <c r="I155" s="307"/>
      <c r="J155" s="307">
        <v>33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9</v>
      </c>
      <c r="D156" s="306" t="s">
        <v>778</v>
      </c>
      <c r="E156" s="306"/>
      <c r="F156" s="306"/>
      <c r="G156" s="307" t="s">
        <v>377</v>
      </c>
      <c r="H156" s="307"/>
      <c r="I156" s="307"/>
      <c r="J156" s="307">
        <v>29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23</v>
      </c>
      <c r="D157" s="306" t="s">
        <v>779</v>
      </c>
      <c r="E157" s="306"/>
      <c r="F157" s="306"/>
      <c r="G157" s="307" t="s">
        <v>389</v>
      </c>
      <c r="H157" s="307"/>
      <c r="I157" s="307"/>
      <c r="J157" s="307">
        <v>326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12</v>
      </c>
      <c r="D158" s="306" t="s">
        <v>780</v>
      </c>
      <c r="E158" s="306"/>
      <c r="F158" s="306"/>
      <c r="G158" s="307" t="s">
        <v>392</v>
      </c>
      <c r="H158" s="307"/>
      <c r="I158" s="307"/>
      <c r="J158" s="307">
        <v>44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15</v>
      </c>
      <c r="D159" s="306" t="s">
        <v>781</v>
      </c>
      <c r="E159" s="306"/>
      <c r="F159" s="306"/>
      <c r="G159" s="307" t="s">
        <v>440</v>
      </c>
      <c r="H159" s="307"/>
      <c r="I159" s="307"/>
      <c r="J159" s="307">
        <v>35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306" t="s">
        <v>782</v>
      </c>
      <c r="E160" s="306"/>
      <c r="F160" s="306"/>
      <c r="G160" s="307" t="s">
        <v>783</v>
      </c>
      <c r="H160" s="307"/>
      <c r="I160" s="307"/>
      <c r="J160" s="307">
        <v>17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14</v>
      </c>
      <c r="D161" s="306" t="s">
        <v>778</v>
      </c>
      <c r="E161" s="306"/>
      <c r="F161" s="306"/>
      <c r="G161" s="307" t="s">
        <v>742</v>
      </c>
      <c r="H161" s="307"/>
      <c r="I161" s="307"/>
      <c r="J161" s="307">
        <v>22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306" t="s">
        <v>782</v>
      </c>
      <c r="E162" s="306"/>
      <c r="F162" s="306"/>
      <c r="G162" s="307" t="s">
        <v>543</v>
      </c>
      <c r="H162" s="307"/>
      <c r="I162" s="307"/>
      <c r="J162" s="307">
        <v>20</v>
      </c>
      <c r="K162" s="307"/>
      <c r="L162" s="306" t="s">
        <v>423</v>
      </c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14</v>
      </c>
      <c r="D163" s="306" t="s">
        <v>781</v>
      </c>
      <c r="E163" s="306"/>
      <c r="F163" s="306"/>
      <c r="G163" s="307" t="s">
        <v>784</v>
      </c>
      <c r="H163" s="307"/>
      <c r="I163" s="307"/>
      <c r="J163" s="307">
        <v>23</v>
      </c>
      <c r="K163" s="307"/>
      <c r="L163" s="306" t="s">
        <v>423</v>
      </c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306" t="s">
        <v>778</v>
      </c>
      <c r="E164" s="306"/>
      <c r="F164" s="306"/>
      <c r="G164" s="307" t="s">
        <v>436</v>
      </c>
      <c r="H164" s="307"/>
      <c r="I164" s="307"/>
      <c r="J164" s="307">
        <v>36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 t="s">
        <v>247</v>
      </c>
      <c r="C165" s="215">
        <v>12</v>
      </c>
      <c r="D165" s="306" t="s">
        <v>785</v>
      </c>
      <c r="E165" s="306"/>
      <c r="F165" s="306"/>
      <c r="G165" s="307" t="s">
        <v>392</v>
      </c>
      <c r="H165" s="307"/>
      <c r="I165" s="307"/>
      <c r="J165" s="307">
        <v>67</v>
      </c>
      <c r="K165" s="307"/>
      <c r="L165" s="306" t="s">
        <v>423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3</v>
      </c>
      <c r="D166" s="306" t="s">
        <v>786</v>
      </c>
      <c r="E166" s="306"/>
      <c r="F166" s="306"/>
      <c r="G166" s="307" t="s">
        <v>380</v>
      </c>
      <c r="H166" s="307"/>
      <c r="I166" s="307"/>
      <c r="J166" s="307">
        <v>38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 t="s">
        <v>403</v>
      </c>
      <c r="D167" s="306" t="s">
        <v>787</v>
      </c>
      <c r="E167" s="306"/>
      <c r="F167" s="306"/>
      <c r="G167" s="307" t="s">
        <v>377</v>
      </c>
      <c r="H167" s="307"/>
      <c r="I167" s="307"/>
      <c r="J167" s="307">
        <v>33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18</v>
      </c>
      <c r="D168" s="306" t="s">
        <v>788</v>
      </c>
      <c r="E168" s="306"/>
      <c r="F168" s="306"/>
      <c r="G168" s="307" t="s">
        <v>449</v>
      </c>
      <c r="H168" s="307"/>
      <c r="I168" s="307"/>
      <c r="J168" s="307">
        <v>22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>
        <v>18</v>
      </c>
      <c r="D169" s="306" t="s">
        <v>788</v>
      </c>
      <c r="E169" s="306"/>
      <c r="F169" s="306"/>
      <c r="G169" s="307" t="s">
        <v>380</v>
      </c>
      <c r="H169" s="307"/>
      <c r="I169" s="307"/>
      <c r="J169" s="307">
        <v>23</v>
      </c>
      <c r="K169" s="307"/>
      <c r="L169" s="306" t="s">
        <v>423</v>
      </c>
      <c r="M169" s="306"/>
      <c r="N169" s="245"/>
    </row>
    <row r="170" spans="1:18" ht="14.25" x14ac:dyDescent="0.2">
      <c r="B170" s="216"/>
      <c r="C170" s="215">
        <v>13</v>
      </c>
      <c r="D170" s="306" t="s">
        <v>787</v>
      </c>
      <c r="E170" s="306"/>
      <c r="F170" s="306"/>
      <c r="G170" s="307" t="s">
        <v>436</v>
      </c>
      <c r="H170" s="307"/>
      <c r="I170" s="307"/>
      <c r="J170" s="307">
        <v>29</v>
      </c>
      <c r="K170" s="307"/>
      <c r="L170" s="306" t="s">
        <v>423</v>
      </c>
      <c r="M170" s="306"/>
      <c r="N170" s="245"/>
    </row>
    <row r="171" spans="1:18" ht="14.25" x14ac:dyDescent="0.2">
      <c r="B171" s="216"/>
      <c r="C171" s="215">
        <v>19</v>
      </c>
      <c r="D171" s="308" t="s">
        <v>788</v>
      </c>
      <c r="E171" s="309"/>
      <c r="F171" s="310"/>
      <c r="G171" s="307" t="s">
        <v>478</v>
      </c>
      <c r="H171" s="307"/>
      <c r="I171" s="307"/>
      <c r="J171" s="307">
        <v>18</v>
      </c>
      <c r="K171" s="307"/>
      <c r="L171" s="306" t="s">
        <v>423</v>
      </c>
      <c r="M171" s="306"/>
      <c r="N171" s="245"/>
    </row>
    <row r="172" spans="1:18" ht="14.25" x14ac:dyDescent="0.2">
      <c r="B172" s="216"/>
      <c r="C172" s="215">
        <v>12</v>
      </c>
      <c r="D172" s="306" t="s">
        <v>785</v>
      </c>
      <c r="E172" s="306"/>
      <c r="F172" s="306"/>
      <c r="G172" s="307" t="s">
        <v>392</v>
      </c>
      <c r="H172" s="307"/>
      <c r="I172" s="307"/>
      <c r="J172" s="307">
        <v>65</v>
      </c>
      <c r="K172" s="307"/>
      <c r="L172" s="306" t="s">
        <v>423</v>
      </c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66028BFB-F7B2-48E7-8648-0EB933B2E7AE}">
      <formula1>INDIRECT(D63)</formula1>
    </dataValidation>
  </dataValidations>
  <hyperlinks>
    <hyperlink ref="J14:L15" location="Summary!A1" display="MTD Summary " xr:uid="{B0B1F230-515F-4D5D-B0A6-5D26A66B23C1}"/>
    <hyperlink ref="J16:L17" location="Graph!A1" display="MTD Trendings" xr:uid="{3565B55F-8FBC-42F5-BBB1-6C36A8E5517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6B6B612-06B2-4A2C-873F-E107F3172688}">
          <x14:formula1>
            <xm:f>List!$C$5:$C$14</xm:f>
          </x14:formula1>
          <xm:sqref>D63:D131</xm:sqref>
        </x14:dataValidation>
        <x14:dataValidation type="list" allowBlank="1" showInputMessage="1" showErrorMessage="1" xr:uid="{AEFFA150-CA0E-425A-831D-84133A304B14}">
          <x14:formula1>
            <xm:f>List!$B$10:$B$12</xm:f>
          </x14:formula1>
          <xm:sqref>C63:C131</xm:sqref>
        </x14:dataValidation>
        <x14:dataValidation type="list" allowBlank="1" showInputMessage="1" showErrorMessage="1" xr:uid="{5A24BBA6-032E-4C7E-A325-6EC6CFC0DB19}">
          <x14:formula1>
            <xm:f>List!$B$5:$B$8</xm:f>
          </x14:formula1>
          <xm:sqref>B63:B131</xm:sqref>
        </x14:dataValidation>
        <x14:dataValidation type="list" allowBlank="1" showInputMessage="1" showErrorMessage="1" xr:uid="{8BEB3ACC-021D-4113-9B50-2A037538F70A}">
          <x14:formula1>
            <xm:f>Sheet3!$C$3:$C$4</xm:f>
          </x14:formula1>
          <xm:sqref>M63:M132</xm:sqref>
        </x14:dataValidation>
        <x14:dataValidation type="list" allowBlank="1" showInputMessage="1" xr:uid="{BB67671A-667C-4B63-BFDD-BB83904CB554}">
          <x14:formula1>
            <xm:f>Sheet3!$D$3:$D$11</xm:f>
          </x14:formula1>
          <xm:sqref>C132</xm:sqref>
        </x14:dataValidation>
        <x14:dataValidation type="list" allowBlank="1" showInputMessage="1" showErrorMessage="1" xr:uid="{B04044B4-AE83-424C-8EF6-415E28A50174}">
          <x14:formula1>
            <xm:f>Sheet3!$B$3:$B$5</xm:f>
          </x14:formula1>
          <xm:sqref>B143:B165 B132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2ED-5DDE-4BAE-942F-10578F767FA6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13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1750.82</v>
      </c>
      <c r="K6" s="391"/>
      <c r="L6" s="391">
        <f ca="1">Summary!G21</f>
        <v>1702.9099999999999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120</v>
      </c>
      <c r="E7" s="84">
        <v>60</v>
      </c>
      <c r="F7" s="366">
        <v>60</v>
      </c>
      <c r="G7" s="367"/>
      <c r="H7" s="345">
        <f>SUM(D7:D10)</f>
        <v>570.33000000000004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>
        <v>150</v>
      </c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>
        <v>160</v>
      </c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>
        <v>140.33000000000001</v>
      </c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>
        <v>120</v>
      </c>
      <c r="E11" s="90">
        <v>60</v>
      </c>
      <c r="F11" s="357">
        <v>60</v>
      </c>
      <c r="G11" s="358"/>
      <c r="H11" s="359">
        <f>SUM(D11:D14)</f>
        <v>560.27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>
        <v>130</v>
      </c>
      <c r="E12" s="92">
        <v>60</v>
      </c>
      <c r="F12" s="362">
        <v>60</v>
      </c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>
        <v>150</v>
      </c>
      <c r="E13" s="92">
        <v>60</v>
      </c>
      <c r="F13" s="362">
        <v>60</v>
      </c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>
        <v>160.27000000000001</v>
      </c>
      <c r="E14" s="94">
        <v>60</v>
      </c>
      <c r="F14" s="364">
        <v>60</v>
      </c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>
        <v>120</v>
      </c>
      <c r="E15" s="96">
        <v>60</v>
      </c>
      <c r="F15" s="343">
        <v>60</v>
      </c>
      <c r="G15" s="344"/>
      <c r="H15" s="345">
        <f>SUM(D15:D18)</f>
        <v>620.22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>
        <v>160</v>
      </c>
      <c r="E16" s="98">
        <v>60</v>
      </c>
      <c r="F16" s="372">
        <v>60</v>
      </c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>
        <v>160</v>
      </c>
      <c r="E17" s="98">
        <v>60</v>
      </c>
      <c r="F17" s="372">
        <v>60</v>
      </c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>
        <v>180.22</v>
      </c>
      <c r="E18" s="100">
        <v>60</v>
      </c>
      <c r="F18" s="375">
        <v>60</v>
      </c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1750.82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>
        <v>8</v>
      </c>
      <c r="D25" s="102">
        <v>79</v>
      </c>
      <c r="E25" s="56">
        <v>7</v>
      </c>
      <c r="F25" s="107">
        <v>92</v>
      </c>
      <c r="G25" s="381">
        <v>6</v>
      </c>
      <c r="H25" s="382"/>
      <c r="I25" s="111">
        <v>80</v>
      </c>
      <c r="J25" s="38">
        <f t="shared" ref="J25:J40" si="0">C25+E25+G25</f>
        <v>21</v>
      </c>
      <c r="K25" s="383">
        <f>D25+F25+I25</f>
        <v>251</v>
      </c>
      <c r="L25" s="384"/>
      <c r="M25" s="2"/>
      <c r="N25" s="245"/>
    </row>
    <row r="26" spans="2:14" ht="14.1" customHeight="1" x14ac:dyDescent="0.2">
      <c r="B26" s="80" t="s">
        <v>308</v>
      </c>
      <c r="C26" s="45">
        <v>5</v>
      </c>
      <c r="D26" s="103">
        <v>60</v>
      </c>
      <c r="E26" s="57">
        <v>6</v>
      </c>
      <c r="F26" s="108">
        <v>40</v>
      </c>
      <c r="G26" s="377">
        <v>6</v>
      </c>
      <c r="H26" s="378"/>
      <c r="I26" s="112">
        <v>66</v>
      </c>
      <c r="J26" s="25">
        <f t="shared" si="0"/>
        <v>17</v>
      </c>
      <c r="K26" s="379">
        <f t="shared" ref="K26:K39" si="1">D26+F26+I26</f>
        <v>166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>
        <v>124</v>
      </c>
      <c r="E27" s="57"/>
      <c r="F27" s="108">
        <v>118</v>
      </c>
      <c r="G27" s="377"/>
      <c r="H27" s="378"/>
      <c r="I27" s="112">
        <v>90</v>
      </c>
      <c r="J27" s="25">
        <f t="shared" si="0"/>
        <v>0</v>
      </c>
      <c r="K27" s="379">
        <f t="shared" si="1"/>
        <v>332</v>
      </c>
      <c r="L27" s="380"/>
      <c r="M27" s="2"/>
      <c r="N27" s="245"/>
    </row>
    <row r="28" spans="2:14" ht="14.1" customHeight="1" x14ac:dyDescent="0.2">
      <c r="B28" s="80" t="s">
        <v>310</v>
      </c>
      <c r="C28" s="45">
        <v>6</v>
      </c>
      <c r="D28" s="103"/>
      <c r="E28" s="57">
        <v>7</v>
      </c>
      <c r="F28" s="108"/>
      <c r="G28" s="377">
        <v>7</v>
      </c>
      <c r="H28" s="378"/>
      <c r="I28" s="112"/>
      <c r="J28" s="25">
        <f t="shared" si="0"/>
        <v>20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>
        <v>4</v>
      </c>
      <c r="D29" s="103"/>
      <c r="E29" s="57">
        <v>5</v>
      </c>
      <c r="F29" s="108"/>
      <c r="G29" s="377">
        <v>4</v>
      </c>
      <c r="H29" s="378"/>
      <c r="I29" s="112"/>
      <c r="J29" s="25">
        <f t="shared" si="0"/>
        <v>13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>
        <v>1</v>
      </c>
      <c r="D30" s="103">
        <v>57</v>
      </c>
      <c r="E30" s="57">
        <v>1</v>
      </c>
      <c r="F30" s="108"/>
      <c r="G30" s="377">
        <v>1</v>
      </c>
      <c r="H30" s="378"/>
      <c r="I30" s="112"/>
      <c r="J30" s="25">
        <f t="shared" si="0"/>
        <v>3</v>
      </c>
      <c r="K30" s="379">
        <f t="shared" si="1"/>
        <v>57</v>
      </c>
      <c r="L30" s="380"/>
      <c r="N30" s="245"/>
    </row>
    <row r="31" spans="2:14" ht="14.1" customHeight="1" x14ac:dyDescent="0.2">
      <c r="B31" s="80" t="s">
        <v>313</v>
      </c>
      <c r="C31" s="45">
        <v>1</v>
      </c>
      <c r="D31" s="103"/>
      <c r="E31" s="57">
        <v>2</v>
      </c>
      <c r="F31" s="108"/>
      <c r="G31" s="377">
        <v>4</v>
      </c>
      <c r="H31" s="378"/>
      <c r="I31" s="112"/>
      <c r="J31" s="25">
        <f t="shared" si="0"/>
        <v>7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>
        <v>1</v>
      </c>
      <c r="D32" s="103"/>
      <c r="E32" s="57">
        <v>1</v>
      </c>
      <c r="F32" s="108"/>
      <c r="G32" s="377">
        <v>1</v>
      </c>
      <c r="H32" s="378"/>
      <c r="I32" s="112"/>
      <c r="J32" s="25">
        <f t="shared" si="0"/>
        <v>3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>
        <v>1</v>
      </c>
      <c r="F34" s="108"/>
      <c r="G34" s="377"/>
      <c r="H34" s="378"/>
      <c r="I34" s="112"/>
      <c r="J34" s="25">
        <f t="shared" si="0"/>
        <v>1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>
        <v>22</v>
      </c>
      <c r="E36" s="58"/>
      <c r="F36" s="109">
        <v>18</v>
      </c>
      <c r="G36" s="377"/>
      <c r="H36" s="378"/>
      <c r="I36" s="113"/>
      <c r="J36" s="25">
        <f t="shared" si="0"/>
        <v>0</v>
      </c>
      <c r="K36" s="379">
        <f t="shared" si="1"/>
        <v>40</v>
      </c>
      <c r="L36" s="380"/>
      <c r="N36" s="245"/>
    </row>
    <row r="37" spans="1:16" ht="14.1" customHeight="1" x14ac:dyDescent="0.2">
      <c r="B37" s="37" t="s">
        <v>319</v>
      </c>
      <c r="C37" s="55"/>
      <c r="D37" s="104">
        <v>7</v>
      </c>
      <c r="E37" s="58"/>
      <c r="F37" s="109">
        <v>7</v>
      </c>
      <c r="G37" s="377"/>
      <c r="H37" s="378"/>
      <c r="I37" s="113">
        <v>8</v>
      </c>
      <c r="J37" s="25">
        <f t="shared" si="0"/>
        <v>0</v>
      </c>
      <c r="K37" s="379">
        <f t="shared" si="1"/>
        <v>22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>
        <v>420.39</v>
      </c>
      <c r="J38" s="25">
        <f t="shared" si="0"/>
        <v>0</v>
      </c>
      <c r="K38" s="379">
        <f t="shared" si="1"/>
        <v>420.39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>
        <v>45</v>
      </c>
      <c r="J39" s="25">
        <f t="shared" si="0"/>
        <v>0</v>
      </c>
      <c r="K39" s="379">
        <f t="shared" si="1"/>
        <v>45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>
        <v>120.48</v>
      </c>
      <c r="E40" s="59"/>
      <c r="F40" s="110">
        <v>144</v>
      </c>
      <c r="G40" s="444"/>
      <c r="H40" s="445"/>
      <c r="I40" s="114">
        <v>143.04</v>
      </c>
      <c r="J40" s="26">
        <f t="shared" si="0"/>
        <v>0</v>
      </c>
      <c r="K40" s="446">
        <f>D40+F40+I40</f>
        <v>407.52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26</v>
      </c>
      <c r="D41" s="106">
        <f>SUM(D25:D40)</f>
        <v>469.48</v>
      </c>
      <c r="E41" s="16">
        <f>SUM(E25:E40)</f>
        <v>30</v>
      </c>
      <c r="F41" s="106">
        <f>SUM(F25:F40)</f>
        <v>419</v>
      </c>
      <c r="G41" s="401">
        <f>SUM(G25:H40)</f>
        <v>29</v>
      </c>
      <c r="H41" s="401"/>
      <c r="I41" s="106">
        <f>SUM(I25:I40)</f>
        <v>852.43</v>
      </c>
      <c r="J41" s="16">
        <f>SUM(J25:J40)</f>
        <v>85</v>
      </c>
      <c r="K41" s="448">
        <f>SUM(K25:L40)</f>
        <v>1740.9099999999999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09">
        <v>0.2</v>
      </c>
      <c r="K45" s="209">
        <v>0.4</v>
      </c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10</v>
      </c>
      <c r="K46" s="40">
        <f>K45*50</f>
        <v>20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>
        <v>0.4</v>
      </c>
      <c r="G48" s="413">
        <v>0.2</v>
      </c>
      <c r="H48" s="414"/>
      <c r="I48" s="209">
        <v>0.8</v>
      </c>
      <c r="J48" s="209">
        <v>0</v>
      </c>
      <c r="K48" s="209">
        <v>0.1</v>
      </c>
      <c r="L48" s="209">
        <v>0.1</v>
      </c>
      <c r="M48" s="211">
        <v>0.05</v>
      </c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64</v>
      </c>
      <c r="G49" s="409">
        <f>G48*100</f>
        <v>20</v>
      </c>
      <c r="H49" s="410"/>
      <c r="I49" s="40">
        <f>I48*100</f>
        <v>80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3.5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>
        <v>0.05</v>
      </c>
      <c r="D51" s="213">
        <v>0</v>
      </c>
      <c r="E51" s="213">
        <v>0.05</v>
      </c>
      <c r="F51" s="209"/>
      <c r="G51" s="413"/>
      <c r="H51" s="414"/>
      <c r="I51" s="209">
        <v>0</v>
      </c>
      <c r="J51" s="209">
        <v>0</v>
      </c>
      <c r="K51" s="209">
        <v>0.1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3.5</v>
      </c>
      <c r="D52" s="41">
        <f>D51*70</f>
        <v>0</v>
      </c>
      <c r="E52" s="41">
        <f>E51*70</f>
        <v>3.5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25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243.5</v>
      </c>
      <c r="F54" s="39" t="s">
        <v>335</v>
      </c>
      <c r="G54" s="188"/>
      <c r="H54" s="188"/>
      <c r="I54" s="30">
        <f>'12'!D54</f>
        <v>274.5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>
        <v>177400</v>
      </c>
      <c r="D58" s="60">
        <v>16050</v>
      </c>
      <c r="E58" s="124">
        <f>SUM(C58:D58)</f>
        <v>193450</v>
      </c>
      <c r="F58" s="396"/>
      <c r="G58" s="397"/>
      <c r="H58" s="60">
        <v>4054</v>
      </c>
      <c r="I58" s="61">
        <v>2275</v>
      </c>
      <c r="J58" s="393"/>
      <c r="K58" s="399"/>
      <c r="L58" s="60">
        <f>N58*H19</f>
        <v>6758.1651999999995</v>
      </c>
      <c r="M58" s="61">
        <f>L58/3</f>
        <v>2252.7217333333333</v>
      </c>
      <c r="N58" s="250">
        <v>3.86</v>
      </c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110.49108417769959</v>
      </c>
      <c r="D59" s="403"/>
      <c r="E59" s="404"/>
      <c r="F59" s="405" t="s">
        <v>347</v>
      </c>
      <c r="G59" s="406"/>
      <c r="H59" s="407">
        <f>IF(ISERROR(SUM(H58:I58)/$H$19),"",(SUM(H58:I58)/$H$19))</f>
        <v>3.6148776002101872</v>
      </c>
      <c r="I59" s="408"/>
      <c r="J59" s="405" t="s">
        <v>348</v>
      </c>
      <c r="K59" s="406"/>
      <c r="L59" s="115">
        <f>IF(ISERROR(L58/$H$19),"",(L58/$H$19))</f>
        <v>3.86</v>
      </c>
      <c r="M59" s="116">
        <f>IF(ISERROR(M58/$H$19),"",(M58/$H$19))</f>
        <v>1.2866666666666666</v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26</v>
      </c>
      <c r="E64" s="293"/>
      <c r="F64" s="295"/>
      <c r="G64" s="293" t="s">
        <v>789</v>
      </c>
      <c r="H64" s="294"/>
      <c r="I64" s="294"/>
      <c r="J64" s="295"/>
      <c r="K64" s="238">
        <v>0.2986111111111111</v>
      </c>
      <c r="L64" s="238">
        <v>0.36805555555555558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293"/>
      <c r="F65" s="295"/>
      <c r="G65" s="293" t="s">
        <v>790</v>
      </c>
      <c r="H65" s="294"/>
      <c r="I65" s="294"/>
      <c r="J65" s="295"/>
      <c r="K65" s="239">
        <v>0.3611111111111111</v>
      </c>
      <c r="L65" s="239">
        <v>0.375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31</v>
      </c>
      <c r="E66" s="293" t="s">
        <v>148</v>
      </c>
      <c r="F66" s="295"/>
      <c r="G66" s="293" t="s">
        <v>791</v>
      </c>
      <c r="H66" s="294"/>
      <c r="I66" s="294"/>
      <c r="J66" s="295"/>
      <c r="K66" s="239">
        <v>0.27083333333333331</v>
      </c>
      <c r="L66" s="239">
        <v>0.3125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31</v>
      </c>
      <c r="E67" s="293" t="s">
        <v>148</v>
      </c>
      <c r="F67" s="295"/>
      <c r="G67" s="293" t="s">
        <v>792</v>
      </c>
      <c r="H67" s="294"/>
      <c r="I67" s="294"/>
      <c r="J67" s="295"/>
      <c r="K67" s="238">
        <v>0.41666666666666669</v>
      </c>
      <c r="L67" s="238">
        <v>0.45833333333333331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6</v>
      </c>
      <c r="C69" s="236" t="s">
        <v>25</v>
      </c>
      <c r="D69" s="236" t="s">
        <v>23</v>
      </c>
      <c r="E69" s="293"/>
      <c r="F69" s="295"/>
      <c r="G69" s="293" t="s">
        <v>793</v>
      </c>
      <c r="H69" s="294"/>
      <c r="I69" s="294"/>
      <c r="J69" s="295"/>
      <c r="K69" s="239">
        <v>0.75694444444444453</v>
      </c>
      <c r="L69" s="239">
        <v>0.78472222222222221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26</v>
      </c>
      <c r="E70" s="293"/>
      <c r="F70" s="295"/>
      <c r="G70" s="293" t="s">
        <v>789</v>
      </c>
      <c r="H70" s="294" t="s">
        <v>794</v>
      </c>
      <c r="I70" s="294"/>
      <c r="J70" s="295"/>
      <c r="K70" s="239">
        <v>0.60416666666666663</v>
      </c>
      <c r="L70" s="239">
        <v>0.70833333333333337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293"/>
      <c r="F71" s="295"/>
      <c r="G71" s="293" t="s">
        <v>789</v>
      </c>
      <c r="H71" s="294"/>
      <c r="I71" s="294"/>
      <c r="J71" s="295"/>
      <c r="K71" s="239">
        <v>0.76388888888888884</v>
      </c>
      <c r="L71" s="239">
        <v>0.79861111111111116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31</v>
      </c>
      <c r="E72" s="293" t="s">
        <v>148</v>
      </c>
      <c r="F72" s="295"/>
      <c r="G72" s="293" t="s">
        <v>795</v>
      </c>
      <c r="H72" s="294"/>
      <c r="I72" s="294"/>
      <c r="J72" s="295"/>
      <c r="K72" s="239">
        <v>0.60416666666666663</v>
      </c>
      <c r="L72" s="239">
        <v>0.64583333333333337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31</v>
      </c>
      <c r="E73" s="293" t="s">
        <v>148</v>
      </c>
      <c r="F73" s="295"/>
      <c r="G73" s="293" t="s">
        <v>795</v>
      </c>
      <c r="H73" s="294"/>
      <c r="I73" s="294"/>
      <c r="J73" s="295"/>
      <c r="K73" s="239">
        <v>0.77083333333333337</v>
      </c>
      <c r="L73" s="239">
        <v>0.8125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15</v>
      </c>
      <c r="E74" s="293"/>
      <c r="F74" s="295"/>
      <c r="G74" s="293" t="s">
        <v>796</v>
      </c>
      <c r="H74" s="294"/>
      <c r="I74" s="294"/>
      <c r="J74" s="295"/>
      <c r="K74" s="238">
        <v>0.79166666666666663</v>
      </c>
      <c r="L74" s="238">
        <v>0.89583333333333337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10</v>
      </c>
      <c r="C76" s="236" t="s">
        <v>28</v>
      </c>
      <c r="D76" s="236" t="s">
        <v>23</v>
      </c>
      <c r="E76" s="293"/>
      <c r="F76" s="295"/>
      <c r="G76" s="293" t="s">
        <v>456</v>
      </c>
      <c r="H76" s="294"/>
      <c r="I76" s="294"/>
      <c r="J76" s="295"/>
      <c r="K76" s="239">
        <v>1</v>
      </c>
      <c r="L76" s="239">
        <v>1.0208333333333333</v>
      </c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>
        <v>1.0347222222222221</v>
      </c>
      <c r="L77" s="238">
        <v>5.5555555555555552E-2</v>
      </c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>
        <v>9.7222222222222224E-2</v>
      </c>
      <c r="L78" s="239">
        <v>0.11805555555555557</v>
      </c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>
        <v>0.17361111111111113</v>
      </c>
      <c r="L79" s="239">
        <v>0.21527777777777779</v>
      </c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26</v>
      </c>
      <c r="E81" s="293"/>
      <c r="F81" s="295"/>
      <c r="G81" s="293" t="s">
        <v>456</v>
      </c>
      <c r="H81" s="294"/>
      <c r="I81" s="294"/>
      <c r="J81" s="295"/>
      <c r="K81" s="239">
        <v>4.1666666666666664E-2</v>
      </c>
      <c r="L81" s="239">
        <v>6.25E-2</v>
      </c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15</v>
      </c>
      <c r="E82" s="293"/>
      <c r="F82" s="295"/>
      <c r="G82" s="293" t="s">
        <v>797</v>
      </c>
      <c r="H82" s="294"/>
      <c r="I82" s="294"/>
      <c r="J82" s="295"/>
      <c r="K82" s="239">
        <v>1</v>
      </c>
      <c r="L82" s="239">
        <v>1.0138888888888888</v>
      </c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15</v>
      </c>
      <c r="E83" s="293"/>
      <c r="F83" s="295"/>
      <c r="G83" s="293" t="s">
        <v>798</v>
      </c>
      <c r="H83" s="294"/>
      <c r="I83" s="294"/>
      <c r="J83" s="295"/>
      <c r="K83" s="239">
        <v>0.20833333333333334</v>
      </c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607</v>
      </c>
      <c r="D136" s="452"/>
      <c r="E136" s="434"/>
      <c r="F136" s="435"/>
      <c r="G136" s="423" t="s">
        <v>460</v>
      </c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534</v>
      </c>
      <c r="D137" s="450"/>
      <c r="E137" s="434" t="s">
        <v>369</v>
      </c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 t="s">
        <v>245</v>
      </c>
      <c r="C143" s="215">
        <v>9</v>
      </c>
      <c r="D143" s="306" t="s">
        <v>799</v>
      </c>
      <c r="E143" s="306"/>
      <c r="F143" s="306"/>
      <c r="G143" s="307" t="s">
        <v>422</v>
      </c>
      <c r="H143" s="307"/>
      <c r="I143" s="307"/>
      <c r="J143" s="307">
        <v>33</v>
      </c>
      <c r="K143" s="307"/>
      <c r="L143" s="306" t="s">
        <v>423</v>
      </c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18</v>
      </c>
      <c r="D144" s="306" t="s">
        <v>800</v>
      </c>
      <c r="E144" s="306"/>
      <c r="F144" s="306"/>
      <c r="G144" s="307" t="s">
        <v>434</v>
      </c>
      <c r="H144" s="307"/>
      <c r="I144" s="307"/>
      <c r="J144" s="307">
        <v>11</v>
      </c>
      <c r="K144" s="307"/>
      <c r="L144" s="306" t="s">
        <v>423</v>
      </c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306" t="s">
        <v>801</v>
      </c>
      <c r="E145" s="306"/>
      <c r="F145" s="306"/>
      <c r="G145" s="307" t="s">
        <v>380</v>
      </c>
      <c r="H145" s="307"/>
      <c r="I145" s="307"/>
      <c r="J145" s="307">
        <v>36</v>
      </c>
      <c r="K145" s="307"/>
      <c r="L145" s="306" t="s">
        <v>423</v>
      </c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25</v>
      </c>
      <c r="D146" s="306" t="s">
        <v>802</v>
      </c>
      <c r="E146" s="306"/>
      <c r="F146" s="306"/>
      <c r="G146" s="307" t="s">
        <v>803</v>
      </c>
      <c r="H146" s="307"/>
      <c r="I146" s="307"/>
      <c r="J146" s="307">
        <v>377</v>
      </c>
      <c r="K146" s="307"/>
      <c r="L146" s="306" t="s">
        <v>423</v>
      </c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306" t="s">
        <v>799</v>
      </c>
      <c r="E147" s="306"/>
      <c r="F147" s="306"/>
      <c r="G147" s="307" t="s">
        <v>386</v>
      </c>
      <c r="H147" s="307"/>
      <c r="I147" s="307"/>
      <c r="J147" s="307">
        <v>33</v>
      </c>
      <c r="K147" s="307"/>
      <c r="L147" s="306" t="s">
        <v>423</v>
      </c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306" t="s">
        <v>804</v>
      </c>
      <c r="E148" s="306"/>
      <c r="F148" s="306"/>
      <c r="G148" s="307" t="s">
        <v>805</v>
      </c>
      <c r="H148" s="307"/>
      <c r="I148" s="307"/>
      <c r="J148" s="307">
        <v>19</v>
      </c>
      <c r="K148" s="307"/>
      <c r="L148" s="306" t="s">
        <v>423</v>
      </c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 t="s">
        <v>806</v>
      </c>
      <c r="E149" s="306"/>
      <c r="F149" s="306"/>
      <c r="G149" s="307" t="s">
        <v>383</v>
      </c>
      <c r="H149" s="307"/>
      <c r="I149" s="307"/>
      <c r="J149" s="307">
        <v>27</v>
      </c>
      <c r="K149" s="307"/>
      <c r="L149" s="306" t="s">
        <v>423</v>
      </c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24</v>
      </c>
      <c r="D150" s="306" t="s">
        <v>807</v>
      </c>
      <c r="E150" s="306"/>
      <c r="F150" s="306"/>
      <c r="G150" s="307" t="s">
        <v>389</v>
      </c>
      <c r="H150" s="307"/>
      <c r="I150" s="307"/>
      <c r="J150" s="307">
        <v>351</v>
      </c>
      <c r="K150" s="307"/>
      <c r="L150" s="306" t="s">
        <v>423</v>
      </c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306" t="s">
        <v>800</v>
      </c>
      <c r="E151" s="306"/>
      <c r="F151" s="306"/>
      <c r="G151" s="307" t="s">
        <v>385</v>
      </c>
      <c r="H151" s="307"/>
      <c r="I151" s="307"/>
      <c r="J151" s="307">
        <v>12</v>
      </c>
      <c r="K151" s="307"/>
      <c r="L151" s="306" t="s">
        <v>423</v>
      </c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12</v>
      </c>
      <c r="D152" s="306" t="s">
        <v>808</v>
      </c>
      <c r="E152" s="306"/>
      <c r="F152" s="306"/>
      <c r="G152" s="307" t="s">
        <v>392</v>
      </c>
      <c r="H152" s="307"/>
      <c r="I152" s="307"/>
      <c r="J152" s="307" t="s">
        <v>809</v>
      </c>
      <c r="K152" s="307"/>
      <c r="L152" s="306" t="s">
        <v>423</v>
      </c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 t="s">
        <v>246</v>
      </c>
      <c r="C154" s="215">
        <v>9</v>
      </c>
      <c r="D154" s="306" t="s">
        <v>810</v>
      </c>
      <c r="E154" s="306"/>
      <c r="F154" s="306"/>
      <c r="G154" s="307" t="s">
        <v>377</v>
      </c>
      <c r="H154" s="307"/>
      <c r="I154" s="307"/>
      <c r="J154" s="307">
        <v>25</v>
      </c>
      <c r="K154" s="307"/>
      <c r="L154" s="306" t="s">
        <v>423</v>
      </c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3</v>
      </c>
      <c r="D155" s="306" t="s">
        <v>811</v>
      </c>
      <c r="E155" s="306"/>
      <c r="F155" s="306"/>
      <c r="G155" s="307" t="s">
        <v>380</v>
      </c>
      <c r="H155" s="307"/>
      <c r="I155" s="307"/>
      <c r="J155" s="307">
        <v>29</v>
      </c>
      <c r="K155" s="307"/>
      <c r="L155" s="306" t="s">
        <v>423</v>
      </c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13</v>
      </c>
      <c r="D156" s="306" t="s">
        <v>810</v>
      </c>
      <c r="E156" s="306"/>
      <c r="F156" s="306"/>
      <c r="G156" s="307" t="s">
        <v>386</v>
      </c>
      <c r="H156" s="307"/>
      <c r="I156" s="307"/>
      <c r="J156" s="307">
        <v>34</v>
      </c>
      <c r="K156" s="307"/>
      <c r="L156" s="306" t="s">
        <v>423</v>
      </c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19</v>
      </c>
      <c r="D157" s="306" t="s">
        <v>812</v>
      </c>
      <c r="E157" s="306"/>
      <c r="F157" s="306"/>
      <c r="G157" s="307" t="s">
        <v>385</v>
      </c>
      <c r="H157" s="307"/>
      <c r="I157" s="307"/>
      <c r="J157" s="307">
        <v>14</v>
      </c>
      <c r="K157" s="307"/>
      <c r="L157" s="306" t="s">
        <v>423</v>
      </c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306" t="s">
        <v>812</v>
      </c>
      <c r="E158" s="306"/>
      <c r="F158" s="306"/>
      <c r="G158" s="307" t="s">
        <v>434</v>
      </c>
      <c r="H158" s="307"/>
      <c r="I158" s="307"/>
      <c r="J158" s="307">
        <v>13</v>
      </c>
      <c r="K158" s="307"/>
      <c r="L158" s="306" t="s">
        <v>423</v>
      </c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14</v>
      </c>
      <c r="D159" s="306" t="s">
        <v>813</v>
      </c>
      <c r="E159" s="306"/>
      <c r="F159" s="306"/>
      <c r="G159" s="307" t="s">
        <v>814</v>
      </c>
      <c r="H159" s="307"/>
      <c r="I159" s="307"/>
      <c r="J159" s="307">
        <v>20</v>
      </c>
      <c r="K159" s="307"/>
      <c r="L159" s="306" t="s">
        <v>423</v>
      </c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306" t="s">
        <v>812</v>
      </c>
      <c r="E160" s="306"/>
      <c r="F160" s="306"/>
      <c r="G160" s="307" t="s">
        <v>387</v>
      </c>
      <c r="H160" s="307"/>
      <c r="I160" s="307"/>
      <c r="J160" s="307">
        <v>16</v>
      </c>
      <c r="K160" s="307"/>
      <c r="L160" s="306" t="s">
        <v>423</v>
      </c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14</v>
      </c>
      <c r="D161" s="306" t="s">
        <v>813</v>
      </c>
      <c r="E161" s="306"/>
      <c r="F161" s="306"/>
      <c r="G161" s="307" t="s">
        <v>815</v>
      </c>
      <c r="H161" s="307"/>
      <c r="I161" s="307"/>
      <c r="J161" s="307">
        <v>20</v>
      </c>
      <c r="K161" s="307"/>
      <c r="L161" s="306" t="s">
        <v>423</v>
      </c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 t="s">
        <v>247</v>
      </c>
      <c r="C164" s="215">
        <v>3</v>
      </c>
      <c r="D164" s="306" t="s">
        <v>816</v>
      </c>
      <c r="E164" s="306"/>
      <c r="F164" s="306"/>
      <c r="G164" s="307" t="s">
        <v>380</v>
      </c>
      <c r="H164" s="307"/>
      <c r="I164" s="307"/>
      <c r="J164" s="307">
        <v>42</v>
      </c>
      <c r="K164" s="307"/>
      <c r="L164" s="306" t="s">
        <v>423</v>
      </c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 t="s">
        <v>403</v>
      </c>
      <c r="D165" s="306" t="s">
        <v>817</v>
      </c>
      <c r="E165" s="306"/>
      <c r="F165" s="306"/>
      <c r="G165" s="307" t="s">
        <v>377</v>
      </c>
      <c r="H165" s="307"/>
      <c r="I165" s="307"/>
      <c r="J165" s="307">
        <v>27</v>
      </c>
      <c r="K165" s="307"/>
      <c r="L165" s="306" t="s">
        <v>423</v>
      </c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306" t="s">
        <v>818</v>
      </c>
      <c r="E166" s="306"/>
      <c r="F166" s="306"/>
      <c r="G166" s="307" t="s">
        <v>392</v>
      </c>
      <c r="H166" s="307"/>
      <c r="I166" s="307"/>
      <c r="J166" s="307" t="s">
        <v>819</v>
      </c>
      <c r="K166" s="307"/>
      <c r="L166" s="306" t="s">
        <v>423</v>
      </c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306" t="s">
        <v>820</v>
      </c>
      <c r="E167" s="306"/>
      <c r="F167" s="306"/>
      <c r="G167" s="307" t="s">
        <v>387</v>
      </c>
      <c r="H167" s="307"/>
      <c r="I167" s="307"/>
      <c r="J167" s="307">
        <v>13</v>
      </c>
      <c r="K167" s="307"/>
      <c r="L167" s="306" t="s">
        <v>423</v>
      </c>
      <c r="M167" s="306"/>
      <c r="N167" s="245"/>
    </row>
    <row r="168" spans="1:18" ht="14.25" x14ac:dyDescent="0.2">
      <c r="B168" s="216"/>
      <c r="C168" s="215">
        <v>13</v>
      </c>
      <c r="D168" s="306" t="s">
        <v>817</v>
      </c>
      <c r="E168" s="306"/>
      <c r="F168" s="306"/>
      <c r="G168" s="307" t="s">
        <v>473</v>
      </c>
      <c r="H168" s="307"/>
      <c r="I168" s="307"/>
      <c r="J168" s="307">
        <v>23</v>
      </c>
      <c r="K168" s="307"/>
      <c r="L168" s="306" t="s">
        <v>423</v>
      </c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23F423D-09C0-43FB-9E65-5DE05D4BC233}">
      <formula1>INDIRECT(D63)</formula1>
    </dataValidation>
  </dataValidations>
  <hyperlinks>
    <hyperlink ref="J14:L15" location="Summary!A1" display="MTD Summary " xr:uid="{334282DA-6006-4829-8935-BD32F60AD1A9}"/>
    <hyperlink ref="J16:L17" location="Graph!A1" display="MTD Trendings" xr:uid="{25F2BD78-AFBC-46D7-94C2-B5C988A120F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BBD93B5-FC96-4BE6-A74E-384EF1B1B321}">
          <x14:formula1>
            <xm:f>Sheet3!$B$3:$B$5</xm:f>
          </x14:formula1>
          <xm:sqref>B143:B165 B132</xm:sqref>
        </x14:dataValidation>
        <x14:dataValidation type="list" allowBlank="1" showInputMessage="1" xr:uid="{5031A194-FA00-4081-B5BD-243DC9E5ED4F}">
          <x14:formula1>
            <xm:f>Sheet3!$D$3:$D$11</xm:f>
          </x14:formula1>
          <xm:sqref>C132</xm:sqref>
        </x14:dataValidation>
        <x14:dataValidation type="list" allowBlank="1" showInputMessage="1" showErrorMessage="1" xr:uid="{5E8564A3-E5D2-404D-9564-4A700C41B3C1}">
          <x14:formula1>
            <xm:f>Sheet3!$C$3:$C$4</xm:f>
          </x14:formula1>
          <xm:sqref>M63:M132</xm:sqref>
        </x14:dataValidation>
        <x14:dataValidation type="list" allowBlank="1" showInputMessage="1" showErrorMessage="1" xr:uid="{E9C14A80-7C3C-43ED-BDBE-447B8075A17B}">
          <x14:formula1>
            <xm:f>List!$B$5:$B$8</xm:f>
          </x14:formula1>
          <xm:sqref>B63:B131</xm:sqref>
        </x14:dataValidation>
        <x14:dataValidation type="list" allowBlank="1" showInputMessage="1" showErrorMessage="1" xr:uid="{40FC680B-E703-4DA1-A44C-4B8BDAEBD413}">
          <x14:formula1>
            <xm:f>List!$B$10:$B$12</xm:f>
          </x14:formula1>
          <xm:sqref>C63:C131</xm:sqref>
        </x14:dataValidation>
        <x14:dataValidation type="list" allowBlank="1" showInputMessage="1" showErrorMessage="1" xr:uid="{45249769-F082-4280-8EDB-27EB643B09D7}">
          <x14:formula1>
            <xm:f>List!$C$5:$C$14</xm:f>
          </x14:formula1>
          <xm:sqref>D63:D131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0C9-4B5D-4AA8-A72C-9143F908E05C}">
  <sheetPr>
    <pageSetUpPr fitToPage="1"/>
  </sheetPr>
  <dimension ref="A1:R188"/>
  <sheetViews>
    <sheetView showGridLines="0" view="pageBreakPreview" topLeftCell="A137" zoomScale="80" zoomScaleNormal="90" zoomScaleSheetLayoutView="80" zoomScalePageLayoutView="80" workbookViewId="0">
      <selection activeCell="B144" sqref="B144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14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120</v>
      </c>
      <c r="K6" s="391"/>
      <c r="L6" s="391">
        <f ca="1">Summary!G22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>
        <v>120</v>
      </c>
      <c r="E7" s="84">
        <v>60</v>
      </c>
      <c r="F7" s="366">
        <v>60</v>
      </c>
      <c r="G7" s="367"/>
      <c r="H7" s="345">
        <f>SUM(D7:D10)</f>
        <v>120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>
        <v>60</v>
      </c>
      <c r="F8" s="368">
        <v>60</v>
      </c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>
        <v>60</v>
      </c>
      <c r="F9" s="368">
        <v>60</v>
      </c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>
        <v>60</v>
      </c>
      <c r="F10" s="370">
        <v>60</v>
      </c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120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'13'!D54</f>
        <v>243.5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>
        <f>IF(ISERROR(E58/$H$19),"",(E58/$H$19))</f>
        <v>0</v>
      </c>
      <c r="D59" s="403"/>
      <c r="E59" s="404"/>
      <c r="F59" s="405" t="s">
        <v>347</v>
      </c>
      <c r="G59" s="406"/>
      <c r="H59" s="407">
        <f>IF(ISERROR(SUM(H58:I58)/$H$19),"",(SUM(H58:I58)/$H$19))</f>
        <v>0</v>
      </c>
      <c r="I59" s="408"/>
      <c r="J59" s="405" t="s">
        <v>348</v>
      </c>
      <c r="K59" s="406"/>
      <c r="L59" s="115">
        <f>IF(ISERROR(L58/$H$19),"",(L58/$H$19))</f>
        <v>0</v>
      </c>
      <c r="M59" s="116">
        <f>IF(ISERROR(M58/$H$19),"",(M58/$H$19))</f>
        <v>0</v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 t="s">
        <v>366</v>
      </c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 t="s">
        <v>419</v>
      </c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 t="s">
        <v>245</v>
      </c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3945254-FD12-41D0-A8A0-1D6403924CD0}">
      <formula1>INDIRECT(D63)</formula1>
    </dataValidation>
  </dataValidations>
  <hyperlinks>
    <hyperlink ref="J14:L15" location="Summary!A1" display="MTD Summary " xr:uid="{CA0572B0-E4FA-4BB3-A45D-F75CA8F97127}"/>
    <hyperlink ref="J16:L17" location="Graph!A1" display="MTD Trendings" xr:uid="{25D0AFF0-79CE-4ED0-9367-F2B986AA5CE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46F7EA0-83C0-4274-AD2C-65D38CD66111}">
          <x14:formula1>
            <xm:f>List!$C$5:$C$14</xm:f>
          </x14:formula1>
          <xm:sqref>D63:D131</xm:sqref>
        </x14:dataValidation>
        <x14:dataValidation type="list" allowBlank="1" showInputMessage="1" showErrorMessage="1" xr:uid="{71045BA7-B3A6-478E-8141-40342EE47F54}">
          <x14:formula1>
            <xm:f>List!$B$10:$B$12</xm:f>
          </x14:formula1>
          <xm:sqref>C63:C131</xm:sqref>
        </x14:dataValidation>
        <x14:dataValidation type="list" allowBlank="1" showInputMessage="1" showErrorMessage="1" xr:uid="{338E03B2-E378-45B1-A6E7-DDB002D5E17A}">
          <x14:formula1>
            <xm:f>List!$B$5:$B$8</xm:f>
          </x14:formula1>
          <xm:sqref>B63:B131</xm:sqref>
        </x14:dataValidation>
        <x14:dataValidation type="list" allowBlank="1" showInputMessage="1" showErrorMessage="1" xr:uid="{55EB21EC-DF5C-4DD3-8FEB-CA15ACD00F22}">
          <x14:formula1>
            <xm:f>Sheet3!$C$3:$C$4</xm:f>
          </x14:formula1>
          <xm:sqref>M63:M132</xm:sqref>
        </x14:dataValidation>
        <x14:dataValidation type="list" allowBlank="1" showInputMessage="1" xr:uid="{63A4B9AA-4526-4644-BAAE-24E94A244FB6}">
          <x14:formula1>
            <xm:f>Sheet3!$D$3:$D$11</xm:f>
          </x14:formula1>
          <xm:sqref>C132</xm:sqref>
        </x14:dataValidation>
        <x14:dataValidation type="list" allowBlank="1" showInputMessage="1" showErrorMessage="1" xr:uid="{234BDB18-365C-47F0-A761-F1A08A508E8F}">
          <x14:formula1>
            <xm:f>Sheet3!$B$3:$B$5</xm:f>
          </x14:formula1>
          <xm:sqref>B143:B165 B132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00-DC4F-4230-92AB-32E027591B3B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15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Summary!G23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'14'!D54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4A39BA6-AFC5-40CE-9745-87497C7FD0A8}">
      <formula1>INDIRECT(D63)</formula1>
    </dataValidation>
  </dataValidations>
  <hyperlinks>
    <hyperlink ref="J14:L15" location="Summary!A1" display="MTD Summary " xr:uid="{8B49EFD2-571B-4C06-BA84-B9660D69FAEB}"/>
    <hyperlink ref="J16:L17" location="Graph!A1" display="MTD Trendings" xr:uid="{DF39DC17-DC3D-49C1-9370-10558B67896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1E6A07E-F408-4623-A41B-19AF18C163B1}">
          <x14:formula1>
            <xm:f>Sheet3!$B$3:$B$5</xm:f>
          </x14:formula1>
          <xm:sqref>B143:B165 B132</xm:sqref>
        </x14:dataValidation>
        <x14:dataValidation type="list" allowBlank="1" showInputMessage="1" xr:uid="{064EF00C-9BAB-42DC-A55A-4331E4C7146F}">
          <x14:formula1>
            <xm:f>Sheet3!$D$3:$D$11</xm:f>
          </x14:formula1>
          <xm:sqref>C132</xm:sqref>
        </x14:dataValidation>
        <x14:dataValidation type="list" allowBlank="1" showInputMessage="1" showErrorMessage="1" xr:uid="{0E070E62-DDB6-4CAF-954E-544C6D7E2934}">
          <x14:formula1>
            <xm:f>Sheet3!$C$3:$C$4</xm:f>
          </x14:formula1>
          <xm:sqref>M63:M132</xm:sqref>
        </x14:dataValidation>
        <x14:dataValidation type="list" allowBlank="1" showInputMessage="1" showErrorMessage="1" xr:uid="{281A4F88-8B7F-4094-AFAC-EF8271E12235}">
          <x14:formula1>
            <xm:f>List!$B$5:$B$8</xm:f>
          </x14:formula1>
          <xm:sqref>B63:B131</xm:sqref>
        </x14:dataValidation>
        <x14:dataValidation type="list" allowBlank="1" showInputMessage="1" showErrorMessage="1" xr:uid="{C3827776-0CE2-4641-ABC1-6680A02BDB17}">
          <x14:formula1>
            <xm:f>List!$B$10:$B$12</xm:f>
          </x14:formula1>
          <xm:sqref>C63:C131</xm:sqref>
        </x14:dataValidation>
        <x14:dataValidation type="list" allowBlank="1" showInputMessage="1" showErrorMessage="1" xr:uid="{4B12D603-E286-45C5-8D0A-84A44C556AE1}">
          <x14:formula1>
            <xm:f>List!$C$5:$C$14</xm:f>
          </x14:formula1>
          <xm:sqref>D63:D131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97F9-26BC-4368-8A6B-385C8682D559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16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Summary!G24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'15'!D54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DF10D699-8F7B-4290-8D99-910B14DB076E}">
      <formula1>INDIRECT(D63)</formula1>
    </dataValidation>
  </dataValidations>
  <hyperlinks>
    <hyperlink ref="J14:L15" location="Summary!A1" display="MTD Summary " xr:uid="{672E2BEB-7334-4B68-987A-AB6F5CF29DAB}"/>
    <hyperlink ref="J16:L17" location="Graph!A1" display="MTD Trendings" xr:uid="{86AA6C4E-DADD-4215-8761-3F505821CBA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53A439E-2045-4183-9D8C-6FAC9FED1FF6}">
          <x14:formula1>
            <xm:f>List!$C$5:$C$14</xm:f>
          </x14:formula1>
          <xm:sqref>D63:D131</xm:sqref>
        </x14:dataValidation>
        <x14:dataValidation type="list" allowBlank="1" showInputMessage="1" showErrorMessage="1" xr:uid="{F8F3B883-F6B5-4849-AFC2-84EF9B076D3C}">
          <x14:formula1>
            <xm:f>List!$B$10:$B$12</xm:f>
          </x14:formula1>
          <xm:sqref>C63:C131</xm:sqref>
        </x14:dataValidation>
        <x14:dataValidation type="list" allowBlank="1" showInputMessage="1" showErrorMessage="1" xr:uid="{53C22629-E9AF-4A1A-98DB-33044075F330}">
          <x14:formula1>
            <xm:f>List!$B$5:$B$8</xm:f>
          </x14:formula1>
          <xm:sqref>B63:B131</xm:sqref>
        </x14:dataValidation>
        <x14:dataValidation type="list" allowBlank="1" showInputMessage="1" showErrorMessage="1" xr:uid="{0EF1C126-8045-4B8A-9323-458733B25727}">
          <x14:formula1>
            <xm:f>Sheet3!$C$3:$C$4</xm:f>
          </x14:formula1>
          <xm:sqref>M63:M132</xm:sqref>
        </x14:dataValidation>
        <x14:dataValidation type="list" allowBlank="1" showInputMessage="1" xr:uid="{0C962018-2B30-4DE9-AAF6-775074F4DB41}">
          <x14:formula1>
            <xm:f>Sheet3!$D$3:$D$11</xm:f>
          </x14:formula1>
          <xm:sqref>C132</xm:sqref>
        </x14:dataValidation>
        <x14:dataValidation type="list" allowBlank="1" showInputMessage="1" showErrorMessage="1" xr:uid="{AD24CD11-1FF5-433B-B04F-D7DCD5BC0001}">
          <x14:formula1>
            <xm:f>Sheet3!$B$3:$B$5</xm:f>
          </x14:formula1>
          <xm:sqref>B143:B165 B132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6FE9-BCA1-4741-9FB5-C2A201C6BF18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17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Summary!G25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'16'!D54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16FBF95-1EAD-4809-BAE4-D83BDBCED7D8}">
      <formula1>INDIRECT(D63)</formula1>
    </dataValidation>
  </dataValidations>
  <hyperlinks>
    <hyperlink ref="J14:L15" location="Summary!A1" display="MTD Summary " xr:uid="{A9A8C63D-DFFF-4DEC-AC95-338A199634BF}"/>
    <hyperlink ref="J16:L17" location="Graph!A1" display="MTD Trendings" xr:uid="{8377BE0E-7F89-4015-9869-AA309AE1128B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8ECF68B-6D3D-4A3C-8E84-1EE9DDC99376}">
          <x14:formula1>
            <xm:f>Sheet3!$B$3:$B$5</xm:f>
          </x14:formula1>
          <xm:sqref>B143:B165 B132</xm:sqref>
        </x14:dataValidation>
        <x14:dataValidation type="list" allowBlank="1" showInputMessage="1" xr:uid="{BC19C13D-1CF8-4232-95A4-B1EFE0CE1D33}">
          <x14:formula1>
            <xm:f>Sheet3!$D$3:$D$11</xm:f>
          </x14:formula1>
          <xm:sqref>C132</xm:sqref>
        </x14:dataValidation>
        <x14:dataValidation type="list" allowBlank="1" showInputMessage="1" showErrorMessage="1" xr:uid="{80BF93E7-4CEE-46D3-B5A2-57BA04713828}">
          <x14:formula1>
            <xm:f>Sheet3!$C$3:$C$4</xm:f>
          </x14:formula1>
          <xm:sqref>M63:M132</xm:sqref>
        </x14:dataValidation>
        <x14:dataValidation type="list" allowBlank="1" showInputMessage="1" showErrorMessage="1" xr:uid="{F22843FD-1F13-46F3-B968-EB82EACFD66E}">
          <x14:formula1>
            <xm:f>List!$B$5:$B$8</xm:f>
          </x14:formula1>
          <xm:sqref>B63:B131</xm:sqref>
        </x14:dataValidation>
        <x14:dataValidation type="list" allowBlank="1" showInputMessage="1" showErrorMessage="1" xr:uid="{0A367648-9782-4DEF-A0CF-32045BBE7E56}">
          <x14:formula1>
            <xm:f>List!$B$10:$B$12</xm:f>
          </x14:formula1>
          <xm:sqref>C63:C131</xm:sqref>
        </x14:dataValidation>
        <x14:dataValidation type="list" allowBlank="1" showInputMessage="1" showErrorMessage="1" xr:uid="{3EBCEADF-9919-4A68-930A-E34F93B4FD49}">
          <x14:formula1>
            <xm:f>List!$C$5:$C$14</xm:f>
          </x14:formula1>
          <xm:sqref>D63:D131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491-1770-428E-8FC4-4B00FEDC7C12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18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Summary!G26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'17'!D54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DD6FF7A2-68B7-4FB8-BF05-4B4F5A4EFE83}">
      <formula1>INDIRECT(D63)</formula1>
    </dataValidation>
  </dataValidations>
  <hyperlinks>
    <hyperlink ref="J14:L15" location="Summary!A1" display="MTD Summary " xr:uid="{9A3C96C3-445F-45AE-A298-C33400EAB839}"/>
    <hyperlink ref="J16:L17" location="Graph!A1" display="MTD Trendings" xr:uid="{0FA1F269-9993-489C-915D-4F6C8FF1C59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278DF0-15D1-4F7B-80FA-3857506664E4}">
          <x14:formula1>
            <xm:f>List!$C$5:$C$14</xm:f>
          </x14:formula1>
          <xm:sqref>D63:D131</xm:sqref>
        </x14:dataValidation>
        <x14:dataValidation type="list" allowBlank="1" showInputMessage="1" showErrorMessage="1" xr:uid="{9C0FE097-72B1-4091-8B87-0B3EB3D64FFC}">
          <x14:formula1>
            <xm:f>List!$B$10:$B$12</xm:f>
          </x14:formula1>
          <xm:sqref>C63:C131</xm:sqref>
        </x14:dataValidation>
        <x14:dataValidation type="list" allowBlank="1" showInputMessage="1" showErrorMessage="1" xr:uid="{12C1505A-0F6F-4CFC-86A0-D13D20BD2078}">
          <x14:formula1>
            <xm:f>List!$B$5:$B$8</xm:f>
          </x14:formula1>
          <xm:sqref>B63:B131</xm:sqref>
        </x14:dataValidation>
        <x14:dataValidation type="list" allowBlank="1" showInputMessage="1" showErrorMessage="1" xr:uid="{ED9B3FD7-88E1-49AB-ABEE-39292141E710}">
          <x14:formula1>
            <xm:f>Sheet3!$C$3:$C$4</xm:f>
          </x14:formula1>
          <xm:sqref>M63:M132</xm:sqref>
        </x14:dataValidation>
        <x14:dataValidation type="list" allowBlank="1" showInputMessage="1" xr:uid="{7CD35652-F2ED-48A8-BF30-3CA00E16FC69}">
          <x14:formula1>
            <xm:f>Sheet3!$D$3:$D$11</xm:f>
          </x14:formula1>
          <xm:sqref>C132</xm:sqref>
        </x14:dataValidation>
        <x14:dataValidation type="list" allowBlank="1" showInputMessage="1" showErrorMessage="1" xr:uid="{D470DAFA-21C9-4F55-B065-9DBE5FDCF660}">
          <x14:formula1>
            <xm:f>Sheet3!$B$3:$B$5</xm:f>
          </x14:formula1>
          <xm:sqref>B143:B165 B132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8B0D-F0A1-4BC2-B862-447C997FA770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19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Summary!G27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'18'!D54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0423ECE-163E-4346-8AE2-66AAF5EA488A}">
      <formula1>INDIRECT(D63)</formula1>
    </dataValidation>
  </dataValidations>
  <hyperlinks>
    <hyperlink ref="J14:L15" location="Summary!A1" display="MTD Summary " xr:uid="{672DABFA-F5DF-4060-90EA-8AC74EE3792D}"/>
    <hyperlink ref="J16:L17" location="Graph!A1" display="MTD Trendings" xr:uid="{DFFEF835-BCFF-4493-8547-53C8BEF43BF2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D49C443-660E-477C-A46B-7351D1656B68}">
          <x14:formula1>
            <xm:f>Sheet3!$B$3:$B$5</xm:f>
          </x14:formula1>
          <xm:sqref>B143:B165 B132</xm:sqref>
        </x14:dataValidation>
        <x14:dataValidation type="list" allowBlank="1" showInputMessage="1" xr:uid="{4B3894FA-E6DD-4281-B3F9-E8D0DB7B241C}">
          <x14:formula1>
            <xm:f>Sheet3!$D$3:$D$11</xm:f>
          </x14:formula1>
          <xm:sqref>C132</xm:sqref>
        </x14:dataValidation>
        <x14:dataValidation type="list" allowBlank="1" showInputMessage="1" showErrorMessage="1" xr:uid="{1A43760B-B61F-401B-B43D-88E33FE5EAB0}">
          <x14:formula1>
            <xm:f>Sheet3!$C$3:$C$4</xm:f>
          </x14:formula1>
          <xm:sqref>M63:M132</xm:sqref>
        </x14:dataValidation>
        <x14:dataValidation type="list" allowBlank="1" showInputMessage="1" showErrorMessage="1" xr:uid="{C439D5EB-7406-47C4-908E-D5F129912E5D}">
          <x14:formula1>
            <xm:f>List!$B$5:$B$8</xm:f>
          </x14:formula1>
          <xm:sqref>B63:B131</xm:sqref>
        </x14:dataValidation>
        <x14:dataValidation type="list" allowBlank="1" showInputMessage="1" showErrorMessage="1" xr:uid="{69F5BDCB-B623-4107-8498-8E36D6DFC8E7}">
          <x14:formula1>
            <xm:f>List!$B$10:$B$12</xm:f>
          </x14:formula1>
          <xm:sqref>C63:C131</xm:sqref>
        </x14:dataValidation>
        <x14:dataValidation type="list" allowBlank="1" showInputMessage="1" showErrorMessage="1" xr:uid="{28ADE7D2-9450-412B-870C-F6C03E0C4D26}">
          <x14:formula1>
            <xm:f>List!$C$5:$C$14</xm:f>
          </x14:formula1>
          <xm:sqref>D63:D131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233F-F0CD-4DEE-996B-D7151777FC18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20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Summary!G28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'19'!D54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FC69D43-28DB-490A-9067-5C51A24FE152}">
      <formula1>INDIRECT(D63)</formula1>
    </dataValidation>
  </dataValidations>
  <hyperlinks>
    <hyperlink ref="J14:L15" location="Summary!A1" display="MTD Summary " xr:uid="{3F67F8C6-F790-4892-BD14-2642ECF864D3}"/>
    <hyperlink ref="J16:L17" location="Graph!A1" display="MTD Trendings" xr:uid="{49B31350-6054-4A64-9A78-FB4EC7185938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D62C8CC-CE06-47EA-A3A4-C7EC4B8A539B}">
          <x14:formula1>
            <xm:f>List!$C$5:$C$14</xm:f>
          </x14:formula1>
          <xm:sqref>D63:D131</xm:sqref>
        </x14:dataValidation>
        <x14:dataValidation type="list" allowBlank="1" showInputMessage="1" showErrorMessage="1" xr:uid="{F27B30CB-E7AD-4399-AF4C-CFAC43EAF25E}">
          <x14:formula1>
            <xm:f>List!$B$10:$B$12</xm:f>
          </x14:formula1>
          <xm:sqref>C63:C131</xm:sqref>
        </x14:dataValidation>
        <x14:dataValidation type="list" allowBlank="1" showInputMessage="1" showErrorMessage="1" xr:uid="{50C7D1BD-221E-4B3A-A590-23ED038D91B3}">
          <x14:formula1>
            <xm:f>List!$B$5:$B$8</xm:f>
          </x14:formula1>
          <xm:sqref>B63:B131</xm:sqref>
        </x14:dataValidation>
        <x14:dataValidation type="list" allowBlank="1" showInputMessage="1" showErrorMessage="1" xr:uid="{A233774B-BF82-4698-B6D5-360827BF1B0D}">
          <x14:formula1>
            <xm:f>Sheet3!$C$3:$C$4</xm:f>
          </x14:formula1>
          <xm:sqref>M63:M132</xm:sqref>
        </x14:dataValidation>
        <x14:dataValidation type="list" allowBlank="1" showInputMessage="1" xr:uid="{0B0208DE-3572-4F52-A470-39D0E33AAA8E}">
          <x14:formula1>
            <xm:f>Sheet3!$D$3:$D$11</xm:f>
          </x14:formula1>
          <xm:sqref>C132</xm:sqref>
        </x14:dataValidation>
        <x14:dataValidation type="list" allowBlank="1" showInputMessage="1" showErrorMessage="1" xr:uid="{BD9515FA-E1D8-45FD-8E5D-235FA76D1A72}">
          <x14:formula1>
            <xm:f>Sheet3!$B$3:$B$5</xm:f>
          </x14:formula1>
          <xm:sqref>B143:B165 B132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D05-4D1F-4097-8B00-C7ECE4AFE933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21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Summary!G29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'20'!D54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051B229B-89A8-4606-B4B4-F28A2ED84DA1}">
      <formula1>INDIRECT(D63)</formula1>
    </dataValidation>
  </dataValidations>
  <hyperlinks>
    <hyperlink ref="J14:L15" location="Summary!A1" display="MTD Summary " xr:uid="{D9507B4F-EDCB-4CCC-824C-C9F8A7A3AFDF}"/>
    <hyperlink ref="J16:L17" location="Graph!A1" display="MTD Trendings" xr:uid="{212DF1B3-D1CA-4004-996F-DB11163DE84C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04EBBCB-C3E5-4A54-8B85-288BA01E8DB0}">
          <x14:formula1>
            <xm:f>Sheet3!$B$3:$B$5</xm:f>
          </x14:formula1>
          <xm:sqref>B143:B165 B132</xm:sqref>
        </x14:dataValidation>
        <x14:dataValidation type="list" allowBlank="1" showInputMessage="1" xr:uid="{D6638854-8F31-49FE-8347-60DA2023CA7D}">
          <x14:formula1>
            <xm:f>Sheet3!$D$3:$D$11</xm:f>
          </x14:formula1>
          <xm:sqref>C132</xm:sqref>
        </x14:dataValidation>
        <x14:dataValidation type="list" allowBlank="1" showInputMessage="1" showErrorMessage="1" xr:uid="{7A3A4C8D-8802-48EC-ABA1-6D2C0B0022DD}">
          <x14:formula1>
            <xm:f>Sheet3!$C$3:$C$4</xm:f>
          </x14:formula1>
          <xm:sqref>M63:M132</xm:sqref>
        </x14:dataValidation>
        <x14:dataValidation type="list" allowBlank="1" showInputMessage="1" showErrorMessage="1" xr:uid="{60D1ED12-B8B6-418F-82C6-2DE659083511}">
          <x14:formula1>
            <xm:f>List!$B$5:$B$8</xm:f>
          </x14:formula1>
          <xm:sqref>B63:B131</xm:sqref>
        </x14:dataValidation>
        <x14:dataValidation type="list" allowBlank="1" showInputMessage="1" showErrorMessage="1" xr:uid="{A60E9C42-E83F-4CA9-9258-AAEC9ABE656B}">
          <x14:formula1>
            <xm:f>List!$B$10:$B$12</xm:f>
          </x14:formula1>
          <xm:sqref>C63:C131</xm:sqref>
        </x14:dataValidation>
        <x14:dataValidation type="list" allowBlank="1" showInputMessage="1" showErrorMessage="1" xr:uid="{1DAEEB0B-491D-4927-B179-54DF0AADF0D6}">
          <x14:formula1>
            <xm:f>List!$C$5:$C$14</xm:f>
          </x14:formula1>
          <xm:sqref>D63:D131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D1C6-7CEB-4916-868A-8CB8003051CF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N28" sqref="N28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22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Summary!G30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'21'!D54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1718A1E5-9AE7-45A2-939C-D6442A45C83E}">
      <formula1>INDIRECT(D63)</formula1>
    </dataValidation>
  </dataValidations>
  <hyperlinks>
    <hyperlink ref="J14:L15" location="Summary!A1" display="MTD Summary " xr:uid="{DC5B4E8C-8580-4035-876E-1B75D751C8F0}"/>
    <hyperlink ref="J16:L17" location="Graph!A1" display="MTD Trendings" xr:uid="{B2A5EAF7-3437-44EC-A304-C61230AAE9A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F62DF15-AF63-41AB-9504-2D7B9C1965D3}">
          <x14:formula1>
            <xm:f>List!$C$5:$C$14</xm:f>
          </x14:formula1>
          <xm:sqref>D63:D131</xm:sqref>
        </x14:dataValidation>
        <x14:dataValidation type="list" allowBlank="1" showInputMessage="1" showErrorMessage="1" xr:uid="{C01406ED-E18F-4F54-B1C6-C82F603CF9FE}">
          <x14:formula1>
            <xm:f>List!$B$10:$B$12</xm:f>
          </x14:formula1>
          <xm:sqref>C63:C131</xm:sqref>
        </x14:dataValidation>
        <x14:dataValidation type="list" allowBlank="1" showInputMessage="1" showErrorMessage="1" xr:uid="{496814F1-4579-4229-8052-D7C2FE657172}">
          <x14:formula1>
            <xm:f>List!$B$5:$B$8</xm:f>
          </x14:formula1>
          <xm:sqref>B63:B131</xm:sqref>
        </x14:dataValidation>
        <x14:dataValidation type="list" allowBlank="1" showInputMessage="1" showErrorMessage="1" xr:uid="{2B7EAF0F-F2E9-42F6-9413-7E7B6ECD6DB0}">
          <x14:formula1>
            <xm:f>Sheet3!$C$3:$C$4</xm:f>
          </x14:formula1>
          <xm:sqref>M63:M132</xm:sqref>
        </x14:dataValidation>
        <x14:dataValidation type="list" allowBlank="1" showInputMessage="1" xr:uid="{797EC367-D3D6-4FEB-87AE-9552139DC91D}">
          <x14:formula1>
            <xm:f>Sheet3!$D$3:$D$11</xm:f>
          </x14:formula1>
          <xm:sqref>C132</xm:sqref>
        </x14:dataValidation>
        <x14:dataValidation type="list" allowBlank="1" showInputMessage="1" showErrorMessage="1" xr:uid="{ED89F232-6FD1-42D2-8D7A-1E33766C58DE}">
          <x14:formula1>
            <xm:f>Sheet3!$B$3:$B$5</xm:f>
          </x14:formula1>
          <xm:sqref>B143:B165 B132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980-B40B-4294-9B5F-E83F6BAE93DF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23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Summary!G31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'22'!D54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C4BEB7C-F1AE-4BE9-B74D-864552952918}">
      <formula1>INDIRECT(D63)</formula1>
    </dataValidation>
  </dataValidations>
  <hyperlinks>
    <hyperlink ref="J14:L15" location="Summary!A1" display="MTD Summary " xr:uid="{F247F100-4851-4A61-A1D3-10A7C2624AC4}"/>
    <hyperlink ref="J16:L17" location="Graph!A1" display="MTD Trendings" xr:uid="{CEB3BCDD-2ADB-4CCE-9651-5377BE0BBE0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382F271-9DD2-487F-A929-113B69118087}">
          <x14:formula1>
            <xm:f>Sheet3!$B$3:$B$5</xm:f>
          </x14:formula1>
          <xm:sqref>B143:B165 B132</xm:sqref>
        </x14:dataValidation>
        <x14:dataValidation type="list" allowBlank="1" showInputMessage="1" xr:uid="{9474321F-BF5A-4AC8-9500-5E697DE909B1}">
          <x14:formula1>
            <xm:f>Sheet3!$D$3:$D$11</xm:f>
          </x14:formula1>
          <xm:sqref>C132</xm:sqref>
        </x14:dataValidation>
        <x14:dataValidation type="list" allowBlank="1" showInputMessage="1" showErrorMessage="1" xr:uid="{D53CD294-1ED2-44F7-AE87-CD07141687D3}">
          <x14:formula1>
            <xm:f>Sheet3!$C$3:$C$4</xm:f>
          </x14:formula1>
          <xm:sqref>M63:M132</xm:sqref>
        </x14:dataValidation>
        <x14:dataValidation type="list" allowBlank="1" showInputMessage="1" showErrorMessage="1" xr:uid="{2CC68C37-ACFE-4BBF-A689-2ACAE15EE4B2}">
          <x14:formula1>
            <xm:f>List!$B$5:$B$8</xm:f>
          </x14:formula1>
          <xm:sqref>B63:B131</xm:sqref>
        </x14:dataValidation>
        <x14:dataValidation type="list" allowBlank="1" showInputMessage="1" showErrorMessage="1" xr:uid="{AFBCF83A-9976-4756-BDAC-4D1C70B1C90C}">
          <x14:formula1>
            <xm:f>List!$B$10:$B$12</xm:f>
          </x14:formula1>
          <xm:sqref>C63:C131</xm:sqref>
        </x14:dataValidation>
        <x14:dataValidation type="list" allowBlank="1" showInputMessage="1" showErrorMessage="1" xr:uid="{95339820-57BE-48B7-927A-F3EEF88A11F0}">
          <x14:formula1>
            <xm:f>List!$C$5:$C$14</xm:f>
          </x14:formula1>
          <xm:sqref>D63:D131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5C20-EC8E-47BF-9EAE-DD1D8978361D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24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Summary!G32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'23'!D54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7ABAD1A5-275E-4A6C-8ECA-40D2E465CD08}">
      <formula1>INDIRECT(D63)</formula1>
    </dataValidation>
  </dataValidations>
  <hyperlinks>
    <hyperlink ref="J14:L15" location="Summary!A1" display="MTD Summary " xr:uid="{D042612E-4368-428A-AD0E-21866C13AEA2}"/>
    <hyperlink ref="J16:L17" location="Graph!A1" display="MTD Trendings" xr:uid="{A0026000-8D2D-4942-A0A7-FF6D7EE630F8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ED5B041-B41F-4CAB-8B3A-9170B4760E3D}">
          <x14:formula1>
            <xm:f>List!$C$5:$C$14</xm:f>
          </x14:formula1>
          <xm:sqref>D63:D131</xm:sqref>
        </x14:dataValidation>
        <x14:dataValidation type="list" allowBlank="1" showInputMessage="1" showErrorMessage="1" xr:uid="{5EF3A74B-149A-46AC-B4DE-63E21B3B96E7}">
          <x14:formula1>
            <xm:f>List!$B$10:$B$12</xm:f>
          </x14:formula1>
          <xm:sqref>C63:C131</xm:sqref>
        </x14:dataValidation>
        <x14:dataValidation type="list" allowBlank="1" showInputMessage="1" showErrorMessage="1" xr:uid="{05CA62FD-E59E-48D9-9D78-0F0BAEC7D1A0}">
          <x14:formula1>
            <xm:f>List!$B$5:$B$8</xm:f>
          </x14:formula1>
          <xm:sqref>B63:B131</xm:sqref>
        </x14:dataValidation>
        <x14:dataValidation type="list" allowBlank="1" showInputMessage="1" showErrorMessage="1" xr:uid="{98129439-7851-4F83-AB16-CFDBFE35DC77}">
          <x14:formula1>
            <xm:f>Sheet3!$C$3:$C$4</xm:f>
          </x14:formula1>
          <xm:sqref>M63:M132</xm:sqref>
        </x14:dataValidation>
        <x14:dataValidation type="list" allowBlank="1" showInputMessage="1" xr:uid="{39ACF4C4-283B-45B0-915B-4AB2F63B05AF}">
          <x14:formula1>
            <xm:f>Sheet3!$D$3:$D$11</xm:f>
          </x14:formula1>
          <xm:sqref>C132</xm:sqref>
        </x14:dataValidation>
        <x14:dataValidation type="list" allowBlank="1" showInputMessage="1" showErrorMessage="1" xr:uid="{66E73732-7A78-444E-8D31-99A4A5389158}">
          <x14:formula1>
            <xm:f>Sheet3!$B$3:$B$5</xm:f>
          </x14:formula1>
          <xm:sqref>B143:B165 B132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085B-CCE9-4277-AA82-8B5D177D4EBA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25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Summary!G33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'24'!D54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249DE04-B049-4BCF-9084-F1FECF1BA96B}">
      <formula1>INDIRECT(D63)</formula1>
    </dataValidation>
  </dataValidations>
  <hyperlinks>
    <hyperlink ref="J14:L15" location="Summary!A1" display="MTD Summary " xr:uid="{7E40432E-CF40-4CE4-A341-F668F81AE193}"/>
    <hyperlink ref="J16:L17" location="Graph!A1" display="MTD Trendings" xr:uid="{2B45BF44-C2C5-4EB7-989B-AA088C568AC2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3850E7-617F-430B-9A90-77FD4C535925}">
          <x14:formula1>
            <xm:f>Sheet3!$B$3:$B$5</xm:f>
          </x14:formula1>
          <xm:sqref>B143:B165 B132</xm:sqref>
        </x14:dataValidation>
        <x14:dataValidation type="list" allowBlank="1" showInputMessage="1" xr:uid="{4CEAC1B1-3003-466D-A8A9-40CF266506D4}">
          <x14:formula1>
            <xm:f>Sheet3!$D$3:$D$11</xm:f>
          </x14:formula1>
          <xm:sqref>C132</xm:sqref>
        </x14:dataValidation>
        <x14:dataValidation type="list" allowBlank="1" showInputMessage="1" showErrorMessage="1" xr:uid="{4745DCDE-0132-4E1F-8C75-D541F8C275BC}">
          <x14:formula1>
            <xm:f>Sheet3!$C$3:$C$4</xm:f>
          </x14:formula1>
          <xm:sqref>M63:M132</xm:sqref>
        </x14:dataValidation>
        <x14:dataValidation type="list" allowBlank="1" showInputMessage="1" showErrorMessage="1" xr:uid="{281D38CD-6ACC-45D0-AAFC-989CB02EC655}">
          <x14:formula1>
            <xm:f>List!$B$5:$B$8</xm:f>
          </x14:formula1>
          <xm:sqref>B63:B131</xm:sqref>
        </x14:dataValidation>
        <x14:dataValidation type="list" allowBlank="1" showInputMessage="1" showErrorMessage="1" xr:uid="{987DD163-0EC9-418C-9535-117DB21DC4FD}">
          <x14:formula1>
            <xm:f>List!$B$10:$B$12</xm:f>
          </x14:formula1>
          <xm:sqref>C63:C131</xm:sqref>
        </x14:dataValidation>
        <x14:dataValidation type="list" allowBlank="1" showInputMessage="1" showErrorMessage="1" xr:uid="{82505CC8-FE04-4EE3-837D-F97B70BB5816}">
          <x14:formula1>
            <xm:f>List!$C$5:$C$14</xm:f>
          </x14:formula1>
          <xm:sqref>D63:D131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A5DA-DD52-4994-9FDF-0340957BFBDA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26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Summary!G34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'25'!D54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C7AF0B31-B081-483E-B905-0451BA0E0AE1}">
      <formula1>INDIRECT(D63)</formula1>
    </dataValidation>
  </dataValidations>
  <hyperlinks>
    <hyperlink ref="J14:L15" location="Summary!A1" display="MTD Summary " xr:uid="{33115FA3-AD88-4EC0-A2EF-DA52B2683711}"/>
    <hyperlink ref="J16:L17" location="Graph!A1" display="MTD Trendings" xr:uid="{D22D3C6C-E6F1-4569-83A5-F8BA02903607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0264308-8FAA-41F6-8A4F-98A22EE83E41}">
          <x14:formula1>
            <xm:f>List!$C$5:$C$14</xm:f>
          </x14:formula1>
          <xm:sqref>D63:D131</xm:sqref>
        </x14:dataValidation>
        <x14:dataValidation type="list" allowBlank="1" showInputMessage="1" showErrorMessage="1" xr:uid="{348B6C3F-DA7F-4161-99E3-5D9246B8C4EC}">
          <x14:formula1>
            <xm:f>List!$B$10:$B$12</xm:f>
          </x14:formula1>
          <xm:sqref>C63:C131</xm:sqref>
        </x14:dataValidation>
        <x14:dataValidation type="list" allowBlank="1" showInputMessage="1" showErrorMessage="1" xr:uid="{7375D8AC-5BC3-40D4-934D-9605D815931F}">
          <x14:formula1>
            <xm:f>List!$B$5:$B$8</xm:f>
          </x14:formula1>
          <xm:sqref>B63:B131</xm:sqref>
        </x14:dataValidation>
        <x14:dataValidation type="list" allowBlank="1" showInputMessage="1" showErrorMessage="1" xr:uid="{FB6B8045-017D-4E4D-9FF7-D4D70367C632}">
          <x14:formula1>
            <xm:f>Sheet3!$C$3:$C$4</xm:f>
          </x14:formula1>
          <xm:sqref>M63:M132</xm:sqref>
        </x14:dataValidation>
        <x14:dataValidation type="list" allowBlank="1" showInputMessage="1" xr:uid="{97E78288-6601-4EB6-8BEC-5ABC0CE505A8}">
          <x14:formula1>
            <xm:f>Sheet3!$D$3:$D$11</xm:f>
          </x14:formula1>
          <xm:sqref>C132</xm:sqref>
        </x14:dataValidation>
        <x14:dataValidation type="list" allowBlank="1" showInputMessage="1" showErrorMessage="1" xr:uid="{E87DB4A7-ABA1-486B-A63D-FBD588304924}">
          <x14:formula1>
            <xm:f>Sheet3!$B$3:$B$5</xm:f>
          </x14:formula1>
          <xm:sqref>B143:B165 B132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3A6A-284E-41B5-9389-D7C616FA866E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27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Summary!G35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'26'!D54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39C1B02D-D66D-49FF-A0E9-3FC82E604E66}">
      <formula1>INDIRECT(D63)</formula1>
    </dataValidation>
  </dataValidations>
  <hyperlinks>
    <hyperlink ref="J14:L15" location="Summary!A1" display="MTD Summary " xr:uid="{1FA33A76-3718-4BA6-9FA3-FBDB20BC97FF}"/>
    <hyperlink ref="J16:L17" location="Graph!A1" display="MTD Trendings" xr:uid="{A5E91366-8862-41DE-89E5-C6E3CD50459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8D4DF95-3E7A-4ACF-A15A-EE1D7F58928D}">
          <x14:formula1>
            <xm:f>Sheet3!$B$3:$B$5</xm:f>
          </x14:formula1>
          <xm:sqref>B143:B165 B132</xm:sqref>
        </x14:dataValidation>
        <x14:dataValidation type="list" allowBlank="1" showInputMessage="1" xr:uid="{BDBB3E64-46B1-4C68-B464-99D0AA0FD84E}">
          <x14:formula1>
            <xm:f>Sheet3!$D$3:$D$11</xm:f>
          </x14:formula1>
          <xm:sqref>C132</xm:sqref>
        </x14:dataValidation>
        <x14:dataValidation type="list" allowBlank="1" showInputMessage="1" showErrorMessage="1" xr:uid="{849732F3-F125-417A-A04A-4E1134D3A3A9}">
          <x14:formula1>
            <xm:f>Sheet3!$C$3:$C$4</xm:f>
          </x14:formula1>
          <xm:sqref>M63:M132</xm:sqref>
        </x14:dataValidation>
        <x14:dataValidation type="list" allowBlank="1" showInputMessage="1" showErrorMessage="1" xr:uid="{30501B17-E575-48E9-87F8-88EC50495C13}">
          <x14:formula1>
            <xm:f>List!$B$5:$B$8</xm:f>
          </x14:formula1>
          <xm:sqref>B63:B131</xm:sqref>
        </x14:dataValidation>
        <x14:dataValidation type="list" allowBlank="1" showInputMessage="1" showErrorMessage="1" xr:uid="{F830C8C1-C7BB-471D-8507-BD23307C6342}">
          <x14:formula1>
            <xm:f>List!$B$10:$B$12</xm:f>
          </x14:formula1>
          <xm:sqref>C63:C131</xm:sqref>
        </x14:dataValidation>
        <x14:dataValidation type="list" allowBlank="1" showInputMessage="1" showErrorMessage="1" xr:uid="{211B687F-805F-455F-937E-B67067EA8520}">
          <x14:formula1>
            <xm:f>List!$C$5:$C$14</xm:f>
          </x14:formula1>
          <xm:sqref>D63:D131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D7D-7AAC-444D-8B5C-4DB88FD4F599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28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Summary!G36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'27'!D54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8406CE3-0D25-4A86-88F5-BB5C7A688F54}">
      <formula1>INDIRECT(D63)</formula1>
    </dataValidation>
  </dataValidations>
  <hyperlinks>
    <hyperlink ref="J14:L15" location="Summary!A1" display="MTD Summary " xr:uid="{06634360-0CFB-4651-B230-B01D08E9018D}"/>
    <hyperlink ref="J16:L17" location="Graph!A1" display="MTD Trendings" xr:uid="{54F9EEB9-D527-4AC9-86E4-61CC99F34D0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67A86A3-5F47-4697-8E17-61EA60FB52D6}">
          <x14:formula1>
            <xm:f>List!$C$5:$C$14</xm:f>
          </x14:formula1>
          <xm:sqref>D63:D131</xm:sqref>
        </x14:dataValidation>
        <x14:dataValidation type="list" allowBlank="1" showInputMessage="1" showErrorMessage="1" xr:uid="{27F79080-9ED8-4AE6-9044-4600033EFB6F}">
          <x14:formula1>
            <xm:f>List!$B$10:$B$12</xm:f>
          </x14:formula1>
          <xm:sqref>C63:C131</xm:sqref>
        </x14:dataValidation>
        <x14:dataValidation type="list" allowBlank="1" showInputMessage="1" showErrorMessage="1" xr:uid="{B2BCE1D1-6A88-4D01-B041-756EE3FDB68C}">
          <x14:formula1>
            <xm:f>List!$B$5:$B$8</xm:f>
          </x14:formula1>
          <xm:sqref>B63:B131</xm:sqref>
        </x14:dataValidation>
        <x14:dataValidation type="list" allowBlank="1" showInputMessage="1" showErrorMessage="1" xr:uid="{AA83ABD0-FBA8-4E88-A436-B0E23EA4D6FD}">
          <x14:formula1>
            <xm:f>Sheet3!$C$3:$C$4</xm:f>
          </x14:formula1>
          <xm:sqref>M63:M132</xm:sqref>
        </x14:dataValidation>
        <x14:dataValidation type="list" allowBlank="1" showInputMessage="1" xr:uid="{D59FB672-B0EE-42D6-A38A-6EB5D0375A87}">
          <x14:formula1>
            <xm:f>Sheet3!$D$3:$D$11</xm:f>
          </x14:formula1>
          <xm:sqref>C132</xm:sqref>
        </x14:dataValidation>
        <x14:dataValidation type="list" allowBlank="1" showInputMessage="1" showErrorMessage="1" xr:uid="{F5C5ED58-500B-439E-B5CA-71274BC0428A}">
          <x14:formula1>
            <xm:f>Sheet3!$B$3:$B$5</xm:f>
          </x14:formula1>
          <xm:sqref>B143:B165 B132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438D-9560-42E1-82B0-3A31A9623725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29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Summary!G37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'28'!D54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C01B8C9-7BB9-4572-915E-7DEC71F18386}">
      <formula1>INDIRECT(D63)</formula1>
    </dataValidation>
  </dataValidations>
  <hyperlinks>
    <hyperlink ref="J14:L15" location="Summary!A1" display="MTD Summary " xr:uid="{F3CD1BE5-4721-48B5-946C-936D5DF67487}"/>
    <hyperlink ref="J16:L17" location="Graph!A1" display="MTD Trendings" xr:uid="{DC1081E2-FE8C-48CC-9550-A2F2448F555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D70DEE-278F-43F4-98F0-57BF7E65EB1A}">
          <x14:formula1>
            <xm:f>Sheet3!$B$3:$B$5</xm:f>
          </x14:formula1>
          <xm:sqref>B143:B165 B132</xm:sqref>
        </x14:dataValidation>
        <x14:dataValidation type="list" allowBlank="1" showInputMessage="1" xr:uid="{FC5BA9D8-D31E-4CDB-B284-D1116860A701}">
          <x14:formula1>
            <xm:f>Sheet3!$D$3:$D$11</xm:f>
          </x14:formula1>
          <xm:sqref>C132</xm:sqref>
        </x14:dataValidation>
        <x14:dataValidation type="list" allowBlank="1" showInputMessage="1" showErrorMessage="1" xr:uid="{407EA6B5-64F0-4ABE-ACF2-A045FA9B6702}">
          <x14:formula1>
            <xm:f>Sheet3!$C$3:$C$4</xm:f>
          </x14:formula1>
          <xm:sqref>M63:M132</xm:sqref>
        </x14:dataValidation>
        <x14:dataValidation type="list" allowBlank="1" showInputMessage="1" showErrorMessage="1" xr:uid="{14CBC857-DD85-4C17-A6DD-DDAE79E076DC}">
          <x14:formula1>
            <xm:f>List!$B$5:$B$8</xm:f>
          </x14:formula1>
          <xm:sqref>B63:B131</xm:sqref>
        </x14:dataValidation>
        <x14:dataValidation type="list" allowBlank="1" showInputMessage="1" showErrorMessage="1" xr:uid="{ED04CEBC-4EED-4B4D-AF67-9FEB8056C6EC}">
          <x14:formula1>
            <xm:f>List!$B$10:$B$12</xm:f>
          </x14:formula1>
          <xm:sqref>C63:C131</xm:sqref>
        </x14:dataValidation>
        <x14:dataValidation type="list" allowBlank="1" showInputMessage="1" showErrorMessage="1" xr:uid="{EF062A6A-8844-4D6A-9A4D-58F62FA6EC33}">
          <x14:formula1>
            <xm:f>List!$C$5:$C$14</xm:f>
          </x14:formula1>
          <xm:sqref>D63:D131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C79-B837-4FDB-B8D9-30CC2AF9D592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P19" sqref="P1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30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Summary!G38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'29'!D54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DD3226F-D48D-4820-8F95-769964644C4E}">
      <formula1>INDIRECT(D63)</formula1>
    </dataValidation>
  </dataValidations>
  <hyperlinks>
    <hyperlink ref="J14:L15" location="Summary!A1" display="MTD Summary " xr:uid="{53BEAF02-327C-4B53-A27D-484B684D45BF}"/>
    <hyperlink ref="J16:L17" location="Graph!A1" display="MTD Trendings" xr:uid="{5DC62984-C428-460A-8E64-69B956ED811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582D20-6F6A-48A2-9E50-90D58C0ADD38}">
          <x14:formula1>
            <xm:f>List!$C$5:$C$14</xm:f>
          </x14:formula1>
          <xm:sqref>D63:D131</xm:sqref>
        </x14:dataValidation>
        <x14:dataValidation type="list" allowBlank="1" showInputMessage="1" showErrorMessage="1" xr:uid="{E9AC967C-1E65-41D2-8AF8-133A6C8952B3}">
          <x14:formula1>
            <xm:f>List!$B$10:$B$12</xm:f>
          </x14:formula1>
          <xm:sqref>C63:C131</xm:sqref>
        </x14:dataValidation>
        <x14:dataValidation type="list" allowBlank="1" showInputMessage="1" showErrorMessage="1" xr:uid="{91097B23-0F70-481D-9990-785855F36ED9}">
          <x14:formula1>
            <xm:f>List!$B$5:$B$8</xm:f>
          </x14:formula1>
          <xm:sqref>B63:B131</xm:sqref>
        </x14:dataValidation>
        <x14:dataValidation type="list" allowBlank="1" showInputMessage="1" showErrorMessage="1" xr:uid="{482220BE-7ECC-487E-BD68-A3AB3B3C4BBE}">
          <x14:formula1>
            <xm:f>Sheet3!$C$3:$C$4</xm:f>
          </x14:formula1>
          <xm:sqref>M63:M132</xm:sqref>
        </x14:dataValidation>
        <x14:dataValidation type="list" allowBlank="1" showInputMessage="1" xr:uid="{10604952-E62A-4091-814D-C4FA4272DEAE}">
          <x14:formula1>
            <xm:f>Sheet3!$D$3:$D$11</xm:f>
          </x14:formula1>
          <xm:sqref>C132</xm:sqref>
        </x14:dataValidation>
        <x14:dataValidation type="list" allowBlank="1" showInputMessage="1" showErrorMessage="1" xr:uid="{C504BB84-8F15-47A6-841C-71904C67BCC4}">
          <x14:formula1>
            <xm:f>Sheet3!$B$3:$B$5</xm:f>
          </x14:formula1>
          <xm:sqref>B143:B165 B132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A781-3279-4D49-8530-F1E7C6E07746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K2" sqref="K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  <c r="N1" s="245"/>
    </row>
    <row r="2" spans="1:16" ht="29.25" customHeight="1" thickBot="1" x14ac:dyDescent="0.25">
      <c r="B2" s="290" t="s">
        <v>272</v>
      </c>
      <c r="C2" s="291"/>
      <c r="D2" s="291"/>
      <c r="E2" s="291"/>
      <c r="F2" s="291"/>
      <c r="G2" s="291"/>
      <c r="H2" s="291"/>
      <c r="I2" s="292"/>
      <c r="J2" s="72" t="s">
        <v>273</v>
      </c>
      <c r="K2" s="72" t="str">
        <f ca="1">MID(CELL("filename",A1),FIND("]",CELL("filename",A1))+1,31)</f>
        <v>31</v>
      </c>
      <c r="L2" s="36" t="str">
        <f>'1'!L2</f>
        <v>Jan</v>
      </c>
      <c r="M2" s="245"/>
      <c r="N2" s="135"/>
      <c r="P2" s="250"/>
    </row>
    <row r="3" spans="1:16" ht="13.5" customHeight="1" thickBot="1" x14ac:dyDescent="0.25">
      <c r="E3" s="245"/>
      <c r="F3" s="245"/>
      <c r="G3" s="245"/>
      <c r="J3" s="10"/>
      <c r="K3" s="10"/>
      <c r="N3" s="245"/>
    </row>
    <row r="4" spans="1:16" ht="15" customHeight="1" x14ac:dyDescent="0.2">
      <c r="B4" s="311" t="s">
        <v>2</v>
      </c>
      <c r="C4" s="314" t="s">
        <v>275</v>
      </c>
      <c r="D4" s="316" t="s">
        <v>276</v>
      </c>
      <c r="E4" s="318" t="s">
        <v>277</v>
      </c>
      <c r="F4" s="319"/>
      <c r="G4" s="320"/>
      <c r="H4" s="314" t="s">
        <v>278</v>
      </c>
      <c r="I4" s="68"/>
      <c r="J4" s="386" t="s">
        <v>279</v>
      </c>
      <c r="K4" s="386"/>
      <c r="L4" s="386" t="s">
        <v>280</v>
      </c>
      <c r="M4" s="386"/>
      <c r="N4" s="245"/>
    </row>
    <row r="5" spans="1:16" ht="15" x14ac:dyDescent="0.2">
      <c r="B5" s="312"/>
      <c r="C5" s="315"/>
      <c r="D5" s="317"/>
      <c r="E5" s="20" t="s">
        <v>281</v>
      </c>
      <c r="F5" s="387" t="s">
        <v>282</v>
      </c>
      <c r="G5" s="388"/>
      <c r="H5" s="315"/>
      <c r="I5" s="68"/>
      <c r="J5" s="386"/>
      <c r="K5" s="386"/>
      <c r="L5" s="386"/>
      <c r="M5" s="386"/>
      <c r="N5" s="245"/>
    </row>
    <row r="6" spans="1:16" ht="15.75" thickBot="1" x14ac:dyDescent="0.25">
      <c r="B6" s="313"/>
      <c r="C6" s="249" t="s">
        <v>283</v>
      </c>
      <c r="D6" s="251" t="s">
        <v>284</v>
      </c>
      <c r="E6" s="252" t="s">
        <v>285</v>
      </c>
      <c r="F6" s="389" t="s">
        <v>285</v>
      </c>
      <c r="G6" s="390"/>
      <c r="H6" s="385"/>
      <c r="I6" s="68"/>
      <c r="J6" s="391">
        <f>H19</f>
        <v>0</v>
      </c>
      <c r="K6" s="391"/>
      <c r="L6" s="391">
        <f ca="1">Summary!G39</f>
        <v>0</v>
      </c>
      <c r="M6" s="391"/>
      <c r="N6" s="245"/>
    </row>
    <row r="7" spans="1:16" ht="14.1" customHeight="1" x14ac:dyDescent="0.2">
      <c r="B7" s="351" t="s">
        <v>245</v>
      </c>
      <c r="C7" s="43" t="s">
        <v>286</v>
      </c>
      <c r="D7" s="83"/>
      <c r="E7" s="84"/>
      <c r="F7" s="366"/>
      <c r="G7" s="367"/>
      <c r="H7" s="345">
        <f>SUM(D7:D10)</f>
        <v>0</v>
      </c>
      <c r="I7" s="69"/>
      <c r="J7" s="391"/>
      <c r="K7" s="391"/>
      <c r="L7" s="391"/>
      <c r="M7" s="391"/>
      <c r="N7" s="245"/>
    </row>
    <row r="8" spans="1:16" ht="14.1" customHeight="1" x14ac:dyDescent="0.2">
      <c r="B8" s="352"/>
      <c r="C8" s="44" t="s">
        <v>287</v>
      </c>
      <c r="D8" s="85"/>
      <c r="E8" s="86"/>
      <c r="F8" s="368"/>
      <c r="G8" s="369"/>
      <c r="H8" s="346"/>
      <c r="I8" s="69"/>
      <c r="J8" s="70"/>
      <c r="K8" s="14"/>
      <c r="L8" s="2"/>
      <c r="N8" s="245"/>
    </row>
    <row r="9" spans="1:16" ht="14.1" customHeight="1" x14ac:dyDescent="0.2">
      <c r="B9" s="352"/>
      <c r="C9" s="44" t="s">
        <v>288</v>
      </c>
      <c r="D9" s="85"/>
      <c r="E9" s="86"/>
      <c r="F9" s="368"/>
      <c r="G9" s="369"/>
      <c r="H9" s="346"/>
      <c r="I9" s="69"/>
      <c r="J9" s="386" t="s">
        <v>289</v>
      </c>
      <c r="K9" s="386"/>
      <c r="L9" s="165"/>
      <c r="M9" s="165"/>
      <c r="N9" s="245"/>
    </row>
    <row r="10" spans="1:16" ht="14.1" customHeight="1" thickBot="1" x14ac:dyDescent="0.25">
      <c r="B10" s="353"/>
      <c r="C10" s="46" t="s">
        <v>290</v>
      </c>
      <c r="D10" s="87"/>
      <c r="E10" s="88"/>
      <c r="F10" s="370"/>
      <c r="G10" s="371"/>
      <c r="H10" s="347"/>
      <c r="I10" s="69"/>
      <c r="J10" s="386"/>
      <c r="K10" s="386"/>
      <c r="L10" s="165"/>
      <c r="M10" s="165"/>
      <c r="N10" s="245"/>
    </row>
    <row r="11" spans="1:16" ht="14.1" customHeight="1" x14ac:dyDescent="0.2">
      <c r="B11" s="354" t="s">
        <v>246</v>
      </c>
      <c r="C11" s="48" t="s">
        <v>291</v>
      </c>
      <c r="D11" s="89"/>
      <c r="E11" s="90"/>
      <c r="F11" s="357"/>
      <c r="G11" s="358"/>
      <c r="H11" s="359">
        <f>SUM(D11:D14)</f>
        <v>0</v>
      </c>
      <c r="I11" s="69"/>
      <c r="J11" s="374"/>
      <c r="K11" s="374"/>
      <c r="L11" s="166"/>
      <c r="M11" s="166"/>
      <c r="N11" s="245"/>
    </row>
    <row r="12" spans="1:16" ht="14.1" customHeight="1" x14ac:dyDescent="0.2">
      <c r="B12" s="355"/>
      <c r="C12" s="49" t="s">
        <v>292</v>
      </c>
      <c r="D12" s="91"/>
      <c r="E12" s="92"/>
      <c r="F12" s="362"/>
      <c r="G12" s="363"/>
      <c r="H12" s="360"/>
      <c r="I12" s="69"/>
      <c r="J12" s="374"/>
      <c r="K12" s="374"/>
      <c r="L12" s="166"/>
      <c r="M12" s="166"/>
      <c r="N12" s="245"/>
      <c r="O12" s="42"/>
    </row>
    <row r="13" spans="1:16" ht="14.1" customHeight="1" x14ac:dyDescent="0.2">
      <c r="B13" s="355"/>
      <c r="C13" s="49" t="s">
        <v>293</v>
      </c>
      <c r="D13" s="91"/>
      <c r="E13" s="92"/>
      <c r="F13" s="362"/>
      <c r="G13" s="363"/>
      <c r="H13" s="360"/>
      <c r="I13" s="69"/>
      <c r="J13" s="70"/>
      <c r="K13" s="2"/>
      <c r="L13" s="2"/>
      <c r="M13" s="2"/>
      <c r="N13" s="245"/>
    </row>
    <row r="14" spans="1:16" ht="14.1" customHeight="1" thickBot="1" x14ac:dyDescent="0.25">
      <c r="B14" s="356"/>
      <c r="C14" s="50" t="s">
        <v>294</v>
      </c>
      <c r="D14" s="93"/>
      <c r="E14" s="94"/>
      <c r="F14" s="364"/>
      <c r="G14" s="365"/>
      <c r="H14" s="361"/>
      <c r="I14" s="69"/>
      <c r="J14" s="348" t="s">
        <v>295</v>
      </c>
      <c r="K14" s="349"/>
      <c r="L14" s="350"/>
      <c r="M14" s="2"/>
      <c r="N14" s="245"/>
    </row>
    <row r="15" spans="1:16" ht="14.1" customHeight="1" x14ac:dyDescent="0.2">
      <c r="B15" s="340" t="s">
        <v>247</v>
      </c>
      <c r="C15" s="51" t="s">
        <v>296</v>
      </c>
      <c r="D15" s="95"/>
      <c r="E15" s="96"/>
      <c r="F15" s="343"/>
      <c r="G15" s="344"/>
      <c r="H15" s="345">
        <f>SUM(D15:D18)</f>
        <v>0</v>
      </c>
      <c r="I15" s="69"/>
      <c r="J15" s="348"/>
      <c r="K15" s="349"/>
      <c r="L15" s="350"/>
      <c r="N15" s="245"/>
    </row>
    <row r="16" spans="1:16" ht="14.1" customHeight="1" x14ac:dyDescent="0.2">
      <c r="B16" s="341"/>
      <c r="C16" s="52" t="s">
        <v>297</v>
      </c>
      <c r="D16" s="97"/>
      <c r="E16" s="98"/>
      <c r="F16" s="372"/>
      <c r="G16" s="373"/>
      <c r="H16" s="346"/>
      <c r="I16" s="69"/>
      <c r="J16" s="348" t="s">
        <v>298</v>
      </c>
      <c r="K16" s="349"/>
      <c r="L16" s="350"/>
      <c r="N16" s="245"/>
    </row>
    <row r="17" spans="2:14" ht="14.1" customHeight="1" x14ac:dyDescent="0.2">
      <c r="B17" s="341"/>
      <c r="C17" s="52" t="s">
        <v>299</v>
      </c>
      <c r="D17" s="97"/>
      <c r="E17" s="98"/>
      <c r="F17" s="372"/>
      <c r="G17" s="373"/>
      <c r="H17" s="346"/>
      <c r="I17" s="69"/>
      <c r="J17" s="348"/>
      <c r="K17" s="349"/>
      <c r="L17" s="350"/>
      <c r="N17" s="245"/>
    </row>
    <row r="18" spans="2:14" ht="14.1" customHeight="1" thickBot="1" x14ac:dyDescent="0.25">
      <c r="B18" s="342"/>
      <c r="C18" s="53" t="s">
        <v>300</v>
      </c>
      <c r="D18" s="99"/>
      <c r="E18" s="100"/>
      <c r="F18" s="375"/>
      <c r="G18" s="376"/>
      <c r="H18" s="347"/>
      <c r="I18" s="69"/>
      <c r="N18" s="245"/>
    </row>
    <row r="19" spans="2:14" ht="18" customHeight="1" x14ac:dyDescent="0.2">
      <c r="B19" s="248" t="s">
        <v>244</v>
      </c>
      <c r="C19" s="321"/>
      <c r="D19" s="321"/>
      <c r="E19" s="321"/>
      <c r="F19" s="321"/>
      <c r="G19" s="248"/>
      <c r="H19" s="101">
        <f>SUM(H7:H18)</f>
        <v>0</v>
      </c>
      <c r="I19" s="66"/>
      <c r="J19" s="67"/>
      <c r="K19" s="65"/>
      <c r="M19" s="2"/>
      <c r="N19" s="245"/>
    </row>
    <row r="20" spans="2:14" ht="8.25" customHeight="1" x14ac:dyDescent="0.2">
      <c r="B20" s="248"/>
      <c r="C20" s="248"/>
      <c r="D20" s="248"/>
      <c r="E20" s="248"/>
      <c r="F20" s="248"/>
      <c r="G20" s="248"/>
      <c r="H20" s="101"/>
      <c r="I20" s="66"/>
      <c r="J20" s="67"/>
      <c r="K20" s="65"/>
      <c r="M20" s="2"/>
      <c r="N20" s="245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  <c r="N21" s="245"/>
    </row>
    <row r="22" spans="2:14" ht="18.75" customHeight="1" thickBot="1" x14ac:dyDescent="0.25">
      <c r="B22" s="322" t="s">
        <v>301</v>
      </c>
      <c r="C22" s="323"/>
      <c r="D22" s="323"/>
      <c r="E22" s="323"/>
      <c r="F22" s="323"/>
      <c r="G22" s="323"/>
      <c r="H22" s="323"/>
      <c r="I22" s="323"/>
      <c r="J22" s="323"/>
      <c r="K22" s="323"/>
      <c r="L22" s="324"/>
      <c r="N22" s="245"/>
    </row>
    <row r="23" spans="2:14" ht="16.5" customHeight="1" x14ac:dyDescent="0.2">
      <c r="B23" s="246" t="s">
        <v>2</v>
      </c>
      <c r="C23" s="325" t="s">
        <v>245</v>
      </c>
      <c r="D23" s="326"/>
      <c r="E23" s="327" t="s">
        <v>246</v>
      </c>
      <c r="F23" s="328"/>
      <c r="G23" s="329" t="s">
        <v>247</v>
      </c>
      <c r="H23" s="330"/>
      <c r="I23" s="331"/>
      <c r="J23" s="332" t="s">
        <v>302</v>
      </c>
      <c r="K23" s="334" t="s">
        <v>303</v>
      </c>
      <c r="L23" s="335"/>
      <c r="M23" s="2"/>
      <c r="N23" s="245"/>
    </row>
    <row r="24" spans="2:14" s="3" customFormat="1" ht="31.5" customHeight="1" thickBot="1" x14ac:dyDescent="0.25">
      <c r="B24" s="247" t="s">
        <v>304</v>
      </c>
      <c r="C24" s="22" t="s">
        <v>305</v>
      </c>
      <c r="D24" s="23" t="s">
        <v>306</v>
      </c>
      <c r="E24" s="34" t="s">
        <v>305</v>
      </c>
      <c r="F24" s="35" t="s">
        <v>306</v>
      </c>
      <c r="G24" s="338" t="s">
        <v>305</v>
      </c>
      <c r="H24" s="339"/>
      <c r="I24" s="24" t="s">
        <v>306</v>
      </c>
      <c r="J24" s="333"/>
      <c r="K24" s="336"/>
      <c r="L24" s="337"/>
      <c r="M24" s="6"/>
      <c r="N24" s="245"/>
    </row>
    <row r="25" spans="2:14" ht="14.1" customHeight="1" x14ac:dyDescent="0.2">
      <c r="B25" s="21" t="s">
        <v>307</v>
      </c>
      <c r="C25" s="54"/>
      <c r="D25" s="102"/>
      <c r="E25" s="56"/>
      <c r="F25" s="107"/>
      <c r="G25" s="381"/>
      <c r="H25" s="382"/>
      <c r="I25" s="111"/>
      <c r="J25" s="38">
        <f t="shared" ref="J25:J40" si="0">C25+E25+G25</f>
        <v>0</v>
      </c>
      <c r="K25" s="383">
        <f>D25+F25+I25</f>
        <v>0</v>
      </c>
      <c r="L25" s="384"/>
      <c r="M25" s="2"/>
      <c r="N25" s="245"/>
    </row>
    <row r="26" spans="2:14" ht="14.1" customHeight="1" x14ac:dyDescent="0.2">
      <c r="B26" s="80" t="s">
        <v>308</v>
      </c>
      <c r="C26" s="45"/>
      <c r="D26" s="103"/>
      <c r="E26" s="57"/>
      <c r="F26" s="108"/>
      <c r="G26" s="377"/>
      <c r="H26" s="378"/>
      <c r="I26" s="112"/>
      <c r="J26" s="25">
        <f t="shared" si="0"/>
        <v>0</v>
      </c>
      <c r="K26" s="379">
        <f t="shared" ref="K26:K39" si="1">D26+F26+I26</f>
        <v>0</v>
      </c>
      <c r="L26" s="380"/>
      <c r="M26" s="2"/>
      <c r="N26" s="245"/>
    </row>
    <row r="27" spans="2:14" ht="14.1" customHeight="1" x14ac:dyDescent="0.2">
      <c r="B27" s="80" t="s">
        <v>309</v>
      </c>
      <c r="C27" s="45"/>
      <c r="D27" s="103"/>
      <c r="E27" s="57"/>
      <c r="F27" s="108"/>
      <c r="G27" s="377"/>
      <c r="H27" s="378"/>
      <c r="I27" s="112"/>
      <c r="J27" s="25">
        <f t="shared" si="0"/>
        <v>0</v>
      </c>
      <c r="K27" s="379">
        <f t="shared" si="1"/>
        <v>0</v>
      </c>
      <c r="L27" s="380"/>
      <c r="M27" s="2"/>
      <c r="N27" s="245"/>
    </row>
    <row r="28" spans="2:14" ht="14.1" customHeight="1" x14ac:dyDescent="0.2">
      <c r="B28" s="80" t="s">
        <v>310</v>
      </c>
      <c r="C28" s="45"/>
      <c r="D28" s="103"/>
      <c r="E28" s="57"/>
      <c r="F28" s="108"/>
      <c r="G28" s="377"/>
      <c r="H28" s="378"/>
      <c r="I28" s="112"/>
      <c r="J28" s="25">
        <f t="shared" si="0"/>
        <v>0</v>
      </c>
      <c r="K28" s="379">
        <f t="shared" si="1"/>
        <v>0</v>
      </c>
      <c r="L28" s="380"/>
      <c r="M28" s="2"/>
      <c r="N28" s="245"/>
    </row>
    <row r="29" spans="2:14" ht="14.1" customHeight="1" x14ac:dyDescent="0.2">
      <c r="B29" s="80" t="s">
        <v>311</v>
      </c>
      <c r="C29" s="45"/>
      <c r="D29" s="103"/>
      <c r="E29" s="57"/>
      <c r="F29" s="108"/>
      <c r="G29" s="377"/>
      <c r="H29" s="378"/>
      <c r="I29" s="112"/>
      <c r="J29" s="25">
        <f t="shared" si="0"/>
        <v>0</v>
      </c>
      <c r="K29" s="379">
        <f t="shared" si="1"/>
        <v>0</v>
      </c>
      <c r="L29" s="380"/>
      <c r="N29" s="245"/>
    </row>
    <row r="30" spans="2:14" ht="14.1" customHeight="1" x14ac:dyDescent="0.2">
      <c r="B30" s="80" t="s">
        <v>312</v>
      </c>
      <c r="C30" s="45"/>
      <c r="D30" s="103"/>
      <c r="E30" s="57"/>
      <c r="F30" s="108"/>
      <c r="G30" s="377"/>
      <c r="H30" s="378"/>
      <c r="I30" s="112"/>
      <c r="J30" s="25">
        <f t="shared" si="0"/>
        <v>0</v>
      </c>
      <c r="K30" s="379">
        <f t="shared" si="1"/>
        <v>0</v>
      </c>
      <c r="L30" s="380"/>
      <c r="N30" s="245"/>
    </row>
    <row r="31" spans="2:14" ht="14.1" customHeight="1" x14ac:dyDescent="0.2">
      <c r="B31" s="80" t="s">
        <v>313</v>
      </c>
      <c r="C31" s="45"/>
      <c r="D31" s="103"/>
      <c r="E31" s="57"/>
      <c r="F31" s="108"/>
      <c r="G31" s="377"/>
      <c r="H31" s="378"/>
      <c r="I31" s="112"/>
      <c r="J31" s="25">
        <f t="shared" si="0"/>
        <v>0</v>
      </c>
      <c r="K31" s="379">
        <f t="shared" si="1"/>
        <v>0</v>
      </c>
      <c r="L31" s="380"/>
      <c r="N31" s="245"/>
    </row>
    <row r="32" spans="2:14" ht="14.1" customHeight="1" x14ac:dyDescent="0.2">
      <c r="B32" s="80" t="s">
        <v>314</v>
      </c>
      <c r="C32" s="45"/>
      <c r="D32" s="103"/>
      <c r="E32" s="57"/>
      <c r="F32" s="108"/>
      <c r="G32" s="377"/>
      <c r="H32" s="378"/>
      <c r="I32" s="112"/>
      <c r="J32" s="25">
        <f t="shared" si="0"/>
        <v>0</v>
      </c>
      <c r="K32" s="379">
        <f t="shared" si="1"/>
        <v>0</v>
      </c>
      <c r="L32" s="380"/>
      <c r="N32" s="245"/>
    </row>
    <row r="33" spans="1:16" ht="14.1" customHeight="1" x14ac:dyDescent="0.2">
      <c r="B33" s="80" t="s">
        <v>315</v>
      </c>
      <c r="C33" s="45"/>
      <c r="D33" s="103"/>
      <c r="E33" s="57"/>
      <c r="F33" s="108"/>
      <c r="G33" s="377"/>
      <c r="H33" s="378"/>
      <c r="I33" s="112"/>
      <c r="J33" s="25">
        <f t="shared" si="0"/>
        <v>0</v>
      </c>
      <c r="K33" s="379">
        <f t="shared" si="1"/>
        <v>0</v>
      </c>
      <c r="L33" s="380"/>
      <c r="N33" s="245"/>
    </row>
    <row r="34" spans="1:16" ht="14.1" customHeight="1" x14ac:dyDescent="0.2">
      <c r="B34" s="80" t="s">
        <v>316</v>
      </c>
      <c r="C34" s="45"/>
      <c r="D34" s="103"/>
      <c r="E34" s="57"/>
      <c r="F34" s="108"/>
      <c r="G34" s="377"/>
      <c r="H34" s="378"/>
      <c r="I34" s="112"/>
      <c r="J34" s="25">
        <f t="shared" si="0"/>
        <v>0</v>
      </c>
      <c r="K34" s="379">
        <f t="shared" si="1"/>
        <v>0</v>
      </c>
      <c r="L34" s="380"/>
      <c r="N34" s="245"/>
    </row>
    <row r="35" spans="1:16" ht="14.1" customHeight="1" x14ac:dyDescent="0.2">
      <c r="B35" s="37" t="s">
        <v>317</v>
      </c>
      <c r="C35" s="45"/>
      <c r="D35" s="103"/>
      <c r="E35" s="57"/>
      <c r="F35" s="108"/>
      <c r="G35" s="377"/>
      <c r="H35" s="378"/>
      <c r="I35" s="112"/>
      <c r="J35" s="25">
        <f t="shared" si="0"/>
        <v>0</v>
      </c>
      <c r="K35" s="379">
        <f t="shared" si="1"/>
        <v>0</v>
      </c>
      <c r="L35" s="380"/>
      <c r="N35" s="245"/>
    </row>
    <row r="36" spans="1:16" ht="14.1" customHeight="1" x14ac:dyDescent="0.2">
      <c r="B36" s="37" t="s">
        <v>318</v>
      </c>
      <c r="C36" s="55"/>
      <c r="D36" s="104"/>
      <c r="E36" s="58"/>
      <c r="F36" s="109"/>
      <c r="G36" s="377"/>
      <c r="H36" s="378"/>
      <c r="I36" s="113"/>
      <c r="J36" s="25">
        <f t="shared" si="0"/>
        <v>0</v>
      </c>
      <c r="K36" s="379">
        <f t="shared" si="1"/>
        <v>0</v>
      </c>
      <c r="L36" s="380"/>
      <c r="N36" s="245"/>
    </row>
    <row r="37" spans="1:16" ht="14.1" customHeight="1" x14ac:dyDescent="0.2">
      <c r="B37" s="37" t="s">
        <v>319</v>
      </c>
      <c r="C37" s="55"/>
      <c r="D37" s="104"/>
      <c r="E37" s="58"/>
      <c r="F37" s="109"/>
      <c r="G37" s="377"/>
      <c r="H37" s="378"/>
      <c r="I37" s="113"/>
      <c r="J37" s="25">
        <f t="shared" si="0"/>
        <v>0</v>
      </c>
      <c r="K37" s="379">
        <f t="shared" si="1"/>
        <v>0</v>
      </c>
      <c r="L37" s="380"/>
      <c r="N37" s="245"/>
    </row>
    <row r="38" spans="1:16" ht="14.1" customHeight="1" x14ac:dyDescent="0.2">
      <c r="B38" s="37" t="s">
        <v>320</v>
      </c>
      <c r="C38" s="55"/>
      <c r="D38" s="104"/>
      <c r="E38" s="58"/>
      <c r="F38" s="109"/>
      <c r="G38" s="377"/>
      <c r="H38" s="378"/>
      <c r="I38" s="113"/>
      <c r="J38" s="25">
        <f t="shared" si="0"/>
        <v>0</v>
      </c>
      <c r="K38" s="379">
        <f t="shared" si="1"/>
        <v>0</v>
      </c>
      <c r="L38" s="380"/>
      <c r="N38" s="245"/>
    </row>
    <row r="39" spans="1:16" ht="14.1" customHeight="1" x14ac:dyDescent="0.2">
      <c r="B39" s="37" t="s">
        <v>321</v>
      </c>
      <c r="C39" s="55"/>
      <c r="D39" s="104"/>
      <c r="E39" s="58"/>
      <c r="F39" s="109"/>
      <c r="G39" s="377"/>
      <c r="H39" s="378"/>
      <c r="I39" s="113"/>
      <c r="J39" s="25">
        <f t="shared" si="0"/>
        <v>0</v>
      </c>
      <c r="K39" s="379">
        <f t="shared" si="1"/>
        <v>0</v>
      </c>
      <c r="L39" s="380"/>
      <c r="N39" s="245"/>
    </row>
    <row r="40" spans="1:16" ht="14.1" customHeight="1" thickBot="1" x14ac:dyDescent="0.25">
      <c r="B40" s="81" t="s">
        <v>322</v>
      </c>
      <c r="C40" s="47"/>
      <c r="D40" s="105"/>
      <c r="E40" s="59"/>
      <c r="F40" s="110"/>
      <c r="G40" s="444"/>
      <c r="H40" s="445"/>
      <c r="I40" s="114"/>
      <c r="J40" s="26">
        <f t="shared" si="0"/>
        <v>0</v>
      </c>
      <c r="K40" s="446">
        <f>D40+F40+I40</f>
        <v>0</v>
      </c>
      <c r="L40" s="447"/>
      <c r="N40" s="245"/>
    </row>
    <row r="41" spans="1:16" ht="17.25" customHeight="1" x14ac:dyDescent="0.2">
      <c r="B41" s="15" t="s">
        <v>244</v>
      </c>
      <c r="C41" s="16">
        <f>SUM(C25:C40)</f>
        <v>0</v>
      </c>
      <c r="D41" s="106">
        <f>SUM(D25:D40)</f>
        <v>0</v>
      </c>
      <c r="E41" s="16">
        <f>SUM(E25:E40)</f>
        <v>0</v>
      </c>
      <c r="F41" s="106">
        <f>SUM(F25:F40)</f>
        <v>0</v>
      </c>
      <c r="G41" s="401">
        <f>SUM(G25:H40)</f>
        <v>0</v>
      </c>
      <c r="H41" s="401"/>
      <c r="I41" s="106">
        <f>SUM(I25:I40)</f>
        <v>0</v>
      </c>
      <c r="J41" s="16">
        <f>SUM(J25:J40)</f>
        <v>0</v>
      </c>
      <c r="K41" s="448">
        <f>SUM(K25:L40)</f>
        <v>0</v>
      </c>
      <c r="L41" s="448"/>
      <c r="N41" s="245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7" t="s">
        <v>323</v>
      </c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9"/>
      <c r="N43" s="245"/>
    </row>
    <row r="44" spans="1:16" s="11" customFormat="1" ht="14.45" customHeight="1" x14ac:dyDescent="0.25">
      <c r="B44" s="204" t="s">
        <v>324</v>
      </c>
      <c r="C44" s="200">
        <v>1</v>
      </c>
      <c r="D44" s="200">
        <v>2</v>
      </c>
      <c r="E44" s="200">
        <v>3</v>
      </c>
      <c r="F44" s="200">
        <v>4</v>
      </c>
      <c r="G44" s="440">
        <v>5</v>
      </c>
      <c r="H44" s="441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242</v>
      </c>
      <c r="C45" s="209"/>
      <c r="D45" s="210"/>
      <c r="E45" s="209"/>
      <c r="F45" s="210"/>
      <c r="G45" s="442"/>
      <c r="H45" s="443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325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9">
        <f>G45*50</f>
        <v>0</v>
      </c>
      <c r="H46" s="410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324</v>
      </c>
      <c r="C47" s="200">
        <v>11</v>
      </c>
      <c r="D47" s="200" t="s">
        <v>326</v>
      </c>
      <c r="E47" s="200" t="s">
        <v>327</v>
      </c>
      <c r="F47" s="200">
        <v>12</v>
      </c>
      <c r="G47" s="440">
        <v>13</v>
      </c>
      <c r="H47" s="441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242</v>
      </c>
      <c r="C48" s="209"/>
      <c r="D48" s="209"/>
      <c r="E48" s="209"/>
      <c r="F48" s="209"/>
      <c r="G48" s="413"/>
      <c r="H48" s="414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325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9">
        <f>G48*100</f>
        <v>0</v>
      </c>
      <c r="H49" s="410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324</v>
      </c>
      <c r="C50" s="200">
        <v>19</v>
      </c>
      <c r="D50" s="200">
        <v>20</v>
      </c>
      <c r="E50" s="200">
        <v>21</v>
      </c>
      <c r="F50" s="202" t="s">
        <v>328</v>
      </c>
      <c r="G50" s="411" t="s">
        <v>329</v>
      </c>
      <c r="H50" s="412"/>
      <c r="I50" s="203" t="s">
        <v>330</v>
      </c>
      <c r="J50" s="203" t="s">
        <v>331</v>
      </c>
      <c r="K50" s="203" t="s">
        <v>332</v>
      </c>
      <c r="L50" s="203" t="s">
        <v>333</v>
      </c>
      <c r="M50" s="206"/>
      <c r="N50" s="136"/>
    </row>
    <row r="51" spans="1:18" s="11" customFormat="1" ht="14.45" customHeight="1" thickBot="1" x14ac:dyDescent="0.25">
      <c r="B51" s="208" t="s">
        <v>242</v>
      </c>
      <c r="C51" s="213"/>
      <c r="D51" s="213"/>
      <c r="E51" s="214"/>
      <c r="F51" s="209"/>
      <c r="G51" s="413"/>
      <c r="H51" s="414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325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15">
        <f>G51*30</f>
        <v>0</v>
      </c>
      <c r="H52" s="416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334</v>
      </c>
      <c r="C54" s="39"/>
      <c r="D54" s="29">
        <f>SUM(C46:M46)+SUM(C49:M49)+SUM(C52:L52)</f>
        <v>0</v>
      </c>
      <c r="F54" s="39" t="s">
        <v>335</v>
      </c>
      <c r="G54" s="188"/>
      <c r="H54" s="188"/>
      <c r="I54" s="30">
        <f>'30'!D54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0"/>
      <c r="F55" s="250"/>
      <c r="G55" s="250"/>
      <c r="H55" s="12"/>
      <c r="I55" s="12"/>
      <c r="J55" s="12"/>
      <c r="K55" s="12"/>
      <c r="L55" s="12"/>
      <c r="M55" s="12"/>
      <c r="N55" s="250"/>
      <c r="O55" s="12"/>
      <c r="P55" s="12"/>
      <c r="Q55" s="12"/>
      <c r="R55" s="12"/>
    </row>
    <row r="56" spans="1:18" ht="17.25" customHeight="1" thickBot="1" x14ac:dyDescent="0.25">
      <c r="A56" s="12"/>
      <c r="B56" s="417" t="s">
        <v>336</v>
      </c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9"/>
      <c r="N56" s="400"/>
      <c r="O56" s="400"/>
      <c r="P56" s="392"/>
      <c r="Q56" s="392"/>
      <c r="R56" s="12"/>
    </row>
    <row r="57" spans="1:18" ht="18" customHeight="1" x14ac:dyDescent="0.2">
      <c r="A57" s="12"/>
      <c r="B57" s="316" t="s">
        <v>337</v>
      </c>
      <c r="C57" s="27" t="s">
        <v>338</v>
      </c>
      <c r="D57" s="27" t="s">
        <v>339</v>
      </c>
      <c r="E57" s="28" t="s">
        <v>244</v>
      </c>
      <c r="F57" s="394" t="s">
        <v>340</v>
      </c>
      <c r="G57" s="395"/>
      <c r="H57" s="27" t="s">
        <v>341</v>
      </c>
      <c r="I57" s="28" t="s">
        <v>342</v>
      </c>
      <c r="J57" s="316" t="s">
        <v>343</v>
      </c>
      <c r="K57" s="398"/>
      <c r="L57" s="62" t="s">
        <v>344</v>
      </c>
      <c r="M57" s="63" t="s">
        <v>345</v>
      </c>
      <c r="N57" s="250"/>
      <c r="O57" s="250"/>
      <c r="P57" s="250"/>
      <c r="Q57" s="12"/>
      <c r="R57" s="12"/>
    </row>
    <row r="58" spans="1:18" ht="18.75" customHeight="1" thickBot="1" x14ac:dyDescent="0.25">
      <c r="A58" s="12"/>
      <c r="B58" s="393"/>
      <c r="C58" s="60"/>
      <c r="D58" s="60"/>
      <c r="E58" s="124">
        <f>SUM(C58:D58)</f>
        <v>0</v>
      </c>
      <c r="F58" s="396"/>
      <c r="G58" s="397"/>
      <c r="H58" s="60"/>
      <c r="I58" s="61"/>
      <c r="J58" s="393"/>
      <c r="K58" s="399"/>
      <c r="L58" s="60"/>
      <c r="M58" s="61"/>
      <c r="N58" s="250"/>
      <c r="O58" s="250"/>
      <c r="P58" s="194"/>
      <c r="Q58" s="12"/>
      <c r="R58" s="12"/>
    </row>
    <row r="59" spans="1:18" ht="18.75" customHeight="1" thickBot="1" x14ac:dyDescent="0.25">
      <c r="A59" s="12"/>
      <c r="B59" s="253" t="s">
        <v>346</v>
      </c>
      <c r="C59" s="402" t="str">
        <f>IF(ISERROR(E58/$H$19),"",(E58/$H$19))</f>
        <v/>
      </c>
      <c r="D59" s="403"/>
      <c r="E59" s="404"/>
      <c r="F59" s="405" t="s">
        <v>347</v>
      </c>
      <c r="G59" s="406"/>
      <c r="H59" s="407" t="str">
        <f>IF(ISERROR(SUM(H58:I58)/$H$19),"",(SUM(H58:I58)/$H$19))</f>
        <v/>
      </c>
      <c r="I59" s="408"/>
      <c r="J59" s="405" t="s">
        <v>348</v>
      </c>
      <c r="K59" s="406"/>
      <c r="L59" s="115" t="str">
        <f>IF(ISERROR(L58/$H$19),"",(L58/$H$19))</f>
        <v/>
      </c>
      <c r="M59" s="116" t="str">
        <f>IF(ISERROR(M58/$H$19),"",(M58/$H$19))</f>
        <v/>
      </c>
      <c r="N59" s="250"/>
      <c r="O59" s="12"/>
      <c r="P59" s="12"/>
      <c r="Q59" s="12"/>
      <c r="R59" s="12"/>
    </row>
    <row r="60" spans="1:18" ht="14.25" x14ac:dyDescent="0.2">
      <c r="A60" s="12"/>
      <c r="E60" s="245"/>
      <c r="F60" s="19"/>
      <c r="G60" s="250"/>
      <c r="H60" s="18"/>
      <c r="I60" s="18"/>
      <c r="J60" s="18"/>
      <c r="K60" s="18"/>
      <c r="L60" s="18"/>
      <c r="M60" s="12"/>
      <c r="N60" s="250"/>
      <c r="O60" s="12"/>
      <c r="P60" s="12"/>
      <c r="Q60" s="12"/>
      <c r="R60" s="12"/>
    </row>
    <row r="61" spans="1:18" ht="22.5" customHeight="1" x14ac:dyDescent="0.2">
      <c r="A61" s="12"/>
      <c r="B61" s="426" t="s">
        <v>349</v>
      </c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138" t="s">
        <v>350</v>
      </c>
      <c r="O61" s="12"/>
      <c r="P61" s="12"/>
      <c r="Q61" s="12"/>
      <c r="R61" s="12"/>
    </row>
    <row r="62" spans="1:18" ht="30" customHeight="1" x14ac:dyDescent="0.2">
      <c r="A62" s="250"/>
      <c r="B62" s="232" t="s">
        <v>2</v>
      </c>
      <c r="C62" s="232" t="s">
        <v>351</v>
      </c>
      <c r="D62" s="232" t="s">
        <v>3</v>
      </c>
      <c r="E62" s="303" t="s">
        <v>352</v>
      </c>
      <c r="F62" s="304"/>
      <c r="G62" s="303" t="s">
        <v>353</v>
      </c>
      <c r="H62" s="305"/>
      <c r="I62" s="305"/>
      <c r="J62" s="304"/>
      <c r="K62" s="232" t="s">
        <v>354</v>
      </c>
      <c r="L62" s="232" t="s">
        <v>355</v>
      </c>
      <c r="M62" s="232" t="s">
        <v>356</v>
      </c>
      <c r="N62" s="139">
        <f>SUM(N63:N132)</f>
        <v>0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93"/>
      <c r="F63" s="295"/>
      <c r="G63" s="293"/>
      <c r="H63" s="294"/>
      <c r="I63" s="294"/>
      <c r="J63" s="295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93"/>
      <c r="F64" s="295"/>
      <c r="G64" s="293"/>
      <c r="H64" s="294"/>
      <c r="I64" s="294"/>
      <c r="J64" s="295"/>
      <c r="K64" s="238"/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93"/>
      <c r="F65" s="295"/>
      <c r="G65" s="293"/>
      <c r="H65" s="294"/>
      <c r="I65" s="294"/>
      <c r="J65" s="295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93"/>
      <c r="F66" s="295"/>
      <c r="G66" s="293"/>
      <c r="H66" s="294"/>
      <c r="I66" s="294"/>
      <c r="J66" s="295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93"/>
      <c r="F67" s="295"/>
      <c r="G67" s="293"/>
      <c r="H67" s="294"/>
      <c r="I67" s="294"/>
      <c r="J67" s="295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93"/>
      <c r="F68" s="295"/>
      <c r="G68" s="293"/>
      <c r="H68" s="294"/>
      <c r="I68" s="294"/>
      <c r="J68" s="295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93"/>
      <c r="F69" s="295"/>
      <c r="G69" s="293"/>
      <c r="H69" s="294"/>
      <c r="I69" s="294"/>
      <c r="J69" s="295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93"/>
      <c r="F70" s="295"/>
      <c r="G70" s="245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93"/>
      <c r="F71" s="295"/>
      <c r="G71" s="293"/>
      <c r="H71" s="294"/>
      <c r="I71" s="294"/>
      <c r="J71" s="295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93"/>
      <c r="F72" s="295"/>
      <c r="G72" s="293"/>
      <c r="H72" s="294"/>
      <c r="I72" s="294"/>
      <c r="J72" s="295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93"/>
      <c r="F73" s="295"/>
      <c r="G73" s="293"/>
      <c r="H73" s="294"/>
      <c r="I73" s="294"/>
      <c r="J73" s="295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93"/>
      <c r="F74" s="295"/>
      <c r="G74" s="293"/>
      <c r="H74" s="294"/>
      <c r="I74" s="294"/>
      <c r="J74" s="295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93"/>
      <c r="F75" s="295"/>
      <c r="G75" s="293"/>
      <c r="H75" s="294"/>
      <c r="I75" s="294"/>
      <c r="J75" s="295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93"/>
      <c r="F76" s="295"/>
      <c r="G76" s="293"/>
      <c r="H76" s="294"/>
      <c r="I76" s="294"/>
      <c r="J76" s="295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93"/>
      <c r="F77" s="295"/>
      <c r="G77" s="293"/>
      <c r="H77" s="294"/>
      <c r="I77" s="294"/>
      <c r="J77" s="295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93"/>
      <c r="F78" s="295"/>
      <c r="G78" s="293"/>
      <c r="H78" s="294"/>
      <c r="I78" s="294"/>
      <c r="J78" s="295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93"/>
      <c r="F79" s="295"/>
      <c r="G79" s="293"/>
      <c r="H79" s="294"/>
      <c r="I79" s="294"/>
      <c r="J79" s="295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93"/>
      <c r="F80" s="295"/>
      <c r="G80" s="293"/>
      <c r="H80" s="294"/>
      <c r="I80" s="294"/>
      <c r="J80" s="295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93"/>
      <c r="F81" s="295"/>
      <c r="G81" s="293"/>
      <c r="H81" s="294"/>
      <c r="I81" s="294"/>
      <c r="J81" s="295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93"/>
      <c r="F82" s="295"/>
      <c r="G82" s="293"/>
      <c r="H82" s="294"/>
      <c r="I82" s="294"/>
      <c r="J82" s="295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93"/>
      <c r="F83" s="295"/>
      <c r="G83" s="293"/>
      <c r="H83" s="294"/>
      <c r="I83" s="294"/>
      <c r="J83" s="295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93"/>
      <c r="F84" s="295"/>
      <c r="G84" s="293"/>
      <c r="H84" s="294"/>
      <c r="I84" s="294"/>
      <c r="J84" s="295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93"/>
      <c r="F85" s="295"/>
      <c r="G85" s="293"/>
      <c r="H85" s="294"/>
      <c r="I85" s="294"/>
      <c r="J85" s="295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93"/>
      <c r="F86" s="295"/>
      <c r="G86" s="293"/>
      <c r="H86" s="294"/>
      <c r="I86" s="294"/>
      <c r="J86" s="295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93"/>
      <c r="F87" s="295"/>
      <c r="G87" s="293"/>
      <c r="H87" s="294"/>
      <c r="I87" s="294"/>
      <c r="J87" s="295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93"/>
      <c r="F88" s="295"/>
      <c r="G88" s="293"/>
      <c r="H88" s="294"/>
      <c r="I88" s="294"/>
      <c r="J88" s="295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93"/>
      <c r="F89" s="295"/>
      <c r="G89" s="293"/>
      <c r="H89" s="294"/>
      <c r="I89" s="294"/>
      <c r="J89" s="295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93"/>
      <c r="F90" s="295"/>
      <c r="G90" s="293"/>
      <c r="H90" s="294"/>
      <c r="I90" s="294"/>
      <c r="J90" s="295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93"/>
      <c r="F91" s="295"/>
      <c r="G91" s="293"/>
      <c r="H91" s="294"/>
      <c r="I91" s="294"/>
      <c r="J91" s="295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93"/>
      <c r="F92" s="295"/>
      <c r="G92" s="293"/>
      <c r="H92" s="294"/>
      <c r="I92" s="294"/>
      <c r="J92" s="295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93"/>
      <c r="F93" s="295"/>
      <c r="G93" s="293"/>
      <c r="H93" s="294"/>
      <c r="I93" s="294"/>
      <c r="J93" s="295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93"/>
      <c r="F94" s="295"/>
      <c r="G94" s="293"/>
      <c r="H94" s="294"/>
      <c r="I94" s="294"/>
      <c r="J94" s="295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93"/>
      <c r="F95" s="295"/>
      <c r="G95" s="293"/>
      <c r="H95" s="294"/>
      <c r="I95" s="294"/>
      <c r="J95" s="295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93"/>
      <c r="F96" s="295"/>
      <c r="G96" s="293"/>
      <c r="H96" s="294"/>
      <c r="I96" s="294"/>
      <c r="J96" s="295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93"/>
      <c r="F97" s="295"/>
      <c r="G97" s="293"/>
      <c r="H97" s="294"/>
      <c r="I97" s="294"/>
      <c r="J97" s="295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93"/>
      <c r="F98" s="295"/>
      <c r="G98" s="293"/>
      <c r="H98" s="294"/>
      <c r="I98" s="294"/>
      <c r="J98" s="295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93"/>
      <c r="F99" s="295"/>
      <c r="G99" s="293"/>
      <c r="H99" s="294"/>
      <c r="I99" s="294"/>
      <c r="J99" s="295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93"/>
      <c r="F100" s="295"/>
      <c r="G100" s="293"/>
      <c r="H100" s="294"/>
      <c r="I100" s="294"/>
      <c r="J100" s="295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93"/>
      <c r="F101" s="295"/>
      <c r="G101" s="293"/>
      <c r="H101" s="294"/>
      <c r="I101" s="294"/>
      <c r="J101" s="295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93"/>
      <c r="F102" s="295"/>
      <c r="G102" s="293"/>
      <c r="H102" s="294"/>
      <c r="I102" s="294"/>
      <c r="J102" s="295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93"/>
      <c r="F103" s="295"/>
      <c r="G103" s="293"/>
      <c r="H103" s="294"/>
      <c r="I103" s="294"/>
      <c r="J103" s="295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93"/>
      <c r="F104" s="295"/>
      <c r="G104" s="293"/>
      <c r="H104" s="294"/>
      <c r="I104" s="294"/>
      <c r="J104" s="295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93"/>
      <c r="F105" s="295"/>
      <c r="G105" s="293"/>
      <c r="H105" s="294"/>
      <c r="I105" s="294"/>
      <c r="J105" s="295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93"/>
      <c r="F106" s="295"/>
      <c r="G106" s="293"/>
      <c r="H106" s="294"/>
      <c r="I106" s="294"/>
      <c r="J106" s="295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93"/>
      <c r="F107" s="295"/>
      <c r="G107" s="293"/>
      <c r="H107" s="294"/>
      <c r="I107" s="294"/>
      <c r="J107" s="295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93"/>
      <c r="F108" s="295"/>
      <c r="G108" s="293"/>
      <c r="H108" s="294"/>
      <c r="I108" s="294"/>
      <c r="J108" s="295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93"/>
      <c r="F109" s="295"/>
      <c r="G109" s="293"/>
      <c r="H109" s="294"/>
      <c r="I109" s="294"/>
      <c r="J109" s="295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93"/>
      <c r="F110" s="295"/>
      <c r="G110" s="293"/>
      <c r="H110" s="294"/>
      <c r="I110" s="294"/>
      <c r="J110" s="295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93"/>
      <c r="F111" s="295"/>
      <c r="G111" s="293"/>
      <c r="H111" s="294"/>
      <c r="I111" s="294"/>
      <c r="J111" s="295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93"/>
      <c r="F112" s="295"/>
      <c r="G112" s="293"/>
      <c r="H112" s="294"/>
      <c r="I112" s="294"/>
      <c r="J112" s="295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93"/>
      <c r="F113" s="295"/>
      <c r="G113" s="293"/>
      <c r="H113" s="294"/>
      <c r="I113" s="294"/>
      <c r="J113" s="295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93"/>
      <c r="F114" s="295"/>
      <c r="G114" s="293"/>
      <c r="H114" s="294"/>
      <c r="I114" s="294"/>
      <c r="J114" s="295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93"/>
      <c r="F115" s="295"/>
      <c r="G115" s="293"/>
      <c r="H115" s="294"/>
      <c r="I115" s="294"/>
      <c r="J115" s="295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93"/>
      <c r="F116" s="295"/>
      <c r="G116" s="293"/>
      <c r="H116" s="294"/>
      <c r="I116" s="294"/>
      <c r="J116" s="295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93"/>
      <c r="F117" s="295"/>
      <c r="G117" s="293"/>
      <c r="H117" s="294"/>
      <c r="I117" s="294"/>
      <c r="J117" s="295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93"/>
      <c r="F118" s="295"/>
      <c r="G118" s="293"/>
      <c r="H118" s="294"/>
      <c r="I118" s="294"/>
      <c r="J118" s="295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93"/>
      <c r="F119" s="295"/>
      <c r="G119" s="293"/>
      <c r="H119" s="294"/>
      <c r="I119" s="294"/>
      <c r="J119" s="295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93"/>
      <c r="F120" s="295"/>
      <c r="G120" s="293"/>
      <c r="H120" s="294"/>
      <c r="I120" s="294"/>
      <c r="J120" s="295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93"/>
      <c r="F121" s="295"/>
      <c r="G121" s="293"/>
      <c r="H121" s="294"/>
      <c r="I121" s="294"/>
      <c r="J121" s="295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93"/>
      <c r="F122" s="295"/>
      <c r="G122" s="293"/>
      <c r="H122" s="294"/>
      <c r="I122" s="294"/>
      <c r="J122" s="295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93"/>
      <c r="F123" s="295"/>
      <c r="G123" s="293"/>
      <c r="H123" s="294"/>
      <c r="I123" s="294"/>
      <c r="J123" s="295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93"/>
      <c r="F124" s="295"/>
      <c r="G124" s="293"/>
      <c r="H124" s="294"/>
      <c r="I124" s="294"/>
      <c r="J124" s="295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93"/>
      <c r="F125" s="295"/>
      <c r="G125" s="293"/>
      <c r="H125" s="294"/>
      <c r="I125" s="294"/>
      <c r="J125" s="295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93"/>
      <c r="F126" s="295"/>
      <c r="G126" s="293"/>
      <c r="H126" s="294"/>
      <c r="I126" s="294"/>
      <c r="J126" s="295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93"/>
      <c r="F127" s="295"/>
      <c r="G127" s="293"/>
      <c r="H127" s="294"/>
      <c r="I127" s="294"/>
      <c r="J127" s="295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93"/>
      <c r="F128" s="295"/>
      <c r="G128" s="293"/>
      <c r="H128" s="294"/>
      <c r="I128" s="294"/>
      <c r="J128" s="295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93"/>
      <c r="F129" s="295"/>
      <c r="G129" s="293"/>
      <c r="H129" s="294"/>
      <c r="I129" s="294"/>
      <c r="J129" s="295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93"/>
      <c r="F130" s="295"/>
      <c r="G130" s="293"/>
      <c r="H130" s="294"/>
      <c r="I130" s="294"/>
      <c r="J130" s="295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93"/>
      <c r="F131" s="295"/>
      <c r="G131" s="293"/>
      <c r="H131" s="294"/>
      <c r="I131" s="294"/>
      <c r="J131" s="295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0"/>
      <c r="O132" s="12"/>
      <c r="P132" s="12"/>
      <c r="Q132" s="12"/>
      <c r="R132" s="12"/>
    </row>
    <row r="133" spans="1:18" ht="12.75" customHeight="1" x14ac:dyDescent="0.2">
      <c r="A133" s="12"/>
      <c r="B133" s="17" t="s">
        <v>364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0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F134" s="245"/>
      <c r="G134" s="13"/>
      <c r="H134" s="13"/>
      <c r="I134" s="13"/>
      <c r="J134" s="13"/>
      <c r="L134" s="12"/>
      <c r="M134" s="12"/>
      <c r="N134" s="250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96" t="s">
        <v>245</v>
      </c>
      <c r="D135" s="297"/>
      <c r="E135" s="298" t="s">
        <v>246</v>
      </c>
      <c r="F135" s="299"/>
      <c r="G135" s="300" t="s">
        <v>247</v>
      </c>
      <c r="H135" s="301"/>
      <c r="I135" s="302"/>
      <c r="J135" s="75"/>
      <c r="K135" s="76"/>
      <c r="L135" s="76"/>
      <c r="M135" s="71"/>
      <c r="N135" s="250"/>
      <c r="O135" s="12"/>
      <c r="P135" s="12"/>
      <c r="Q135" s="12"/>
      <c r="R135" s="12"/>
    </row>
    <row r="136" spans="1:18" ht="16.5" customHeight="1" x14ac:dyDescent="0.2">
      <c r="A136" s="12"/>
      <c r="B136" s="64" t="s">
        <v>365</v>
      </c>
      <c r="C136" s="451"/>
      <c r="D136" s="452"/>
      <c r="E136" s="434"/>
      <c r="F136" s="435"/>
      <c r="G136" s="423"/>
      <c r="H136" s="424"/>
      <c r="I136" s="425"/>
      <c r="J136" s="70"/>
      <c r="K136" s="77"/>
      <c r="L136" s="69"/>
      <c r="M136" s="69"/>
      <c r="N136" s="250"/>
      <c r="O136" s="12"/>
      <c r="P136" s="12"/>
      <c r="Q136" s="12"/>
      <c r="R136" s="12"/>
    </row>
    <row r="137" spans="1:18" ht="19.5" customHeight="1" x14ac:dyDescent="0.2">
      <c r="A137" s="12"/>
      <c r="B137" s="64" t="s">
        <v>368</v>
      </c>
      <c r="C137" s="449"/>
      <c r="D137" s="450"/>
      <c r="E137" s="434"/>
      <c r="F137" s="435"/>
      <c r="G137" s="423"/>
      <c r="H137" s="424"/>
      <c r="I137" s="425"/>
      <c r="J137" s="70"/>
      <c r="K137" s="77"/>
      <c r="L137" s="69"/>
      <c r="M137" s="69"/>
      <c r="N137" s="250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92"/>
      <c r="F138" s="392"/>
      <c r="G138" s="392"/>
      <c r="H138" s="392"/>
      <c r="I138" s="392"/>
      <c r="J138" s="392"/>
      <c r="K138" s="12"/>
      <c r="L138" s="12"/>
      <c r="M138" s="12"/>
      <c r="N138" s="250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0"/>
      <c r="F139" s="250"/>
      <c r="G139" s="250"/>
      <c r="H139" s="250"/>
      <c r="I139" s="250"/>
      <c r="J139" s="250"/>
      <c r="K139" s="12"/>
      <c r="L139" s="12"/>
      <c r="M139" s="12"/>
      <c r="N139" s="250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0"/>
      <c r="F140" s="250"/>
      <c r="G140" s="250"/>
      <c r="H140" s="250"/>
      <c r="I140" s="250"/>
      <c r="J140" s="250"/>
      <c r="K140" s="12"/>
      <c r="L140" s="12"/>
      <c r="M140" s="12"/>
      <c r="N140" s="250"/>
      <c r="O140" s="12"/>
      <c r="P140" s="12"/>
      <c r="Q140" s="12"/>
      <c r="R140" s="12"/>
    </row>
    <row r="141" spans="1:18" ht="20.25" x14ac:dyDescent="0.2">
      <c r="A141" s="12"/>
      <c r="B141" s="420" t="s">
        <v>371</v>
      </c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2"/>
      <c r="N141" s="250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324</v>
      </c>
      <c r="D142" s="436" t="s">
        <v>372</v>
      </c>
      <c r="E142" s="437"/>
      <c r="F142" s="438"/>
      <c r="G142" s="430" t="s">
        <v>373</v>
      </c>
      <c r="H142" s="439"/>
      <c r="I142" s="431"/>
      <c r="J142" s="430" t="s">
        <v>374</v>
      </c>
      <c r="K142" s="431"/>
      <c r="L142" s="432" t="s">
        <v>375</v>
      </c>
      <c r="M142" s="433"/>
      <c r="N142" s="250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306"/>
      <c r="E143" s="306"/>
      <c r="F143" s="306"/>
      <c r="G143" s="307"/>
      <c r="H143" s="307"/>
      <c r="I143" s="307"/>
      <c r="J143" s="307"/>
      <c r="K143" s="307"/>
      <c r="L143" s="306"/>
      <c r="M143" s="306"/>
      <c r="N143" s="250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306"/>
      <c r="E144" s="306"/>
      <c r="F144" s="306"/>
      <c r="G144" s="307"/>
      <c r="H144" s="307"/>
      <c r="I144" s="307"/>
      <c r="J144" s="307"/>
      <c r="K144" s="307"/>
      <c r="L144" s="306"/>
      <c r="M144" s="306"/>
      <c r="N144" s="250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306"/>
      <c r="E145" s="306"/>
      <c r="F145" s="306"/>
      <c r="G145" s="307"/>
      <c r="H145" s="307"/>
      <c r="I145" s="307"/>
      <c r="J145" s="307"/>
      <c r="K145" s="307"/>
      <c r="L145" s="306"/>
      <c r="M145" s="306"/>
      <c r="N145" s="250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306"/>
      <c r="E146" s="306"/>
      <c r="F146" s="306"/>
      <c r="G146" s="307"/>
      <c r="H146" s="307"/>
      <c r="I146" s="307"/>
      <c r="J146" s="307"/>
      <c r="K146" s="307"/>
      <c r="L146" s="306"/>
      <c r="M146" s="306"/>
      <c r="N146" s="250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306"/>
      <c r="E147" s="306"/>
      <c r="F147" s="306"/>
      <c r="G147" s="307"/>
      <c r="H147" s="307"/>
      <c r="I147" s="307"/>
      <c r="J147" s="307"/>
      <c r="K147" s="307"/>
      <c r="L147" s="306"/>
      <c r="M147" s="306"/>
      <c r="N147" s="250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306"/>
      <c r="E148" s="306"/>
      <c r="F148" s="306"/>
      <c r="G148" s="307"/>
      <c r="H148" s="307"/>
      <c r="I148" s="307"/>
      <c r="J148" s="307"/>
      <c r="K148" s="307"/>
      <c r="L148" s="306"/>
      <c r="M148" s="306"/>
      <c r="N148" s="250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306"/>
      <c r="E149" s="306"/>
      <c r="F149" s="306"/>
      <c r="G149" s="307"/>
      <c r="H149" s="307"/>
      <c r="I149" s="307"/>
      <c r="J149" s="307"/>
      <c r="K149" s="307"/>
      <c r="L149" s="306"/>
      <c r="M149" s="306"/>
      <c r="N149" s="250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306"/>
      <c r="E150" s="306"/>
      <c r="F150" s="306"/>
      <c r="G150" s="307"/>
      <c r="H150" s="307"/>
      <c r="I150" s="307"/>
      <c r="J150" s="307"/>
      <c r="K150" s="307"/>
      <c r="L150" s="306"/>
      <c r="M150" s="306"/>
      <c r="N150" s="250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306"/>
      <c r="E151" s="306"/>
      <c r="F151" s="306"/>
      <c r="G151" s="307"/>
      <c r="H151" s="307"/>
      <c r="I151" s="307"/>
      <c r="J151" s="307"/>
      <c r="K151" s="307"/>
      <c r="L151" s="306"/>
      <c r="M151" s="306"/>
      <c r="N151" s="250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306"/>
      <c r="E152" s="306"/>
      <c r="F152" s="306"/>
      <c r="G152" s="307"/>
      <c r="H152" s="307"/>
      <c r="I152" s="307"/>
      <c r="J152" s="307"/>
      <c r="K152" s="307"/>
      <c r="L152" s="306"/>
      <c r="M152" s="306"/>
      <c r="N152" s="250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306"/>
      <c r="E153" s="306"/>
      <c r="F153" s="306"/>
      <c r="G153" s="307"/>
      <c r="H153" s="307"/>
      <c r="I153" s="307"/>
      <c r="J153" s="307"/>
      <c r="K153" s="307"/>
      <c r="L153" s="306"/>
      <c r="M153" s="306"/>
      <c r="N153" s="250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306"/>
      <c r="E154" s="306"/>
      <c r="F154" s="306"/>
      <c r="G154" s="307"/>
      <c r="H154" s="307"/>
      <c r="I154" s="307"/>
      <c r="J154" s="307"/>
      <c r="K154" s="307"/>
      <c r="L154" s="306"/>
      <c r="M154" s="306"/>
      <c r="N154" s="250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306"/>
      <c r="E155" s="306"/>
      <c r="F155" s="306"/>
      <c r="G155" s="307"/>
      <c r="H155" s="307"/>
      <c r="I155" s="307"/>
      <c r="J155" s="307"/>
      <c r="K155" s="307"/>
      <c r="L155" s="306"/>
      <c r="M155" s="306"/>
      <c r="N155" s="250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306"/>
      <c r="E156" s="306"/>
      <c r="F156" s="306"/>
      <c r="G156" s="307"/>
      <c r="H156" s="307"/>
      <c r="I156" s="307"/>
      <c r="J156" s="307"/>
      <c r="K156" s="307"/>
      <c r="L156" s="306"/>
      <c r="M156" s="306"/>
      <c r="N156" s="250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306"/>
      <c r="E157" s="306"/>
      <c r="F157" s="306"/>
      <c r="G157" s="307"/>
      <c r="H157" s="307"/>
      <c r="I157" s="307"/>
      <c r="J157" s="307"/>
      <c r="K157" s="307"/>
      <c r="L157" s="306"/>
      <c r="M157" s="306"/>
      <c r="N157" s="250"/>
      <c r="O157" s="12"/>
      <c r="P157" s="12"/>
      <c r="Q157" s="12"/>
      <c r="R157" s="12"/>
    </row>
    <row r="158" spans="1:18" ht="14.25" x14ac:dyDescent="0.2">
      <c r="A158" s="12"/>
      <c r="B158" s="216"/>
      <c r="C158" s="215"/>
      <c r="D158" s="306"/>
      <c r="E158" s="306"/>
      <c r="F158" s="306"/>
      <c r="G158" s="307"/>
      <c r="H158" s="307"/>
      <c r="I158" s="307"/>
      <c r="J158" s="307"/>
      <c r="K158" s="307"/>
      <c r="L158" s="306"/>
      <c r="M158" s="306"/>
      <c r="N158" s="250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306"/>
      <c r="E159" s="306"/>
      <c r="F159" s="306"/>
      <c r="G159" s="307"/>
      <c r="H159" s="307"/>
      <c r="I159" s="307"/>
      <c r="J159" s="307"/>
      <c r="K159" s="307"/>
      <c r="L159" s="306"/>
      <c r="M159" s="306"/>
      <c r="N159" s="250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306"/>
      <c r="E160" s="306"/>
      <c r="F160" s="306"/>
      <c r="G160" s="307"/>
      <c r="H160" s="307"/>
      <c r="I160" s="307"/>
      <c r="J160" s="307"/>
      <c r="K160" s="307"/>
      <c r="L160" s="306"/>
      <c r="M160" s="306"/>
      <c r="N160" s="250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306"/>
      <c r="E161" s="306"/>
      <c r="F161" s="306"/>
      <c r="G161" s="307"/>
      <c r="H161" s="307"/>
      <c r="I161" s="307"/>
      <c r="J161" s="307"/>
      <c r="K161" s="307"/>
      <c r="L161" s="306"/>
      <c r="M161" s="306"/>
      <c r="N161" s="250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306"/>
      <c r="E162" s="306"/>
      <c r="F162" s="306"/>
      <c r="G162" s="307"/>
      <c r="H162" s="307"/>
      <c r="I162" s="307"/>
      <c r="J162" s="307"/>
      <c r="K162" s="307"/>
      <c r="L162" s="306"/>
      <c r="M162" s="306"/>
      <c r="N162" s="250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306"/>
      <c r="E163" s="306"/>
      <c r="F163" s="306"/>
      <c r="G163" s="307"/>
      <c r="H163" s="307"/>
      <c r="I163" s="307"/>
      <c r="J163" s="307"/>
      <c r="K163" s="307"/>
      <c r="L163" s="306"/>
      <c r="M163" s="306"/>
      <c r="N163" s="250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306"/>
      <c r="E164" s="306"/>
      <c r="F164" s="306"/>
      <c r="G164" s="307"/>
      <c r="H164" s="307"/>
      <c r="I164" s="307"/>
      <c r="J164" s="307"/>
      <c r="K164" s="307"/>
      <c r="L164" s="306"/>
      <c r="M164" s="306"/>
      <c r="N164" s="250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306"/>
      <c r="E165" s="306"/>
      <c r="F165" s="306"/>
      <c r="G165" s="307"/>
      <c r="H165" s="307"/>
      <c r="I165" s="307"/>
      <c r="J165" s="307"/>
      <c r="K165" s="307"/>
      <c r="L165" s="306"/>
      <c r="M165" s="306"/>
      <c r="N165" s="250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306"/>
      <c r="E166" s="306"/>
      <c r="F166" s="306"/>
      <c r="G166" s="307"/>
      <c r="H166" s="307"/>
      <c r="I166" s="307"/>
      <c r="J166" s="307"/>
      <c r="K166" s="307"/>
      <c r="L166" s="306"/>
      <c r="M166" s="306"/>
      <c r="N166" s="250"/>
      <c r="O166" s="12"/>
      <c r="P166" s="12"/>
      <c r="Q166" s="12"/>
      <c r="R166" s="12"/>
    </row>
    <row r="167" spans="1:18" ht="14.25" x14ac:dyDescent="0.2">
      <c r="B167" s="216"/>
      <c r="C167" s="215"/>
      <c r="D167" s="306"/>
      <c r="E167" s="306"/>
      <c r="F167" s="306"/>
      <c r="G167" s="307"/>
      <c r="H167" s="307"/>
      <c r="I167" s="307"/>
      <c r="J167" s="307"/>
      <c r="K167" s="307"/>
      <c r="L167" s="306"/>
      <c r="M167" s="306"/>
      <c r="N167" s="245"/>
    </row>
    <row r="168" spans="1:18" ht="14.25" x14ac:dyDescent="0.2">
      <c r="B168" s="216"/>
      <c r="C168" s="215"/>
      <c r="D168" s="306"/>
      <c r="E168" s="306"/>
      <c r="F168" s="306"/>
      <c r="G168" s="307"/>
      <c r="H168" s="307"/>
      <c r="I168" s="307"/>
      <c r="J168" s="307"/>
      <c r="K168" s="307"/>
      <c r="L168" s="306"/>
      <c r="M168" s="306"/>
      <c r="N168" s="245"/>
    </row>
    <row r="169" spans="1:18" ht="14.25" x14ac:dyDescent="0.2">
      <c r="B169" s="216"/>
      <c r="C169" s="215"/>
      <c r="D169" s="306"/>
      <c r="E169" s="306"/>
      <c r="F169" s="306"/>
      <c r="G169" s="307"/>
      <c r="H169" s="307"/>
      <c r="I169" s="307"/>
      <c r="J169" s="307"/>
      <c r="K169" s="307"/>
      <c r="L169" s="306"/>
      <c r="M169" s="306"/>
      <c r="N169" s="245"/>
    </row>
    <row r="170" spans="1:18" ht="14.25" x14ac:dyDescent="0.2">
      <c r="B170" s="216"/>
      <c r="C170" s="215"/>
      <c r="D170" s="306"/>
      <c r="E170" s="306"/>
      <c r="F170" s="306"/>
      <c r="G170" s="307"/>
      <c r="H170" s="307"/>
      <c r="I170" s="307"/>
      <c r="J170" s="307"/>
      <c r="K170" s="307"/>
      <c r="L170" s="306"/>
      <c r="M170" s="306"/>
      <c r="N170" s="245"/>
    </row>
    <row r="171" spans="1:18" ht="14.25" x14ac:dyDescent="0.2">
      <c r="B171" s="216"/>
      <c r="C171" s="215"/>
      <c r="D171" s="308"/>
      <c r="E171" s="309"/>
      <c r="F171" s="310"/>
      <c r="G171" s="307"/>
      <c r="H171" s="307"/>
      <c r="I171" s="307"/>
      <c r="J171" s="307"/>
      <c r="K171" s="307"/>
      <c r="L171" s="306"/>
      <c r="M171" s="306"/>
      <c r="N171" s="245"/>
    </row>
    <row r="172" spans="1:18" ht="14.25" x14ac:dyDescent="0.2">
      <c r="B172" s="216"/>
      <c r="C172" s="215"/>
      <c r="D172" s="306"/>
      <c r="E172" s="306"/>
      <c r="F172" s="306"/>
      <c r="G172" s="307"/>
      <c r="H172" s="307"/>
      <c r="I172" s="307"/>
      <c r="J172" s="307"/>
      <c r="K172" s="307"/>
      <c r="L172" s="306"/>
      <c r="M172" s="306"/>
      <c r="N172" s="245"/>
    </row>
    <row r="173" spans="1:18" ht="14.25" x14ac:dyDescent="0.2">
      <c r="B173" s="216"/>
      <c r="C173" s="215"/>
      <c r="D173" s="306"/>
      <c r="E173" s="306"/>
      <c r="F173" s="306"/>
      <c r="G173" s="307"/>
      <c r="H173" s="307"/>
      <c r="I173" s="307"/>
      <c r="J173" s="307"/>
      <c r="K173" s="307"/>
      <c r="L173" s="306"/>
      <c r="M173" s="306"/>
      <c r="N173" s="245"/>
    </row>
    <row r="174" spans="1:18" ht="14.25" x14ac:dyDescent="0.2">
      <c r="B174" s="216"/>
      <c r="C174" s="215"/>
      <c r="D174" s="306"/>
      <c r="E174" s="306"/>
      <c r="F174" s="306"/>
      <c r="G174" s="307"/>
      <c r="H174" s="307"/>
      <c r="I174" s="307"/>
      <c r="J174" s="307"/>
      <c r="K174" s="307"/>
      <c r="L174" s="306"/>
      <c r="M174" s="306"/>
      <c r="N174" s="245"/>
    </row>
    <row r="175" spans="1:18" ht="14.25" x14ac:dyDescent="0.2">
      <c r="B175" s="216"/>
      <c r="C175" s="215"/>
      <c r="D175" s="306"/>
      <c r="E175" s="306"/>
      <c r="F175" s="306"/>
      <c r="G175" s="307"/>
      <c r="H175" s="307"/>
      <c r="I175" s="307"/>
      <c r="J175" s="307"/>
      <c r="K175" s="307"/>
      <c r="L175" s="306"/>
      <c r="M175" s="306"/>
      <c r="N175" s="245"/>
    </row>
    <row r="176" spans="1:18" ht="14.25" x14ac:dyDescent="0.2">
      <c r="B176" s="216"/>
      <c r="C176" s="215"/>
      <c r="D176" s="306"/>
      <c r="E176" s="306"/>
      <c r="F176" s="306"/>
      <c r="G176" s="307"/>
      <c r="H176" s="307"/>
      <c r="I176" s="307"/>
      <c r="J176" s="307"/>
      <c r="K176" s="307"/>
      <c r="L176" s="306"/>
      <c r="M176" s="306"/>
      <c r="N176" s="245"/>
    </row>
    <row r="177" spans="2:13" ht="14.25" x14ac:dyDescent="0.2">
      <c r="B177" s="216"/>
      <c r="C177" s="215"/>
      <c r="D177" s="306"/>
      <c r="E177" s="306"/>
      <c r="F177" s="306"/>
      <c r="G177" s="307"/>
      <c r="H177" s="307"/>
      <c r="I177" s="307"/>
      <c r="J177" s="307"/>
      <c r="K177" s="307"/>
      <c r="L177" s="306"/>
      <c r="M177" s="306"/>
    </row>
    <row r="178" spans="2:13" ht="14.25" x14ac:dyDescent="0.2">
      <c r="B178" s="216"/>
      <c r="C178" s="215"/>
      <c r="D178" s="306"/>
      <c r="E178" s="306"/>
      <c r="F178" s="306"/>
      <c r="G178" s="307"/>
      <c r="H178" s="307"/>
      <c r="I178" s="307"/>
      <c r="J178" s="307"/>
      <c r="K178" s="307"/>
      <c r="L178" s="306"/>
      <c r="M178" s="306"/>
    </row>
    <row r="179" spans="2:13" ht="14.25" x14ac:dyDescent="0.2">
      <c r="B179" s="216"/>
      <c r="C179" s="215"/>
      <c r="D179" s="306"/>
      <c r="E179" s="306"/>
      <c r="F179" s="306"/>
      <c r="G179" s="307"/>
      <c r="H179" s="307"/>
      <c r="I179" s="307"/>
      <c r="J179" s="307"/>
      <c r="K179" s="307"/>
      <c r="L179" s="306"/>
      <c r="M179" s="306"/>
    </row>
    <row r="180" spans="2:13" ht="14.25" x14ac:dyDescent="0.2">
      <c r="B180" s="216"/>
      <c r="C180" s="215"/>
      <c r="D180" s="306"/>
      <c r="E180" s="306"/>
      <c r="F180" s="306"/>
      <c r="G180" s="307"/>
      <c r="H180" s="307"/>
      <c r="I180" s="307"/>
      <c r="J180" s="307"/>
      <c r="K180" s="307"/>
      <c r="L180" s="306"/>
      <c r="M180" s="306"/>
    </row>
    <row r="181" spans="2:13" ht="14.25" x14ac:dyDescent="0.2">
      <c r="B181" s="216"/>
      <c r="C181" s="215"/>
      <c r="D181" s="306"/>
      <c r="E181" s="306"/>
      <c r="F181" s="306"/>
      <c r="G181" s="307"/>
      <c r="H181" s="307"/>
      <c r="I181" s="307"/>
      <c r="J181" s="307"/>
      <c r="K181" s="307"/>
      <c r="L181" s="306"/>
      <c r="M181" s="306"/>
    </row>
    <row r="182" spans="2:13" ht="14.25" x14ac:dyDescent="0.2">
      <c r="B182" s="216"/>
      <c r="C182" s="215"/>
      <c r="D182" s="306"/>
      <c r="E182" s="306"/>
      <c r="F182" s="306"/>
      <c r="G182" s="307"/>
      <c r="H182" s="307"/>
      <c r="I182" s="307"/>
      <c r="J182" s="307"/>
      <c r="K182" s="307"/>
      <c r="L182" s="306"/>
      <c r="M182" s="306"/>
    </row>
    <row r="183" spans="2:13" ht="14.25" x14ac:dyDescent="0.2">
      <c r="B183" s="216"/>
      <c r="C183" s="215"/>
      <c r="D183" s="306"/>
      <c r="E183" s="306"/>
      <c r="F183" s="306"/>
      <c r="G183" s="307"/>
      <c r="H183" s="307"/>
      <c r="I183" s="307"/>
      <c r="J183" s="307"/>
      <c r="K183" s="307"/>
      <c r="L183" s="306"/>
      <c r="M183" s="306"/>
    </row>
    <row r="184" spans="2:13" ht="14.25" x14ac:dyDescent="0.2">
      <c r="B184" s="216"/>
      <c r="C184" s="215"/>
      <c r="D184" s="306"/>
      <c r="E184" s="306"/>
      <c r="F184" s="306"/>
      <c r="G184" s="307"/>
      <c r="H184" s="307"/>
      <c r="I184" s="307"/>
      <c r="J184" s="307"/>
      <c r="K184" s="307"/>
      <c r="L184" s="306"/>
      <c r="M184" s="306"/>
    </row>
    <row r="185" spans="2:13" ht="14.25" x14ac:dyDescent="0.2">
      <c r="B185" s="216"/>
      <c r="C185" s="215"/>
      <c r="D185" s="306"/>
      <c r="E185" s="306"/>
      <c r="F185" s="306"/>
      <c r="G185" s="307"/>
      <c r="H185" s="307"/>
      <c r="I185" s="307"/>
      <c r="J185" s="307"/>
      <c r="K185" s="307"/>
      <c r="L185" s="306"/>
      <c r="M185" s="306"/>
    </row>
    <row r="186" spans="2:13" ht="14.25" x14ac:dyDescent="0.2">
      <c r="B186" s="216"/>
      <c r="C186" s="215"/>
      <c r="D186" s="306"/>
      <c r="E186" s="306"/>
      <c r="F186" s="306"/>
      <c r="G186" s="307"/>
      <c r="H186" s="307"/>
      <c r="I186" s="307"/>
      <c r="J186" s="307"/>
      <c r="K186" s="307"/>
      <c r="L186" s="306"/>
      <c r="M186" s="306"/>
    </row>
    <row r="187" spans="2:13" ht="14.25" x14ac:dyDescent="0.2">
      <c r="B187" s="216"/>
      <c r="C187" s="215"/>
      <c r="D187" s="306"/>
      <c r="E187" s="306"/>
      <c r="F187" s="306"/>
      <c r="G187" s="307"/>
      <c r="H187" s="307"/>
      <c r="I187" s="307"/>
      <c r="J187" s="307"/>
      <c r="K187" s="307"/>
      <c r="L187" s="306"/>
      <c r="M187" s="306"/>
    </row>
    <row r="188" spans="2:13" ht="14.25" x14ac:dyDescent="0.2">
      <c r="B188" s="216"/>
      <c r="C188" s="215"/>
      <c r="D188" s="306"/>
      <c r="E188" s="306"/>
      <c r="F188" s="306"/>
      <c r="G188" s="307"/>
      <c r="H188" s="307"/>
      <c r="I188" s="307"/>
      <c r="J188" s="307"/>
      <c r="K188" s="307"/>
      <c r="L188" s="306"/>
      <c r="M188" s="306"/>
    </row>
  </sheetData>
  <customSheetViews>
    <customSheetView guid="{C5333697-7BE7-4020-97A4-B735E526926D}" scale="80" showPageBreaks="1" showGridLines="0" fitToPage="1" printArea="1" view="pageBreakPreview">
      <selection activeCell="P14" sqref="P14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9C22FFE9-00CF-47D0-BD99-D84A00825140}" scale="80" showPageBreaks="1" showGridLines="0" fitToPage="1" printArea="1" view="pageBreakPreview">
      <selection activeCell="Q21" sqref="Q21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84358BC0-E9C0-4E7F-9103-6278DC6FD244}">
      <formula1>INDIRECT(D63)</formula1>
    </dataValidation>
  </dataValidations>
  <hyperlinks>
    <hyperlink ref="J14:L15" location="Summary!A1" display="MTD Summary " xr:uid="{39E93507-E3CB-4239-B74F-CEDD003479CC}"/>
    <hyperlink ref="J16:L17" location="Graph!A1" display="MTD Trendings" xr:uid="{BC6A943D-EDC7-4C54-9F0C-10ACF8E7F3A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14F51EE-DC9C-4AB5-8CCE-633C47C9D1B5}">
          <x14:formula1>
            <xm:f>Sheet3!$B$3:$B$5</xm:f>
          </x14:formula1>
          <xm:sqref>B143:B165 B132</xm:sqref>
        </x14:dataValidation>
        <x14:dataValidation type="list" allowBlank="1" showInputMessage="1" xr:uid="{2035FC69-2B84-458C-AB55-CE1346E5C6DD}">
          <x14:formula1>
            <xm:f>Sheet3!$D$3:$D$11</xm:f>
          </x14:formula1>
          <xm:sqref>C132</xm:sqref>
        </x14:dataValidation>
        <x14:dataValidation type="list" allowBlank="1" showInputMessage="1" showErrorMessage="1" xr:uid="{01FA872A-3545-4EF0-B9EF-BBB73D7AAC72}">
          <x14:formula1>
            <xm:f>Sheet3!$C$3:$C$4</xm:f>
          </x14:formula1>
          <xm:sqref>M63:M132</xm:sqref>
        </x14:dataValidation>
        <x14:dataValidation type="list" allowBlank="1" showInputMessage="1" showErrorMessage="1" xr:uid="{3351850B-1603-4F2C-8622-E01C49CBC12C}">
          <x14:formula1>
            <xm:f>List!$B$5:$B$8</xm:f>
          </x14:formula1>
          <xm:sqref>B63:B131</xm:sqref>
        </x14:dataValidation>
        <x14:dataValidation type="list" allowBlank="1" showInputMessage="1" showErrorMessage="1" xr:uid="{BF06F3B0-C43C-4FD0-BBFE-D75037A043F0}">
          <x14:formula1>
            <xm:f>List!$B$10:$B$12</xm:f>
          </x14:formula1>
          <xm:sqref>C63:C131</xm:sqref>
        </x14:dataValidation>
        <x14:dataValidation type="list" allowBlank="1" showInputMessage="1" showErrorMessage="1" xr:uid="{9E7C0623-B596-4222-823B-F36F20FFCFD9}">
          <x14:formula1>
            <xm:f>List!$C$5:$C$14</xm:f>
          </x14:formula1>
          <xm:sqref>D63:D131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096E-40A6-47A5-87DC-AE98D709562C}">
  <dimension ref="A2:L34"/>
  <sheetViews>
    <sheetView workbookViewId="0"/>
  </sheetViews>
  <sheetFormatPr defaultRowHeight="12.75" x14ac:dyDescent="0.2"/>
  <cols>
    <col min="3" max="3" width="10.7109375" customWidth="1"/>
  </cols>
  <sheetData>
    <row r="2" spans="1:12" ht="15.75" x14ac:dyDescent="0.2">
      <c r="A2" s="117"/>
      <c r="B2" s="254" t="s">
        <v>312</v>
      </c>
      <c r="C2" s="254" t="s">
        <v>313</v>
      </c>
      <c r="D2" s="254" t="s">
        <v>314</v>
      </c>
      <c r="E2" s="254" t="s">
        <v>315</v>
      </c>
      <c r="F2" s="254" t="s">
        <v>316</v>
      </c>
      <c r="G2" s="254" t="s">
        <v>821</v>
      </c>
    </row>
    <row r="3" spans="1:12" ht="15.75" x14ac:dyDescent="0.2">
      <c r="A3" s="255">
        <v>1</v>
      </c>
      <c r="B3" s="117">
        <f t="shared" ref="B3:B33" ca="1" si="0">INDIRECT("'"&amp;A3&amp;"'!$j$30")</f>
        <v>2</v>
      </c>
      <c r="C3" s="117">
        <f t="shared" ref="C3:C33" ca="1" si="1">INDIRECT("'"&amp;A3&amp;"'!$j$31")</f>
        <v>9</v>
      </c>
      <c r="D3" s="117">
        <f t="shared" ref="D3:D33" ca="1" si="2">INDIRECT("'"&amp;A3&amp;"'!$j$32")</f>
        <v>4</v>
      </c>
      <c r="E3" s="117">
        <f t="shared" ref="E3:E33" ca="1" si="3">INDIRECT("'"&amp;A3&amp;"'!$j$33")</f>
        <v>0</v>
      </c>
      <c r="F3" s="117">
        <f t="shared" ref="F3:F33" ca="1" si="4">INDIRECT("'"&amp;A3&amp;"'!$j$34")</f>
        <v>2</v>
      </c>
      <c r="G3" s="117">
        <f t="shared" ref="G3:G33" ca="1" si="5">SUM(B3:F3)</f>
        <v>17</v>
      </c>
    </row>
    <row r="4" spans="1:12" ht="15.75" x14ac:dyDescent="0.2">
      <c r="A4" s="255">
        <v>2</v>
      </c>
      <c r="B4" s="117">
        <f t="shared" ca="1" si="0"/>
        <v>1</v>
      </c>
      <c r="C4" s="117">
        <f t="shared" ca="1" si="1"/>
        <v>8</v>
      </c>
      <c r="D4" s="117">
        <f t="shared" ca="1" si="2"/>
        <v>4</v>
      </c>
      <c r="E4" s="117">
        <f t="shared" ca="1" si="3"/>
        <v>0</v>
      </c>
      <c r="F4" s="117">
        <f t="shared" ca="1" si="4"/>
        <v>1</v>
      </c>
      <c r="G4" s="117">
        <f t="shared" ca="1" si="5"/>
        <v>14</v>
      </c>
    </row>
    <row r="5" spans="1:12" ht="15.75" x14ac:dyDescent="0.2">
      <c r="A5" s="255">
        <v>3</v>
      </c>
      <c r="B5" s="117">
        <f t="shared" ca="1" si="0"/>
        <v>1</v>
      </c>
      <c r="C5" s="117">
        <f t="shared" ca="1" si="1"/>
        <v>9</v>
      </c>
      <c r="D5" s="117">
        <f t="shared" ca="1" si="2"/>
        <v>3</v>
      </c>
      <c r="E5" s="117">
        <f t="shared" ca="1" si="3"/>
        <v>1</v>
      </c>
      <c r="F5" s="117">
        <f t="shared" ca="1" si="4"/>
        <v>0</v>
      </c>
      <c r="G5" s="117">
        <f t="shared" ca="1" si="5"/>
        <v>14</v>
      </c>
    </row>
    <row r="6" spans="1:12" ht="15.75" x14ac:dyDescent="0.2">
      <c r="A6" s="255">
        <v>4</v>
      </c>
      <c r="B6" s="117">
        <f t="shared" ca="1" si="0"/>
        <v>2</v>
      </c>
      <c r="C6" s="117">
        <f t="shared" ca="1" si="1"/>
        <v>7</v>
      </c>
      <c r="D6" s="117">
        <f t="shared" ca="1" si="2"/>
        <v>3</v>
      </c>
      <c r="E6" s="117">
        <f t="shared" ca="1" si="3"/>
        <v>0</v>
      </c>
      <c r="F6" s="117">
        <f t="shared" ca="1" si="4"/>
        <v>1</v>
      </c>
      <c r="G6" s="117">
        <f t="shared" ca="1" si="5"/>
        <v>13</v>
      </c>
    </row>
    <row r="7" spans="1:12" ht="15.75" x14ac:dyDescent="0.2">
      <c r="A7" s="255">
        <v>5</v>
      </c>
      <c r="B7" s="117">
        <f t="shared" ca="1" si="0"/>
        <v>1</v>
      </c>
      <c r="C7" s="117">
        <f t="shared" ca="1" si="1"/>
        <v>8</v>
      </c>
      <c r="D7" s="117">
        <f t="shared" ca="1" si="2"/>
        <v>4</v>
      </c>
      <c r="E7" s="117">
        <f t="shared" ca="1" si="3"/>
        <v>0</v>
      </c>
      <c r="F7" s="117">
        <f t="shared" ca="1" si="4"/>
        <v>2</v>
      </c>
      <c r="G7" s="117">
        <f t="shared" ca="1" si="5"/>
        <v>15</v>
      </c>
    </row>
    <row r="8" spans="1:12" ht="15.75" x14ac:dyDescent="0.2">
      <c r="A8" s="255">
        <v>6</v>
      </c>
      <c r="B8" s="117">
        <f t="shared" ca="1" si="0"/>
        <v>0</v>
      </c>
      <c r="C8" s="117">
        <f t="shared" ca="1" si="1"/>
        <v>9</v>
      </c>
      <c r="D8" s="117">
        <f t="shared" ca="1" si="2"/>
        <v>3</v>
      </c>
      <c r="E8" s="117">
        <f t="shared" ca="1" si="3"/>
        <v>0</v>
      </c>
      <c r="F8" s="117">
        <f t="shared" ca="1" si="4"/>
        <v>1</v>
      </c>
      <c r="G8" s="117">
        <f t="shared" ca="1" si="5"/>
        <v>13</v>
      </c>
    </row>
    <row r="9" spans="1:12" ht="15.75" x14ac:dyDescent="0.2">
      <c r="A9" s="255">
        <v>7</v>
      </c>
      <c r="B9" s="117">
        <f t="shared" ca="1" si="0"/>
        <v>1</v>
      </c>
      <c r="C9" s="117">
        <f t="shared" ca="1" si="1"/>
        <v>7</v>
      </c>
      <c r="D9" s="117">
        <f t="shared" ca="1" si="2"/>
        <v>3</v>
      </c>
      <c r="E9" s="117">
        <f t="shared" ca="1" si="3"/>
        <v>0</v>
      </c>
      <c r="F9" s="117">
        <f t="shared" ca="1" si="4"/>
        <v>1</v>
      </c>
      <c r="G9" s="117">
        <f t="shared" ca="1" si="5"/>
        <v>12</v>
      </c>
      <c r="H9" s="245">
        <f ca="1">SUM(B3:B9)</f>
        <v>8</v>
      </c>
      <c r="I9" s="245">
        <f ca="1">SUM(C3:C9)</f>
        <v>57</v>
      </c>
      <c r="J9" s="245">
        <f ca="1">SUM(D3:D9)</f>
        <v>24</v>
      </c>
      <c r="K9" s="245">
        <f ca="1">SUM(E3:E9)</f>
        <v>1</v>
      </c>
      <c r="L9" s="245">
        <f ca="1">SUM(F3:F9)</f>
        <v>8</v>
      </c>
    </row>
    <row r="10" spans="1:12" ht="15.75" x14ac:dyDescent="0.2">
      <c r="A10" s="254">
        <v>8</v>
      </c>
      <c r="B10" s="117">
        <f t="shared" ca="1" si="0"/>
        <v>1</v>
      </c>
      <c r="C10" s="117">
        <f t="shared" ca="1" si="1"/>
        <v>7</v>
      </c>
      <c r="D10" s="117">
        <f t="shared" ca="1" si="2"/>
        <v>3</v>
      </c>
      <c r="E10" s="117">
        <f t="shared" ca="1" si="3"/>
        <v>0</v>
      </c>
      <c r="F10" s="117">
        <f t="shared" ca="1" si="4"/>
        <v>1</v>
      </c>
      <c r="G10" s="117">
        <f t="shared" ca="1" si="5"/>
        <v>12</v>
      </c>
      <c r="H10" s="245">
        <f ca="1">H9*21</f>
        <v>168</v>
      </c>
      <c r="I10" s="245">
        <f ca="1">I9*20</f>
        <v>1140</v>
      </c>
      <c r="J10" s="256">
        <f ca="1">J9*21</f>
        <v>504</v>
      </c>
      <c r="K10" s="245">
        <f ca="1">K9*21</f>
        <v>21</v>
      </c>
      <c r="L10" s="256">
        <f ca="1">L9*21</f>
        <v>168</v>
      </c>
    </row>
    <row r="11" spans="1:12" ht="15.75" x14ac:dyDescent="0.2">
      <c r="A11" s="254">
        <v>9</v>
      </c>
      <c r="B11" s="117">
        <f t="shared" ca="1" si="0"/>
        <v>2</v>
      </c>
      <c r="C11" s="117">
        <f t="shared" ca="1" si="1"/>
        <v>8</v>
      </c>
      <c r="D11" s="117">
        <f t="shared" ca="1" si="2"/>
        <v>3</v>
      </c>
      <c r="E11" s="117">
        <f t="shared" ca="1" si="3"/>
        <v>0</v>
      </c>
      <c r="F11" s="117">
        <f t="shared" ca="1" si="4"/>
        <v>1</v>
      </c>
      <c r="G11" s="117">
        <f t="shared" ca="1" si="5"/>
        <v>14</v>
      </c>
      <c r="H11">
        <v>20</v>
      </c>
      <c r="J11">
        <f ca="1">J10-313</f>
        <v>191</v>
      </c>
      <c r="L11">
        <f ca="1">L10-112</f>
        <v>56</v>
      </c>
    </row>
    <row r="12" spans="1:12" ht="15.75" x14ac:dyDescent="0.2">
      <c r="A12" s="254">
        <v>10</v>
      </c>
      <c r="B12" s="117">
        <f t="shared" ca="1" si="0"/>
        <v>1</v>
      </c>
      <c r="C12" s="117">
        <f t="shared" ca="1" si="1"/>
        <v>8</v>
      </c>
      <c r="D12" s="117">
        <f t="shared" ca="1" si="2"/>
        <v>3</v>
      </c>
      <c r="E12" s="117">
        <f t="shared" ca="1" si="3"/>
        <v>0</v>
      </c>
      <c r="F12" s="117">
        <f t="shared" ca="1" si="4"/>
        <v>0</v>
      </c>
      <c r="G12" s="117">
        <f t="shared" ca="1" si="5"/>
        <v>12</v>
      </c>
    </row>
    <row r="13" spans="1:12" ht="15.75" x14ac:dyDescent="0.2">
      <c r="A13" s="254">
        <v>11</v>
      </c>
      <c r="B13" s="117">
        <f t="shared" ca="1" si="0"/>
        <v>1</v>
      </c>
      <c r="C13" s="117">
        <f t="shared" ca="1" si="1"/>
        <v>7</v>
      </c>
      <c r="D13" s="117">
        <f t="shared" ca="1" si="2"/>
        <v>3</v>
      </c>
      <c r="E13" s="117">
        <f t="shared" ca="1" si="3"/>
        <v>0</v>
      </c>
      <c r="F13" s="117">
        <f t="shared" ca="1" si="4"/>
        <v>2</v>
      </c>
      <c r="G13" s="117">
        <f t="shared" ca="1" si="5"/>
        <v>13</v>
      </c>
    </row>
    <row r="14" spans="1:12" ht="15.75" x14ac:dyDescent="0.2">
      <c r="A14" s="254">
        <v>12</v>
      </c>
      <c r="B14" s="117">
        <f t="shared" ca="1" si="0"/>
        <v>2</v>
      </c>
      <c r="C14" s="117">
        <f t="shared" ca="1" si="1"/>
        <v>9</v>
      </c>
      <c r="D14" s="117">
        <f t="shared" ca="1" si="2"/>
        <v>4</v>
      </c>
      <c r="E14" s="117">
        <f t="shared" ca="1" si="3"/>
        <v>0</v>
      </c>
      <c r="F14" s="117">
        <f t="shared" ca="1" si="4"/>
        <v>1</v>
      </c>
      <c r="G14" s="117">
        <f t="shared" ca="1" si="5"/>
        <v>16</v>
      </c>
    </row>
    <row r="15" spans="1:12" ht="15.75" x14ac:dyDescent="0.2">
      <c r="A15" s="254">
        <v>13</v>
      </c>
      <c r="B15" s="117">
        <f t="shared" ca="1" si="0"/>
        <v>3</v>
      </c>
      <c r="C15" s="117">
        <f t="shared" ca="1" si="1"/>
        <v>7</v>
      </c>
      <c r="D15" s="117">
        <f t="shared" ca="1" si="2"/>
        <v>3</v>
      </c>
      <c r="E15" s="117">
        <f t="shared" ca="1" si="3"/>
        <v>0</v>
      </c>
      <c r="F15" s="117">
        <f t="shared" ca="1" si="4"/>
        <v>1</v>
      </c>
      <c r="G15" s="117">
        <f t="shared" ca="1" si="5"/>
        <v>14</v>
      </c>
    </row>
    <row r="16" spans="1:12" ht="15.75" x14ac:dyDescent="0.2">
      <c r="A16" s="254">
        <v>14</v>
      </c>
      <c r="B16" s="117">
        <f t="shared" ca="1" si="0"/>
        <v>0</v>
      </c>
      <c r="C16" s="117">
        <f t="shared" ca="1" si="1"/>
        <v>0</v>
      </c>
      <c r="D16" s="117">
        <f t="shared" ca="1" si="2"/>
        <v>0</v>
      </c>
      <c r="E16" s="117">
        <f t="shared" ca="1" si="3"/>
        <v>0</v>
      </c>
      <c r="F16" s="117">
        <f t="shared" ca="1" si="4"/>
        <v>0</v>
      </c>
      <c r="G16" s="117">
        <f t="shared" ca="1" si="5"/>
        <v>0</v>
      </c>
      <c r="H16" s="245">
        <f ca="1">SUM(B10:B16)</f>
        <v>10</v>
      </c>
      <c r="I16" s="245">
        <f ca="1">SUM(C10:C16)</f>
        <v>46</v>
      </c>
      <c r="J16" s="245">
        <f ca="1">SUM(D10:D16)</f>
        <v>19</v>
      </c>
      <c r="K16" s="245">
        <f ca="1">SUM(E10:E16)</f>
        <v>0</v>
      </c>
      <c r="L16" s="245">
        <f ca="1">SUM(F10:F16)</f>
        <v>6</v>
      </c>
    </row>
    <row r="17" spans="1:12" ht="15.75" x14ac:dyDescent="0.2">
      <c r="A17" s="255">
        <v>15</v>
      </c>
      <c r="B17" s="117">
        <f t="shared" ca="1" si="0"/>
        <v>0</v>
      </c>
      <c r="C17" s="117">
        <f t="shared" ca="1" si="1"/>
        <v>0</v>
      </c>
      <c r="D17" s="117">
        <f t="shared" ca="1" si="2"/>
        <v>0</v>
      </c>
      <c r="E17" s="117">
        <f t="shared" ca="1" si="3"/>
        <v>0</v>
      </c>
      <c r="F17" s="117">
        <f t="shared" ca="1" si="4"/>
        <v>0</v>
      </c>
      <c r="G17" s="117">
        <f t="shared" ca="1" si="5"/>
        <v>0</v>
      </c>
      <c r="H17" s="245">
        <f ca="1">H16*20</f>
        <v>200</v>
      </c>
      <c r="I17" s="245">
        <f ca="1">I16*20</f>
        <v>920</v>
      </c>
      <c r="J17" s="245">
        <f ca="1">J16*20</f>
        <v>380</v>
      </c>
      <c r="K17" s="245">
        <f ca="1">K16*20</f>
        <v>0</v>
      </c>
      <c r="L17" s="245">
        <f ca="1">L16*20</f>
        <v>120</v>
      </c>
    </row>
    <row r="18" spans="1:12" ht="15.75" x14ac:dyDescent="0.2">
      <c r="A18" s="255">
        <v>16</v>
      </c>
      <c r="B18" s="117">
        <f t="shared" ca="1" si="0"/>
        <v>0</v>
      </c>
      <c r="C18" s="117">
        <f t="shared" ca="1" si="1"/>
        <v>0</v>
      </c>
      <c r="D18" s="117">
        <f t="shared" ca="1" si="2"/>
        <v>0</v>
      </c>
      <c r="E18" s="117">
        <f t="shared" ca="1" si="3"/>
        <v>0</v>
      </c>
      <c r="F18" s="117">
        <f t="shared" ca="1" si="4"/>
        <v>0</v>
      </c>
      <c r="G18" s="117">
        <f t="shared" ca="1" si="5"/>
        <v>0</v>
      </c>
    </row>
    <row r="19" spans="1:12" ht="15.75" x14ac:dyDescent="0.2">
      <c r="A19" s="255">
        <v>17</v>
      </c>
      <c r="B19" s="117">
        <f t="shared" ca="1" si="0"/>
        <v>0</v>
      </c>
      <c r="C19" s="117">
        <f t="shared" ca="1" si="1"/>
        <v>0</v>
      </c>
      <c r="D19" s="117">
        <f t="shared" ca="1" si="2"/>
        <v>0</v>
      </c>
      <c r="E19" s="117">
        <f t="shared" ca="1" si="3"/>
        <v>0</v>
      </c>
      <c r="F19" s="117">
        <f t="shared" ca="1" si="4"/>
        <v>0</v>
      </c>
      <c r="G19" s="117">
        <f t="shared" ca="1" si="5"/>
        <v>0</v>
      </c>
    </row>
    <row r="20" spans="1:12" ht="15.75" x14ac:dyDescent="0.2">
      <c r="A20" s="255">
        <v>18</v>
      </c>
      <c r="B20" s="117">
        <f t="shared" ca="1" si="0"/>
        <v>0</v>
      </c>
      <c r="C20" s="117">
        <f t="shared" ca="1" si="1"/>
        <v>0</v>
      </c>
      <c r="D20" s="117">
        <f t="shared" ca="1" si="2"/>
        <v>0</v>
      </c>
      <c r="E20" s="117">
        <f t="shared" ca="1" si="3"/>
        <v>0</v>
      </c>
      <c r="F20" s="117">
        <f t="shared" ca="1" si="4"/>
        <v>0</v>
      </c>
      <c r="G20" s="117">
        <f t="shared" ca="1" si="5"/>
        <v>0</v>
      </c>
    </row>
    <row r="21" spans="1:12" ht="15.75" x14ac:dyDescent="0.2">
      <c r="A21" s="255">
        <v>19</v>
      </c>
      <c r="B21" s="117">
        <f t="shared" ca="1" si="0"/>
        <v>0</v>
      </c>
      <c r="C21" s="117">
        <f t="shared" ca="1" si="1"/>
        <v>0</v>
      </c>
      <c r="D21" s="117">
        <f t="shared" ca="1" si="2"/>
        <v>0</v>
      </c>
      <c r="E21" s="117">
        <f t="shared" ca="1" si="3"/>
        <v>0</v>
      </c>
      <c r="F21" s="117">
        <f t="shared" ca="1" si="4"/>
        <v>0</v>
      </c>
      <c r="G21" s="117">
        <f t="shared" ca="1" si="5"/>
        <v>0</v>
      </c>
    </row>
    <row r="22" spans="1:12" ht="15.75" x14ac:dyDescent="0.2">
      <c r="A22" s="255">
        <v>20</v>
      </c>
      <c r="B22" s="117">
        <f t="shared" ca="1" si="0"/>
        <v>0</v>
      </c>
      <c r="C22" s="117">
        <f t="shared" ca="1" si="1"/>
        <v>0</v>
      </c>
      <c r="D22" s="117">
        <f t="shared" ca="1" si="2"/>
        <v>0</v>
      </c>
      <c r="E22" s="117">
        <f t="shared" ca="1" si="3"/>
        <v>0</v>
      </c>
      <c r="F22" s="117">
        <f t="shared" ca="1" si="4"/>
        <v>0</v>
      </c>
      <c r="G22" s="117">
        <f t="shared" ca="1" si="5"/>
        <v>0</v>
      </c>
    </row>
    <row r="23" spans="1:12" ht="15.75" x14ac:dyDescent="0.2">
      <c r="A23" s="255">
        <v>21</v>
      </c>
      <c r="B23" s="117">
        <f t="shared" ca="1" si="0"/>
        <v>0</v>
      </c>
      <c r="C23" s="117">
        <f t="shared" ca="1" si="1"/>
        <v>0</v>
      </c>
      <c r="D23" s="117">
        <f t="shared" ca="1" si="2"/>
        <v>0</v>
      </c>
      <c r="E23" s="117">
        <f t="shared" ca="1" si="3"/>
        <v>0</v>
      </c>
      <c r="F23" s="117">
        <f t="shared" ca="1" si="4"/>
        <v>0</v>
      </c>
      <c r="G23" s="117">
        <f t="shared" ca="1" si="5"/>
        <v>0</v>
      </c>
      <c r="H23" s="245">
        <f ca="1">SUM(B17:B23)</f>
        <v>0</v>
      </c>
      <c r="I23" s="245">
        <f ca="1">SUM(C17:C23)</f>
        <v>0</v>
      </c>
      <c r="J23" s="245">
        <f ca="1">SUM(D17:D23)</f>
        <v>0</v>
      </c>
      <c r="K23" s="245">
        <f ca="1">SUM(E17:E23)</f>
        <v>0</v>
      </c>
      <c r="L23" s="245">
        <f ca="1">SUM(F17:F23)</f>
        <v>0</v>
      </c>
    </row>
    <row r="24" spans="1:12" ht="15.75" x14ac:dyDescent="0.2">
      <c r="A24" s="254">
        <v>22</v>
      </c>
      <c r="B24" s="117">
        <f t="shared" ca="1" si="0"/>
        <v>0</v>
      </c>
      <c r="C24" s="117">
        <f t="shared" ca="1" si="1"/>
        <v>0</v>
      </c>
      <c r="D24" s="117">
        <f t="shared" ca="1" si="2"/>
        <v>0</v>
      </c>
      <c r="E24" s="117">
        <f t="shared" ca="1" si="3"/>
        <v>0</v>
      </c>
      <c r="F24" s="117">
        <f t="shared" ca="1" si="4"/>
        <v>0</v>
      </c>
      <c r="G24" s="117">
        <f t="shared" ca="1" si="5"/>
        <v>0</v>
      </c>
      <c r="H24" s="245">
        <f ca="1">H23*20</f>
        <v>0</v>
      </c>
      <c r="I24" s="245">
        <f ca="1">I23*20</f>
        <v>0</v>
      </c>
      <c r="J24" s="245">
        <f ca="1">J23*20</f>
        <v>0</v>
      </c>
      <c r="K24" s="245">
        <f ca="1">K23*20</f>
        <v>0</v>
      </c>
      <c r="L24" s="245">
        <f ca="1">L23*20</f>
        <v>0</v>
      </c>
    </row>
    <row r="25" spans="1:12" ht="15.75" x14ac:dyDescent="0.2">
      <c r="A25" s="254">
        <v>23</v>
      </c>
      <c r="B25" s="117">
        <f t="shared" ca="1" si="0"/>
        <v>0</v>
      </c>
      <c r="C25" s="117">
        <f t="shared" ca="1" si="1"/>
        <v>0</v>
      </c>
      <c r="D25" s="117">
        <f t="shared" ca="1" si="2"/>
        <v>0</v>
      </c>
      <c r="E25" s="117">
        <f t="shared" ca="1" si="3"/>
        <v>0</v>
      </c>
      <c r="F25" s="117">
        <f t="shared" ca="1" si="4"/>
        <v>0</v>
      </c>
      <c r="G25" s="117">
        <f t="shared" ca="1" si="5"/>
        <v>0</v>
      </c>
    </row>
    <row r="26" spans="1:12" ht="15.75" x14ac:dyDescent="0.2">
      <c r="A26" s="254">
        <v>24</v>
      </c>
      <c r="B26" s="117">
        <f t="shared" ca="1" si="0"/>
        <v>0</v>
      </c>
      <c r="C26" s="117">
        <f t="shared" ca="1" si="1"/>
        <v>0</v>
      </c>
      <c r="D26" s="117">
        <f t="shared" ca="1" si="2"/>
        <v>0</v>
      </c>
      <c r="E26" s="117">
        <f t="shared" ca="1" si="3"/>
        <v>0</v>
      </c>
      <c r="F26" s="117">
        <f t="shared" ca="1" si="4"/>
        <v>0</v>
      </c>
      <c r="G26" s="117">
        <f t="shared" ca="1" si="5"/>
        <v>0</v>
      </c>
    </row>
    <row r="27" spans="1:12" ht="15.75" x14ac:dyDescent="0.2">
      <c r="A27" s="254">
        <v>25</v>
      </c>
      <c r="B27" s="117">
        <f t="shared" ca="1" si="0"/>
        <v>0</v>
      </c>
      <c r="C27" s="117">
        <f t="shared" ca="1" si="1"/>
        <v>0</v>
      </c>
      <c r="D27" s="117">
        <f t="shared" ca="1" si="2"/>
        <v>0</v>
      </c>
      <c r="E27" s="117">
        <f t="shared" ca="1" si="3"/>
        <v>0</v>
      </c>
      <c r="F27" s="117">
        <f t="shared" ca="1" si="4"/>
        <v>0</v>
      </c>
      <c r="G27" s="117">
        <f t="shared" ca="1" si="5"/>
        <v>0</v>
      </c>
    </row>
    <row r="28" spans="1:12" ht="15.75" x14ac:dyDescent="0.2">
      <c r="A28" s="254">
        <v>26</v>
      </c>
      <c r="B28" s="117">
        <f t="shared" ca="1" si="0"/>
        <v>0</v>
      </c>
      <c r="C28" s="117">
        <f t="shared" ca="1" si="1"/>
        <v>0</v>
      </c>
      <c r="D28" s="117">
        <f t="shared" ca="1" si="2"/>
        <v>0</v>
      </c>
      <c r="E28" s="117">
        <f t="shared" ca="1" si="3"/>
        <v>0</v>
      </c>
      <c r="F28" s="117">
        <f t="shared" ca="1" si="4"/>
        <v>0</v>
      </c>
      <c r="G28" s="117">
        <f t="shared" ca="1" si="5"/>
        <v>0</v>
      </c>
    </row>
    <row r="29" spans="1:12" ht="15.75" x14ac:dyDescent="0.2">
      <c r="A29" s="254">
        <v>27</v>
      </c>
      <c r="B29" s="117">
        <f t="shared" ca="1" si="0"/>
        <v>0</v>
      </c>
      <c r="C29" s="117">
        <f t="shared" ca="1" si="1"/>
        <v>0</v>
      </c>
      <c r="D29" s="117">
        <f t="shared" ca="1" si="2"/>
        <v>0</v>
      </c>
      <c r="E29" s="117">
        <f t="shared" ca="1" si="3"/>
        <v>0</v>
      </c>
      <c r="F29" s="117">
        <f t="shared" ca="1" si="4"/>
        <v>0</v>
      </c>
      <c r="G29" s="117">
        <f t="shared" ca="1" si="5"/>
        <v>0</v>
      </c>
    </row>
    <row r="30" spans="1:12" ht="15.75" x14ac:dyDescent="0.2">
      <c r="A30" s="254">
        <v>28</v>
      </c>
      <c r="B30" s="117">
        <f t="shared" ca="1" si="0"/>
        <v>0</v>
      </c>
      <c r="C30" s="117">
        <f t="shared" ca="1" si="1"/>
        <v>0</v>
      </c>
      <c r="D30" s="117">
        <f t="shared" ca="1" si="2"/>
        <v>0</v>
      </c>
      <c r="E30" s="117">
        <f t="shared" ca="1" si="3"/>
        <v>0</v>
      </c>
      <c r="F30" s="117">
        <f t="shared" ca="1" si="4"/>
        <v>0</v>
      </c>
      <c r="G30" s="117">
        <f t="shared" ca="1" si="5"/>
        <v>0</v>
      </c>
    </row>
    <row r="31" spans="1:12" ht="15.75" x14ac:dyDescent="0.2">
      <c r="A31" s="254">
        <v>29</v>
      </c>
      <c r="B31" s="117">
        <f t="shared" ca="1" si="0"/>
        <v>0</v>
      </c>
      <c r="C31" s="117">
        <f t="shared" ca="1" si="1"/>
        <v>0</v>
      </c>
      <c r="D31" s="117">
        <f t="shared" ca="1" si="2"/>
        <v>0</v>
      </c>
      <c r="E31" s="117">
        <f t="shared" ca="1" si="3"/>
        <v>0</v>
      </c>
      <c r="F31" s="117">
        <f t="shared" ca="1" si="4"/>
        <v>0</v>
      </c>
      <c r="G31" s="117">
        <f t="shared" ca="1" si="5"/>
        <v>0</v>
      </c>
    </row>
    <row r="32" spans="1:12" ht="15.75" x14ac:dyDescent="0.2">
      <c r="A32" s="254">
        <v>30</v>
      </c>
      <c r="B32" s="117">
        <f t="shared" ca="1" si="0"/>
        <v>0</v>
      </c>
      <c r="C32" s="117">
        <f t="shared" ca="1" si="1"/>
        <v>0</v>
      </c>
      <c r="D32" s="117">
        <f t="shared" ca="1" si="2"/>
        <v>0</v>
      </c>
      <c r="E32" s="117">
        <f t="shared" ca="1" si="3"/>
        <v>0</v>
      </c>
      <c r="F32" s="117">
        <f t="shared" ca="1" si="4"/>
        <v>0</v>
      </c>
      <c r="G32" s="117">
        <f t="shared" ca="1" si="5"/>
        <v>0</v>
      </c>
    </row>
    <row r="33" spans="1:12" ht="15.75" x14ac:dyDescent="0.2">
      <c r="A33" s="254">
        <v>31</v>
      </c>
      <c r="B33" s="117">
        <f t="shared" ca="1" si="0"/>
        <v>0</v>
      </c>
      <c r="C33" s="117">
        <f t="shared" ca="1" si="1"/>
        <v>0</v>
      </c>
      <c r="D33" s="117">
        <f t="shared" ca="1" si="2"/>
        <v>0</v>
      </c>
      <c r="E33" s="117">
        <f t="shared" ca="1" si="3"/>
        <v>0</v>
      </c>
      <c r="F33" s="117">
        <f t="shared" ca="1" si="4"/>
        <v>0</v>
      </c>
      <c r="G33" s="117">
        <f t="shared" ca="1" si="5"/>
        <v>0</v>
      </c>
      <c r="H33" s="245">
        <f ca="1">SUM(B24:B33)</f>
        <v>0</v>
      </c>
      <c r="I33" s="245">
        <f ca="1">SUM(C24:C33)</f>
        <v>0</v>
      </c>
      <c r="J33" s="245">
        <f ca="1">SUM(D24:D33)</f>
        <v>0</v>
      </c>
      <c r="K33" s="245">
        <f ca="1">SUM(E24:E33)</f>
        <v>0</v>
      </c>
      <c r="L33" s="245">
        <f ca="1">SUM(F24:F33)</f>
        <v>0</v>
      </c>
    </row>
    <row r="34" spans="1:12" x14ac:dyDescent="0.2">
      <c r="A34" s="453" t="s">
        <v>822</v>
      </c>
      <c r="B34" s="454"/>
      <c r="C34" s="454"/>
      <c r="D34" s="454"/>
      <c r="E34" s="454"/>
      <c r="F34" s="455"/>
      <c r="G34" s="117">
        <f ca="1">AVERAGE(G3:G33)</f>
        <v>5.774193548387097</v>
      </c>
      <c r="H34" s="245">
        <f ca="1">H33*20</f>
        <v>0</v>
      </c>
      <c r="I34" s="245">
        <f ca="1">I33*20</f>
        <v>0</v>
      </c>
      <c r="J34" s="245">
        <f ca="1">J33*20</f>
        <v>0</v>
      </c>
      <c r="K34" s="245">
        <f ca="1">K33*20</f>
        <v>0</v>
      </c>
      <c r="L34" s="245">
        <f ca="1">L33*20</f>
        <v>0</v>
      </c>
    </row>
  </sheetData>
  <customSheetViews>
    <customSheetView guid="{9C22FFE9-00CF-47D0-BD99-D84A00825140}">
      <pageMargins left="0" right="0" top="0" bottom="0" header="0" footer="0"/>
    </customSheetView>
  </customSheetViews>
  <mergeCells count="1">
    <mergeCell ref="A34:F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3:D11"/>
  <sheetViews>
    <sheetView workbookViewId="0">
      <selection activeCell="H15" sqref="H15"/>
    </sheetView>
  </sheetViews>
  <sheetFormatPr defaultRowHeight="12.75" x14ac:dyDescent="0.2"/>
  <cols>
    <col min="1" max="1" width="2.42578125" customWidth="1"/>
    <col min="4" max="4" width="12.5703125" customWidth="1"/>
  </cols>
  <sheetData>
    <row r="3" spans="2:4" x14ac:dyDescent="0.2">
      <c r="B3" t="s">
        <v>245</v>
      </c>
      <c r="C3" t="s">
        <v>9</v>
      </c>
      <c r="D3" t="s">
        <v>11</v>
      </c>
    </row>
    <row r="4" spans="2:4" x14ac:dyDescent="0.2">
      <c r="B4" t="s">
        <v>246</v>
      </c>
      <c r="C4" t="s">
        <v>13</v>
      </c>
      <c r="D4" t="s">
        <v>823</v>
      </c>
    </row>
    <row r="5" spans="2:4" x14ac:dyDescent="0.2">
      <c r="B5" t="s">
        <v>247</v>
      </c>
      <c r="D5" t="s">
        <v>15</v>
      </c>
    </row>
    <row r="6" spans="2:4" x14ac:dyDescent="0.2">
      <c r="D6" t="s">
        <v>18</v>
      </c>
    </row>
    <row r="7" spans="2:4" x14ac:dyDescent="0.2">
      <c r="D7" t="s">
        <v>31</v>
      </c>
    </row>
    <row r="8" spans="2:4" x14ac:dyDescent="0.2">
      <c r="D8" t="s">
        <v>824</v>
      </c>
    </row>
    <row r="9" spans="2:4" x14ac:dyDescent="0.2">
      <c r="D9" t="s">
        <v>237</v>
      </c>
    </row>
    <row r="10" spans="2:4" x14ac:dyDescent="0.2">
      <c r="D10" t="s">
        <v>825</v>
      </c>
    </row>
    <row r="11" spans="2:4" x14ac:dyDescent="0.2">
      <c r="D11" t="s">
        <v>826</v>
      </c>
    </row>
  </sheetData>
  <customSheetViews>
    <customSheetView guid="{180A269B-7E32-4D24-945A-4A804FC4280D}" state="hidden">
      <selection activeCell="H15" sqref="H15"/>
      <pageMargins left="0" right="0" top="0" bottom="0" header="0" footer="0"/>
    </customSheetView>
    <customSheetView guid="{BDCF2A7A-E9D7-4870-941D-0022D12BB670}" state="hidden">
      <selection activeCell="H15" sqref="H15"/>
      <pageMargins left="0" right="0" top="0" bottom="0" header="0" footer="0"/>
    </customSheetView>
    <customSheetView guid="{3DB5A1E9-5856-4EA0-B7C8-5278BCF638C4}" state="hidden">
      <selection activeCell="H15" sqref="H15"/>
      <pageMargins left="0" right="0" top="0" bottom="0" header="0" footer="0"/>
    </customSheetView>
    <customSheetView guid="{F0BD4916-1611-48FD-8208-19E7D9B71F1A}" state="hidden">
      <selection activeCell="H15" sqref="H15"/>
      <pageMargins left="0" right="0" top="0" bottom="0" header="0" footer="0"/>
    </customSheetView>
    <customSheetView guid="{1DCC370E-2FC6-43E0-BC38-BCA3EE5D5128}" state="hidden">
      <selection activeCell="H15" sqref="H15"/>
      <pageMargins left="0" right="0" top="0" bottom="0" header="0" footer="0"/>
    </customSheetView>
    <customSheetView guid="{C7D8C3A9-FB79-4D22-935E-FEFA619A3CE5}" state="hidden">
      <selection activeCell="H15" sqref="H15"/>
      <pageMargins left="0" right="0" top="0" bottom="0" header="0" footer="0"/>
    </customSheetView>
    <customSheetView guid="{C5333697-7BE7-4020-97A4-B735E526926D}" state="hidden">
      <selection activeCell="H15" sqref="H15"/>
      <pageMargins left="0" right="0" top="0" bottom="0" header="0" footer="0"/>
    </customSheetView>
    <customSheetView guid="{9C22FFE9-00CF-47D0-BD99-D84A00825140}" state="hidden">
      <selection activeCell="H15" sqref="H15"/>
      <pageMargins left="0" right="0" top="0" bottom="0" header="0" footer="0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C1BFD383EA9C304083A8E6AB5C637A38" ma:contentTypeVersion="11" ma:contentTypeDescription="Cipta satu dokumen baru." ma:contentTypeScope="" ma:versionID="ef563c18e0fd313f52615830fbe425ea">
  <xsd:schema xmlns:xsd="http://www.w3.org/2001/XMLSchema" xmlns:xs="http://www.w3.org/2001/XMLSchema" xmlns:p="http://schemas.microsoft.com/office/2006/metadata/properties" xmlns:ns2="31f5dcea-c448-41ca-a734-66bd8405f415" xmlns:ns3="5dce81ae-c154-4bd7-90f9-1208034f416e" targetNamespace="http://schemas.microsoft.com/office/2006/metadata/properties" ma:root="true" ma:fieldsID="ef966bec38ef3951f8d349070d308820" ns2:_="" ns3:_="">
    <xsd:import namespace="31f5dcea-c448-41ca-a734-66bd8405f415"/>
    <xsd:import namespace="5dce81ae-c154-4bd7-90f9-1208034f4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5dcea-c448-41ca-a734-66bd8405f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e81ae-c154-4bd7-90f9-1208034f4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ikongsi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ikongsi Dengan Butira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Jenis Kandungan"/>
        <xsd:element ref="dc:title" minOccurs="0" maxOccurs="1" ma:index="4" ma:displayName="Taju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59925-79E6-4C41-AE38-89357E833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5dcea-c448-41ca-a734-66bd8405f415"/>
    <ds:schemaRef ds:uri="5dce81ae-c154-4bd7-90f9-1208034f4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9EF3DC-15B2-4FB5-8F4D-6B2C844B9C45}">
  <ds:schemaRefs>
    <ds:schemaRef ds:uri="http://schemas.microsoft.com/office/2006/metadata/properties"/>
    <ds:schemaRef ds:uri="http://schemas.microsoft.com/office/2006/documentManagement/types"/>
    <ds:schemaRef ds:uri="5dce81ae-c154-4bd7-90f9-1208034f416e"/>
    <ds:schemaRef ds:uri="31f5dcea-c448-41ca-a734-66bd8405f415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DF723E-C33B-417A-85DD-47B06F2DDC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42</vt:i4>
      </vt:variant>
    </vt:vector>
  </HeadingPairs>
  <TitlesOfParts>
    <vt:vector size="80" baseType="lpstr">
      <vt:lpstr>List</vt:lpstr>
      <vt:lpstr>Summary</vt:lpstr>
      <vt:lpstr>Summary (2)</vt:lpstr>
      <vt:lpstr>Graph</vt:lpstr>
      <vt:lpstr>Graph (2)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Sheet1</vt:lpstr>
      <vt:lpstr>Sheet3</vt:lpstr>
      <vt:lpstr>Affination</vt:lpstr>
      <vt:lpstr>Boiling</vt:lpstr>
      <vt:lpstr>Clarification</vt:lpstr>
      <vt:lpstr>CuringLine1</vt:lpstr>
      <vt:lpstr>CuringLine2</vt:lpstr>
      <vt:lpstr>CuringLine3</vt:lpstr>
      <vt:lpstr>CuringLine4</vt:lpstr>
      <vt:lpstr>LGH</vt:lpstr>
      <vt:lpstr>LiquidSugar</vt:lpstr>
      <vt:lpstr>'1'!Print_Area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'3'!Print_Area</vt:lpstr>
      <vt:lpstr>'30'!Print_Area</vt:lpstr>
      <vt:lpstr>'31'!Print_Area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'Summary (2)'!Print_Area</vt:lpstr>
      <vt:lpstr>RawSugarPit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Jaclyn Kelly Tay Shin Ying</dc:creator>
  <cp:keywords/>
  <dc:description/>
  <cp:lastModifiedBy>Jaclyn Kelly Tay Shin Ying</cp:lastModifiedBy>
  <cp:revision/>
  <dcterms:created xsi:type="dcterms:W3CDTF">2019-07-08T06:17:30Z</dcterms:created>
  <dcterms:modified xsi:type="dcterms:W3CDTF">2021-01-14T03:04:34Z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0x010100C1BFD383EA9C304083A8E6AB5C637A38</vt:lpwstr>
  </property>
</Properties>
</file>