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srmalaysia-my.sharepoint.com/personal/jaclyn_kellytay_central-sugars_com_my/Documents/Desktop/"/>
    </mc:Choice>
  </mc:AlternateContent>
  <xr:revisionPtr revIDLastSave="0" documentId="8_{61D08506-7DF7-4696-AD04-C8CC818ADFA1}" xr6:coauthVersionLast="45" xr6:coauthVersionMax="45" xr10:uidLastSave="{00000000-0000-0000-0000-000000000000}"/>
  <bookViews>
    <workbookView xWindow="-120" yWindow="-120" windowWidth="20730" windowHeight="11160" tabRatio="959" firstSheet="2" activeTab="4" xr2:uid="{00000000-000D-0000-FFFF-FFFF00000000}"/>
  </bookViews>
  <sheets>
    <sheet name="List" sheetId="1" state="hidden" r:id="rId1"/>
    <sheet name="Summary (2)" sheetId="3" state="hidden" r:id="rId2"/>
    <sheet name="Graph" sheetId="4" r:id="rId3"/>
    <sheet name="Graph (2)" sheetId="5" state="hidden" r:id="rId4"/>
    <sheet name="1" sheetId="6" r:id="rId5"/>
    <sheet name="2" sheetId="7" r:id="rId6"/>
    <sheet name="3" sheetId="8" r:id="rId7"/>
    <sheet name="4" sheetId="9" r:id="rId8"/>
    <sheet name="5" sheetId="10" r:id="rId9"/>
    <sheet name="Sheet4" sheetId="43" state="hidden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Sheet5" sheetId="47" state="hidden" r:id="rId32"/>
    <sheet name="Sheet6" sheetId="48" state="hidden" r:id="rId33"/>
    <sheet name="Sheet7" sheetId="49" state="hidden" r:id="rId34"/>
    <sheet name="27" sheetId="32" r:id="rId35"/>
    <sheet name="28" sheetId="33" r:id="rId36"/>
    <sheet name="29" sheetId="34" r:id="rId37"/>
    <sheet name="30" sheetId="35" r:id="rId38"/>
    <sheet name="31" sheetId="36" r:id="rId39"/>
    <sheet name="Requirement (wk35)" sheetId="40" state="hidden" r:id="rId40"/>
    <sheet name="Sheet1" sheetId="38" state="hidden" r:id="rId41"/>
    <sheet name="Sheet3" sheetId="37" state="hidden" r:id="rId42"/>
    <sheet name="Summary" sheetId="2" r:id="rId43"/>
    <sheet name="Production Plan" sheetId="41" state="hidden" r:id="rId44"/>
    <sheet name="Sheet2" sheetId="42" state="hidden" r:id="rId45"/>
  </sheets>
  <externalReferences>
    <externalReference r:id="rId46"/>
  </externalReferences>
  <definedNames>
    <definedName name="_xlnm._FilterDatabase" localSheetId="43" hidden="1">'Production Plan'!$A$4:$AH$19</definedName>
    <definedName name="_xlnm._FilterDatabase" localSheetId="39" hidden="1">'Requirement (wk35)'!$A$2:$AS$88</definedName>
    <definedName name="Affination">List!$E$9:$E$25</definedName>
    <definedName name="Boiling">List!$E$53:$E$73</definedName>
    <definedName name="Clarification">List!$E$26:$E$52</definedName>
    <definedName name="CuringLine1">List!$E$74:$E$93</definedName>
    <definedName name="CuringLine2">List!$E$94:$E$111</definedName>
    <definedName name="CuringLine3">List!$E$112:$E$125</definedName>
    <definedName name="CuringLine4">List!$E$126:$E$153</definedName>
    <definedName name="LGH">List!$E$154:$E$191</definedName>
    <definedName name="LiquidSugar">List!$E$190:$E$203</definedName>
    <definedName name="_xlnm.Print_Area" localSheetId="4">'1'!$B$2:$M$137</definedName>
    <definedName name="_xlnm.Print_Area" localSheetId="14">'10'!$B$2:$M$137</definedName>
    <definedName name="_xlnm.Print_Area" localSheetId="15">'11'!$B$2:$M$137</definedName>
    <definedName name="_xlnm.Print_Area" localSheetId="16">'12'!$B$2:$M$137</definedName>
    <definedName name="_xlnm.Print_Area" localSheetId="17">'13'!$B$2:$M$137</definedName>
    <definedName name="_xlnm.Print_Area" localSheetId="18">'14'!$B$2:$M$137</definedName>
    <definedName name="_xlnm.Print_Area" localSheetId="19">'15'!$B$2:$M$137</definedName>
    <definedName name="_xlnm.Print_Area" localSheetId="20">'16'!$B$2:$M$137</definedName>
    <definedName name="_xlnm.Print_Area" localSheetId="21">'17'!$B$2:$M$137</definedName>
    <definedName name="_xlnm.Print_Area" localSheetId="22">'18'!$B$2:$M$137</definedName>
    <definedName name="_xlnm.Print_Area" localSheetId="23">'19'!$B$2:$M$137</definedName>
    <definedName name="_xlnm.Print_Area" localSheetId="5">'2'!$B$2:$M$137</definedName>
    <definedName name="_xlnm.Print_Area" localSheetId="24">'20'!$B$2:$M$137</definedName>
    <definedName name="_xlnm.Print_Area" localSheetId="25">'21'!$B$2:$M$137</definedName>
    <definedName name="_xlnm.Print_Area" localSheetId="26">'22'!$B$2:$M$137</definedName>
    <definedName name="_xlnm.Print_Area" localSheetId="27">'23'!$B$2:$M$137</definedName>
    <definedName name="_xlnm.Print_Area" localSheetId="28">'24'!$B$2:$M$137</definedName>
    <definedName name="_xlnm.Print_Area" localSheetId="29">'25'!$B$2:$M$137</definedName>
    <definedName name="_xlnm.Print_Area" localSheetId="30">'26'!$B$2:$M$137</definedName>
    <definedName name="_xlnm.Print_Area" localSheetId="34">'27'!$B$2:$M$137</definedName>
    <definedName name="_xlnm.Print_Area" localSheetId="35">'28'!$B$2:$M$137</definedName>
    <definedName name="_xlnm.Print_Area" localSheetId="36">'29'!$B$2:$M$137</definedName>
    <definedName name="_xlnm.Print_Area" localSheetId="6">'3'!$B$2:$M$137</definedName>
    <definedName name="_xlnm.Print_Area" localSheetId="37">'30'!$B$2:$M$137</definedName>
    <definedName name="_xlnm.Print_Area" localSheetId="38">'31'!$B$2:$M$137</definedName>
    <definedName name="_xlnm.Print_Area" localSheetId="7">'4'!$B$2:$M$137</definedName>
    <definedName name="_xlnm.Print_Area" localSheetId="8">'5'!$B$2:$M$137</definedName>
    <definedName name="_xlnm.Print_Area" localSheetId="10">'6'!$B$2:$M$137</definedName>
    <definedName name="_xlnm.Print_Area" localSheetId="11">'7'!$B$2:$M$137</definedName>
    <definedName name="_xlnm.Print_Area" localSheetId="12">'8'!$B$2:$M$137</definedName>
    <definedName name="_xlnm.Print_Area" localSheetId="13">'9'!$B$2:$M$137</definedName>
    <definedName name="_xlnm.Print_Area" localSheetId="43">'Production Plan'!$A$1:$U$22</definedName>
    <definedName name="_xlnm.Print_Area" localSheetId="1">'Summary (2)'!$B$4:$P$38</definedName>
    <definedName name="RawSugarPit">List!$E$5:$E$8</definedName>
    <definedName name="Z_180A269B_7E32_4D24_945A_4A804FC4280D_.wvu.PrintArea" localSheetId="4" hidden="1">'1'!$B$2:$M$137</definedName>
    <definedName name="Z_180A269B_7E32_4D24_945A_4A804FC4280D_.wvu.PrintArea" localSheetId="14" hidden="1">'10'!$B$2:$M$137</definedName>
    <definedName name="Z_180A269B_7E32_4D24_945A_4A804FC4280D_.wvu.PrintArea" localSheetId="15" hidden="1">'11'!$B$2:$M$137</definedName>
    <definedName name="Z_180A269B_7E32_4D24_945A_4A804FC4280D_.wvu.PrintArea" localSheetId="16" hidden="1">'12'!$B$2:$M$137</definedName>
    <definedName name="Z_180A269B_7E32_4D24_945A_4A804FC4280D_.wvu.PrintArea" localSheetId="17" hidden="1">'13'!$B$2:$M$137</definedName>
    <definedName name="Z_180A269B_7E32_4D24_945A_4A804FC4280D_.wvu.PrintArea" localSheetId="18" hidden="1">'14'!$B$2:$M$137</definedName>
    <definedName name="Z_180A269B_7E32_4D24_945A_4A804FC4280D_.wvu.PrintArea" localSheetId="19" hidden="1">'15'!$B$2:$M$137</definedName>
    <definedName name="Z_180A269B_7E32_4D24_945A_4A804FC4280D_.wvu.PrintArea" localSheetId="20" hidden="1">'16'!$B$2:$M$137</definedName>
    <definedName name="Z_180A269B_7E32_4D24_945A_4A804FC4280D_.wvu.PrintArea" localSheetId="21" hidden="1">'17'!$B$2:$M$137</definedName>
    <definedName name="Z_180A269B_7E32_4D24_945A_4A804FC4280D_.wvu.PrintArea" localSheetId="22" hidden="1">'18'!$B$2:$M$137</definedName>
    <definedName name="Z_180A269B_7E32_4D24_945A_4A804FC4280D_.wvu.PrintArea" localSheetId="23" hidden="1">'19'!$B$2:$M$137</definedName>
    <definedName name="Z_180A269B_7E32_4D24_945A_4A804FC4280D_.wvu.PrintArea" localSheetId="5" hidden="1">'2'!$B$2:$M$137</definedName>
    <definedName name="Z_180A269B_7E32_4D24_945A_4A804FC4280D_.wvu.PrintArea" localSheetId="24" hidden="1">'20'!$B$2:$M$137</definedName>
    <definedName name="Z_180A269B_7E32_4D24_945A_4A804FC4280D_.wvu.PrintArea" localSheetId="25" hidden="1">'21'!$B$2:$M$137</definedName>
    <definedName name="Z_180A269B_7E32_4D24_945A_4A804FC4280D_.wvu.PrintArea" localSheetId="26" hidden="1">'22'!$B$2:$M$137</definedName>
    <definedName name="Z_180A269B_7E32_4D24_945A_4A804FC4280D_.wvu.PrintArea" localSheetId="27" hidden="1">'23'!$B$2:$M$137</definedName>
    <definedName name="Z_180A269B_7E32_4D24_945A_4A804FC4280D_.wvu.PrintArea" localSheetId="28" hidden="1">'24'!$B$2:$M$137</definedName>
    <definedName name="Z_180A269B_7E32_4D24_945A_4A804FC4280D_.wvu.PrintArea" localSheetId="29" hidden="1">'25'!$B$2:$M$137</definedName>
    <definedName name="Z_180A269B_7E32_4D24_945A_4A804FC4280D_.wvu.PrintArea" localSheetId="30" hidden="1">'26'!$B$2:$M$137</definedName>
    <definedName name="Z_180A269B_7E32_4D24_945A_4A804FC4280D_.wvu.PrintArea" localSheetId="34" hidden="1">'27'!$B$2:$M$137</definedName>
    <definedName name="Z_180A269B_7E32_4D24_945A_4A804FC4280D_.wvu.PrintArea" localSheetId="35" hidden="1">'28'!$B$2:$M$137</definedName>
    <definedName name="Z_180A269B_7E32_4D24_945A_4A804FC4280D_.wvu.PrintArea" localSheetId="36" hidden="1">'29'!$B$2:$M$137</definedName>
    <definedName name="Z_180A269B_7E32_4D24_945A_4A804FC4280D_.wvu.PrintArea" localSheetId="6" hidden="1">'3'!$B$2:$M$137</definedName>
    <definedName name="Z_180A269B_7E32_4D24_945A_4A804FC4280D_.wvu.PrintArea" localSheetId="37" hidden="1">'30'!$B$2:$M$137</definedName>
    <definedName name="Z_180A269B_7E32_4D24_945A_4A804FC4280D_.wvu.PrintArea" localSheetId="38" hidden="1">'31'!$B$2:$M$137</definedName>
    <definedName name="Z_180A269B_7E32_4D24_945A_4A804FC4280D_.wvu.PrintArea" localSheetId="7" hidden="1">'4'!$B$2:$M$137</definedName>
    <definedName name="Z_180A269B_7E32_4D24_945A_4A804FC4280D_.wvu.PrintArea" localSheetId="8" hidden="1">'5'!$B$2:$M$137</definedName>
    <definedName name="Z_180A269B_7E32_4D24_945A_4A804FC4280D_.wvu.PrintArea" localSheetId="10" hidden="1">'6'!$B$2:$M$137</definedName>
    <definedName name="Z_180A269B_7E32_4D24_945A_4A804FC4280D_.wvu.PrintArea" localSheetId="11" hidden="1">'7'!$B$2:$M$137</definedName>
    <definedName name="Z_180A269B_7E32_4D24_945A_4A804FC4280D_.wvu.PrintArea" localSheetId="12" hidden="1">'8'!$B$2:$M$137</definedName>
    <definedName name="Z_180A269B_7E32_4D24_945A_4A804FC4280D_.wvu.PrintArea" localSheetId="13" hidden="1">'9'!$B$2:$M$137</definedName>
    <definedName name="Z_180A269B_7E32_4D24_945A_4A804FC4280D_.wvu.PrintArea" localSheetId="1" hidden="1">'Summary (2)'!$B$4:$P$38</definedName>
    <definedName name="Z_180A269B_7E32_4D24_945A_4A804FC4280D_.wvu.Rows" localSheetId="42" hidden="1">Summary!$8:$27</definedName>
    <definedName name="Z_180A269B_7E32_4D24_945A_4A804FC4280D_.wvu.Rows" localSheetId="1" hidden="1">'Summary (2)'!$8:$27</definedName>
    <definedName name="Z_1DCC370E_2FC6_43E0_BC38_BCA3EE5D5128_.wvu.PrintArea" localSheetId="4" hidden="1">'1'!$B$2:$M$137</definedName>
    <definedName name="Z_1DCC370E_2FC6_43E0_BC38_BCA3EE5D5128_.wvu.PrintArea" localSheetId="14" hidden="1">'10'!$B$2:$M$137</definedName>
    <definedName name="Z_1DCC370E_2FC6_43E0_BC38_BCA3EE5D5128_.wvu.PrintArea" localSheetId="15" hidden="1">'11'!$B$2:$M$137</definedName>
    <definedName name="Z_1DCC370E_2FC6_43E0_BC38_BCA3EE5D5128_.wvu.PrintArea" localSheetId="16" hidden="1">'12'!$B$2:$M$137</definedName>
    <definedName name="Z_1DCC370E_2FC6_43E0_BC38_BCA3EE5D5128_.wvu.PrintArea" localSheetId="17" hidden="1">'13'!$B$2:$M$137</definedName>
    <definedName name="Z_1DCC370E_2FC6_43E0_BC38_BCA3EE5D5128_.wvu.PrintArea" localSheetId="18" hidden="1">'14'!$B$2:$M$137</definedName>
    <definedName name="Z_1DCC370E_2FC6_43E0_BC38_BCA3EE5D5128_.wvu.PrintArea" localSheetId="19" hidden="1">'15'!$B$2:$M$137</definedName>
    <definedName name="Z_1DCC370E_2FC6_43E0_BC38_BCA3EE5D5128_.wvu.PrintArea" localSheetId="20" hidden="1">'16'!$B$2:$M$137</definedName>
    <definedName name="Z_1DCC370E_2FC6_43E0_BC38_BCA3EE5D5128_.wvu.PrintArea" localSheetId="21" hidden="1">'17'!$B$2:$M$137</definedName>
    <definedName name="Z_1DCC370E_2FC6_43E0_BC38_BCA3EE5D5128_.wvu.PrintArea" localSheetId="22" hidden="1">'18'!$B$2:$M$137</definedName>
    <definedName name="Z_1DCC370E_2FC6_43E0_BC38_BCA3EE5D5128_.wvu.PrintArea" localSheetId="23" hidden="1">'19'!$B$2:$M$137</definedName>
    <definedName name="Z_1DCC370E_2FC6_43E0_BC38_BCA3EE5D5128_.wvu.PrintArea" localSheetId="5" hidden="1">'2'!$B$2:$M$137</definedName>
    <definedName name="Z_1DCC370E_2FC6_43E0_BC38_BCA3EE5D5128_.wvu.PrintArea" localSheetId="24" hidden="1">'20'!$B$2:$M$137</definedName>
    <definedName name="Z_1DCC370E_2FC6_43E0_BC38_BCA3EE5D5128_.wvu.PrintArea" localSheetId="25" hidden="1">'21'!$B$2:$M$137</definedName>
    <definedName name="Z_1DCC370E_2FC6_43E0_BC38_BCA3EE5D5128_.wvu.PrintArea" localSheetId="26" hidden="1">'22'!$B$2:$M$137</definedName>
    <definedName name="Z_1DCC370E_2FC6_43E0_BC38_BCA3EE5D5128_.wvu.PrintArea" localSheetId="27" hidden="1">'23'!$B$2:$M$137</definedName>
    <definedName name="Z_1DCC370E_2FC6_43E0_BC38_BCA3EE5D5128_.wvu.PrintArea" localSheetId="28" hidden="1">'24'!$B$2:$M$137</definedName>
    <definedName name="Z_1DCC370E_2FC6_43E0_BC38_BCA3EE5D5128_.wvu.PrintArea" localSheetId="29" hidden="1">'25'!$B$2:$M$137</definedName>
    <definedName name="Z_1DCC370E_2FC6_43E0_BC38_BCA3EE5D5128_.wvu.PrintArea" localSheetId="30" hidden="1">'26'!$B$2:$M$137</definedName>
    <definedName name="Z_1DCC370E_2FC6_43E0_BC38_BCA3EE5D5128_.wvu.PrintArea" localSheetId="34" hidden="1">'27'!$B$2:$M$137</definedName>
    <definedName name="Z_1DCC370E_2FC6_43E0_BC38_BCA3EE5D5128_.wvu.PrintArea" localSheetId="35" hidden="1">'28'!$B$2:$M$137</definedName>
    <definedName name="Z_1DCC370E_2FC6_43E0_BC38_BCA3EE5D5128_.wvu.PrintArea" localSheetId="36" hidden="1">'29'!$B$2:$M$137</definedName>
    <definedName name="Z_1DCC370E_2FC6_43E0_BC38_BCA3EE5D5128_.wvu.PrintArea" localSheetId="6" hidden="1">'3'!$B$2:$M$137</definedName>
    <definedName name="Z_1DCC370E_2FC6_43E0_BC38_BCA3EE5D5128_.wvu.PrintArea" localSheetId="37" hidden="1">'30'!$B$2:$M$137</definedName>
    <definedName name="Z_1DCC370E_2FC6_43E0_BC38_BCA3EE5D5128_.wvu.PrintArea" localSheetId="38" hidden="1">'31'!$B$2:$M$137</definedName>
    <definedName name="Z_1DCC370E_2FC6_43E0_BC38_BCA3EE5D5128_.wvu.PrintArea" localSheetId="7" hidden="1">'4'!$B$2:$M$137</definedName>
    <definedName name="Z_1DCC370E_2FC6_43E0_BC38_BCA3EE5D5128_.wvu.PrintArea" localSheetId="8" hidden="1">'5'!$B$2:$M$137</definedName>
    <definedName name="Z_1DCC370E_2FC6_43E0_BC38_BCA3EE5D5128_.wvu.PrintArea" localSheetId="10" hidden="1">'6'!$B$2:$M$137</definedName>
    <definedName name="Z_1DCC370E_2FC6_43E0_BC38_BCA3EE5D5128_.wvu.PrintArea" localSheetId="11" hidden="1">'7'!$B$2:$M$137</definedName>
    <definedName name="Z_1DCC370E_2FC6_43E0_BC38_BCA3EE5D5128_.wvu.PrintArea" localSheetId="12" hidden="1">'8'!$B$2:$M$137</definedName>
    <definedName name="Z_1DCC370E_2FC6_43E0_BC38_BCA3EE5D5128_.wvu.PrintArea" localSheetId="13" hidden="1">'9'!$B$2:$M$137</definedName>
    <definedName name="Z_3DB5A1E9_5856_4EA0_B7C8_5278BCF638C4_.wvu.PrintArea" localSheetId="4" hidden="1">'1'!$B$2:$M$137</definedName>
    <definedName name="Z_3DB5A1E9_5856_4EA0_B7C8_5278BCF638C4_.wvu.PrintArea" localSheetId="14" hidden="1">'10'!$B$2:$M$137</definedName>
    <definedName name="Z_3DB5A1E9_5856_4EA0_B7C8_5278BCF638C4_.wvu.PrintArea" localSheetId="15" hidden="1">'11'!$B$2:$M$137</definedName>
    <definedName name="Z_3DB5A1E9_5856_4EA0_B7C8_5278BCF638C4_.wvu.PrintArea" localSheetId="16" hidden="1">'12'!$B$2:$M$137</definedName>
    <definedName name="Z_3DB5A1E9_5856_4EA0_B7C8_5278BCF638C4_.wvu.PrintArea" localSheetId="17" hidden="1">'13'!$B$2:$M$137</definedName>
    <definedName name="Z_3DB5A1E9_5856_4EA0_B7C8_5278BCF638C4_.wvu.PrintArea" localSheetId="18" hidden="1">'14'!$B$2:$M$137</definedName>
    <definedName name="Z_3DB5A1E9_5856_4EA0_B7C8_5278BCF638C4_.wvu.PrintArea" localSheetId="19" hidden="1">'15'!$B$2:$M$137</definedName>
    <definedName name="Z_3DB5A1E9_5856_4EA0_B7C8_5278BCF638C4_.wvu.PrintArea" localSheetId="20" hidden="1">'16'!$B$2:$M$137</definedName>
    <definedName name="Z_3DB5A1E9_5856_4EA0_B7C8_5278BCF638C4_.wvu.PrintArea" localSheetId="21" hidden="1">'17'!$B$2:$M$137</definedName>
    <definedName name="Z_3DB5A1E9_5856_4EA0_B7C8_5278BCF638C4_.wvu.PrintArea" localSheetId="22" hidden="1">'18'!$B$2:$M$137</definedName>
    <definedName name="Z_3DB5A1E9_5856_4EA0_B7C8_5278BCF638C4_.wvu.PrintArea" localSheetId="23" hidden="1">'19'!$B$2:$M$137</definedName>
    <definedName name="Z_3DB5A1E9_5856_4EA0_B7C8_5278BCF638C4_.wvu.PrintArea" localSheetId="5" hidden="1">'2'!$B$2:$M$137</definedName>
    <definedName name="Z_3DB5A1E9_5856_4EA0_B7C8_5278BCF638C4_.wvu.PrintArea" localSheetId="24" hidden="1">'20'!$B$2:$M$137</definedName>
    <definedName name="Z_3DB5A1E9_5856_4EA0_B7C8_5278BCF638C4_.wvu.PrintArea" localSheetId="25" hidden="1">'21'!$B$2:$M$137</definedName>
    <definedName name="Z_3DB5A1E9_5856_4EA0_B7C8_5278BCF638C4_.wvu.PrintArea" localSheetId="26" hidden="1">'22'!$B$2:$M$137</definedName>
    <definedName name="Z_3DB5A1E9_5856_4EA0_B7C8_5278BCF638C4_.wvu.PrintArea" localSheetId="27" hidden="1">'23'!$B$2:$M$137</definedName>
    <definedName name="Z_3DB5A1E9_5856_4EA0_B7C8_5278BCF638C4_.wvu.PrintArea" localSheetId="28" hidden="1">'24'!$B$2:$M$137</definedName>
    <definedName name="Z_3DB5A1E9_5856_4EA0_B7C8_5278BCF638C4_.wvu.PrintArea" localSheetId="29" hidden="1">'25'!$B$2:$M$137</definedName>
    <definedName name="Z_3DB5A1E9_5856_4EA0_B7C8_5278BCF638C4_.wvu.PrintArea" localSheetId="30" hidden="1">'26'!$B$2:$M$137</definedName>
    <definedName name="Z_3DB5A1E9_5856_4EA0_B7C8_5278BCF638C4_.wvu.PrintArea" localSheetId="34" hidden="1">'27'!$B$2:$M$137</definedName>
    <definedName name="Z_3DB5A1E9_5856_4EA0_B7C8_5278BCF638C4_.wvu.PrintArea" localSheetId="35" hidden="1">'28'!$B$2:$M$137</definedName>
    <definedName name="Z_3DB5A1E9_5856_4EA0_B7C8_5278BCF638C4_.wvu.PrintArea" localSheetId="36" hidden="1">'29'!$B$2:$M$137</definedName>
    <definedName name="Z_3DB5A1E9_5856_4EA0_B7C8_5278BCF638C4_.wvu.PrintArea" localSheetId="6" hidden="1">'3'!$B$2:$M$137</definedName>
    <definedName name="Z_3DB5A1E9_5856_4EA0_B7C8_5278BCF638C4_.wvu.PrintArea" localSheetId="37" hidden="1">'30'!$B$2:$M$137</definedName>
    <definedName name="Z_3DB5A1E9_5856_4EA0_B7C8_5278BCF638C4_.wvu.PrintArea" localSheetId="38" hidden="1">'31'!$B$2:$M$137</definedName>
    <definedName name="Z_3DB5A1E9_5856_4EA0_B7C8_5278BCF638C4_.wvu.PrintArea" localSheetId="7" hidden="1">'4'!$B$2:$M$137</definedName>
    <definedName name="Z_3DB5A1E9_5856_4EA0_B7C8_5278BCF638C4_.wvu.PrintArea" localSheetId="8" hidden="1">'5'!$B$2:$M$137</definedName>
    <definedName name="Z_3DB5A1E9_5856_4EA0_B7C8_5278BCF638C4_.wvu.PrintArea" localSheetId="10" hidden="1">'6'!$B$2:$M$137</definedName>
    <definedName name="Z_3DB5A1E9_5856_4EA0_B7C8_5278BCF638C4_.wvu.PrintArea" localSheetId="11" hidden="1">'7'!$B$2:$M$137</definedName>
    <definedName name="Z_3DB5A1E9_5856_4EA0_B7C8_5278BCF638C4_.wvu.PrintArea" localSheetId="12" hidden="1">'8'!$B$2:$M$137</definedName>
    <definedName name="Z_3DB5A1E9_5856_4EA0_B7C8_5278BCF638C4_.wvu.PrintArea" localSheetId="13" hidden="1">'9'!$B$2:$M$137</definedName>
    <definedName name="Z_40817DC6_4291_4A72_AC70_E8710064089B_.wvu.PrintArea" localSheetId="4" hidden="1">'1'!$B$2:$M$137</definedName>
    <definedName name="Z_40817DC6_4291_4A72_AC70_E8710064089B_.wvu.PrintArea" localSheetId="14" hidden="1">'10'!$B$2:$M$137</definedName>
    <definedName name="Z_40817DC6_4291_4A72_AC70_E8710064089B_.wvu.PrintArea" localSheetId="15" hidden="1">'11'!$B$2:$M$137</definedName>
    <definedName name="Z_40817DC6_4291_4A72_AC70_E8710064089B_.wvu.PrintArea" localSheetId="16" hidden="1">'12'!$B$2:$M$137</definedName>
    <definedName name="Z_40817DC6_4291_4A72_AC70_E8710064089B_.wvu.PrintArea" localSheetId="17" hidden="1">'13'!$B$2:$M$137</definedName>
    <definedName name="Z_40817DC6_4291_4A72_AC70_E8710064089B_.wvu.PrintArea" localSheetId="18" hidden="1">'14'!$B$2:$M$137</definedName>
    <definedName name="Z_40817DC6_4291_4A72_AC70_E8710064089B_.wvu.PrintArea" localSheetId="19" hidden="1">'15'!$B$2:$M$137</definedName>
    <definedName name="Z_40817DC6_4291_4A72_AC70_E8710064089B_.wvu.PrintArea" localSheetId="20" hidden="1">'16'!$B$2:$M$137</definedName>
    <definedName name="Z_40817DC6_4291_4A72_AC70_E8710064089B_.wvu.PrintArea" localSheetId="21" hidden="1">'17'!$B$2:$M$137</definedName>
    <definedName name="Z_40817DC6_4291_4A72_AC70_E8710064089B_.wvu.PrintArea" localSheetId="22" hidden="1">'18'!$B$2:$M$137</definedName>
    <definedName name="Z_40817DC6_4291_4A72_AC70_E8710064089B_.wvu.PrintArea" localSheetId="23" hidden="1">'19'!$B$2:$M$137</definedName>
    <definedName name="Z_40817DC6_4291_4A72_AC70_E8710064089B_.wvu.PrintArea" localSheetId="5" hidden="1">'2'!$B$2:$M$137</definedName>
    <definedName name="Z_40817DC6_4291_4A72_AC70_E8710064089B_.wvu.PrintArea" localSheetId="24" hidden="1">'20'!$B$2:$M$137</definedName>
    <definedName name="Z_40817DC6_4291_4A72_AC70_E8710064089B_.wvu.PrintArea" localSheetId="25" hidden="1">'21'!$B$2:$M$137</definedName>
    <definedName name="Z_40817DC6_4291_4A72_AC70_E8710064089B_.wvu.PrintArea" localSheetId="26" hidden="1">'22'!$B$2:$M$137</definedName>
    <definedName name="Z_40817DC6_4291_4A72_AC70_E8710064089B_.wvu.PrintArea" localSheetId="27" hidden="1">'23'!$B$2:$M$137</definedName>
    <definedName name="Z_40817DC6_4291_4A72_AC70_E8710064089B_.wvu.PrintArea" localSheetId="28" hidden="1">'24'!$B$2:$M$137</definedName>
    <definedName name="Z_40817DC6_4291_4A72_AC70_E8710064089B_.wvu.PrintArea" localSheetId="29" hidden="1">'25'!$B$2:$M$137</definedName>
    <definedName name="Z_40817DC6_4291_4A72_AC70_E8710064089B_.wvu.PrintArea" localSheetId="30" hidden="1">'26'!$B$2:$M$137</definedName>
    <definedName name="Z_40817DC6_4291_4A72_AC70_E8710064089B_.wvu.PrintArea" localSheetId="34" hidden="1">'27'!$B$2:$M$137</definedName>
    <definedName name="Z_40817DC6_4291_4A72_AC70_E8710064089B_.wvu.PrintArea" localSheetId="35" hidden="1">'28'!$B$2:$M$137</definedName>
    <definedName name="Z_40817DC6_4291_4A72_AC70_E8710064089B_.wvu.PrintArea" localSheetId="36" hidden="1">'29'!$B$2:$M$137</definedName>
    <definedName name="Z_40817DC6_4291_4A72_AC70_E8710064089B_.wvu.PrintArea" localSheetId="6" hidden="1">'3'!$B$2:$M$137</definedName>
    <definedName name="Z_40817DC6_4291_4A72_AC70_E8710064089B_.wvu.PrintArea" localSheetId="37" hidden="1">'30'!$B$2:$M$137</definedName>
    <definedName name="Z_40817DC6_4291_4A72_AC70_E8710064089B_.wvu.PrintArea" localSheetId="38" hidden="1">'31'!$B$2:$M$137</definedName>
    <definedName name="Z_40817DC6_4291_4A72_AC70_E8710064089B_.wvu.PrintArea" localSheetId="7" hidden="1">'4'!$B$2:$M$137</definedName>
    <definedName name="Z_40817DC6_4291_4A72_AC70_E8710064089B_.wvu.PrintArea" localSheetId="8" hidden="1">'5'!$B$2:$M$137</definedName>
    <definedName name="Z_40817DC6_4291_4A72_AC70_E8710064089B_.wvu.PrintArea" localSheetId="10" hidden="1">'6'!$B$2:$M$137</definedName>
    <definedName name="Z_40817DC6_4291_4A72_AC70_E8710064089B_.wvu.PrintArea" localSheetId="11" hidden="1">'7'!$B$2:$M$137</definedName>
    <definedName name="Z_40817DC6_4291_4A72_AC70_E8710064089B_.wvu.PrintArea" localSheetId="12" hidden="1">'8'!$B$2:$M$137</definedName>
    <definedName name="Z_40817DC6_4291_4A72_AC70_E8710064089B_.wvu.PrintArea" localSheetId="13" hidden="1">'9'!$B$2:$M$137</definedName>
    <definedName name="Z_40817DC6_4291_4A72_AC70_E8710064089B_.wvu.PrintArea" localSheetId="1" hidden="1">'Summary (2)'!$B$4:$P$38</definedName>
    <definedName name="Z_55B393C6_D96A_4245_BC73_FC5790070AA2_.wvu.PrintArea" localSheetId="4" hidden="1">'1'!$B$2:$M$137</definedName>
    <definedName name="Z_55B393C6_D96A_4245_BC73_FC5790070AA2_.wvu.PrintArea" localSheetId="14" hidden="1">'10'!$B$2:$M$137</definedName>
    <definedName name="Z_55B393C6_D96A_4245_BC73_FC5790070AA2_.wvu.PrintArea" localSheetId="15" hidden="1">'11'!$B$2:$M$137</definedName>
    <definedName name="Z_55B393C6_D96A_4245_BC73_FC5790070AA2_.wvu.PrintArea" localSheetId="16" hidden="1">'12'!$B$2:$M$137</definedName>
    <definedName name="Z_55B393C6_D96A_4245_BC73_FC5790070AA2_.wvu.PrintArea" localSheetId="17" hidden="1">'13'!$B$2:$M$137</definedName>
    <definedName name="Z_55B393C6_D96A_4245_BC73_FC5790070AA2_.wvu.PrintArea" localSheetId="18" hidden="1">'14'!$B$2:$M$137</definedName>
    <definedName name="Z_55B393C6_D96A_4245_BC73_FC5790070AA2_.wvu.PrintArea" localSheetId="19" hidden="1">'15'!$B$2:$M$137</definedName>
    <definedName name="Z_55B393C6_D96A_4245_BC73_FC5790070AA2_.wvu.PrintArea" localSheetId="20" hidden="1">'16'!$B$2:$M$137</definedName>
    <definedName name="Z_55B393C6_D96A_4245_BC73_FC5790070AA2_.wvu.PrintArea" localSheetId="21" hidden="1">'17'!$B$2:$M$137</definedName>
    <definedName name="Z_55B393C6_D96A_4245_BC73_FC5790070AA2_.wvu.PrintArea" localSheetId="22" hidden="1">'18'!$B$2:$M$137</definedName>
    <definedName name="Z_55B393C6_D96A_4245_BC73_FC5790070AA2_.wvu.PrintArea" localSheetId="23" hidden="1">'19'!$B$2:$M$137</definedName>
    <definedName name="Z_55B393C6_D96A_4245_BC73_FC5790070AA2_.wvu.PrintArea" localSheetId="5" hidden="1">'2'!$B$2:$M$137</definedName>
    <definedName name="Z_55B393C6_D96A_4245_BC73_FC5790070AA2_.wvu.PrintArea" localSheetId="24" hidden="1">'20'!$B$2:$M$137</definedName>
    <definedName name="Z_55B393C6_D96A_4245_BC73_FC5790070AA2_.wvu.PrintArea" localSheetId="25" hidden="1">'21'!$B$2:$M$137</definedName>
    <definedName name="Z_55B393C6_D96A_4245_BC73_FC5790070AA2_.wvu.PrintArea" localSheetId="26" hidden="1">'22'!$B$2:$M$137</definedName>
    <definedName name="Z_55B393C6_D96A_4245_BC73_FC5790070AA2_.wvu.PrintArea" localSheetId="27" hidden="1">'23'!$B$2:$M$137</definedName>
    <definedName name="Z_55B393C6_D96A_4245_BC73_FC5790070AA2_.wvu.PrintArea" localSheetId="28" hidden="1">'24'!$B$2:$M$137</definedName>
    <definedName name="Z_55B393C6_D96A_4245_BC73_FC5790070AA2_.wvu.PrintArea" localSheetId="29" hidden="1">'25'!$B$2:$M$137</definedName>
    <definedName name="Z_55B393C6_D96A_4245_BC73_FC5790070AA2_.wvu.PrintArea" localSheetId="30" hidden="1">'26'!$B$2:$M$137</definedName>
    <definedName name="Z_55B393C6_D96A_4245_BC73_FC5790070AA2_.wvu.PrintArea" localSheetId="34" hidden="1">'27'!$B$2:$M$137</definedName>
    <definedName name="Z_55B393C6_D96A_4245_BC73_FC5790070AA2_.wvu.PrintArea" localSheetId="35" hidden="1">'28'!$B$2:$M$137</definedName>
    <definedName name="Z_55B393C6_D96A_4245_BC73_FC5790070AA2_.wvu.PrintArea" localSheetId="36" hidden="1">'29'!$B$2:$M$137</definedName>
    <definedName name="Z_55B393C6_D96A_4245_BC73_FC5790070AA2_.wvu.PrintArea" localSheetId="6" hidden="1">'3'!$B$2:$M$137</definedName>
    <definedName name="Z_55B393C6_D96A_4245_BC73_FC5790070AA2_.wvu.PrintArea" localSheetId="37" hidden="1">'30'!$B$2:$M$137</definedName>
    <definedName name="Z_55B393C6_D96A_4245_BC73_FC5790070AA2_.wvu.PrintArea" localSheetId="38" hidden="1">'31'!$B$2:$M$137</definedName>
    <definedName name="Z_55B393C6_D96A_4245_BC73_FC5790070AA2_.wvu.PrintArea" localSheetId="7" hidden="1">'4'!$B$2:$M$137</definedName>
    <definedName name="Z_55B393C6_D96A_4245_BC73_FC5790070AA2_.wvu.PrintArea" localSheetId="8" hidden="1">'5'!$B$2:$M$137</definedName>
    <definedName name="Z_55B393C6_D96A_4245_BC73_FC5790070AA2_.wvu.PrintArea" localSheetId="10" hidden="1">'6'!$B$2:$M$137</definedName>
    <definedName name="Z_55B393C6_D96A_4245_BC73_FC5790070AA2_.wvu.PrintArea" localSheetId="11" hidden="1">'7'!$B$2:$M$137</definedName>
    <definedName name="Z_55B393C6_D96A_4245_BC73_FC5790070AA2_.wvu.PrintArea" localSheetId="12" hidden="1">'8'!$B$2:$M$137</definedName>
    <definedName name="Z_55B393C6_D96A_4245_BC73_FC5790070AA2_.wvu.PrintArea" localSheetId="13" hidden="1">'9'!$B$2:$M$137</definedName>
    <definedName name="Z_55B393C6_D96A_4245_BC73_FC5790070AA2_.wvu.PrintArea" localSheetId="1" hidden="1">'Summary (2)'!$B$4:$P$38</definedName>
    <definedName name="Z_9C22FFE9_00CF_47D0_BD99_D84A00825140_.wvu.PrintArea" localSheetId="4" hidden="1">'1'!$B$2:$M$137</definedName>
    <definedName name="Z_9C22FFE9_00CF_47D0_BD99_D84A00825140_.wvu.PrintArea" localSheetId="14" hidden="1">'10'!$B$2:$M$137</definedName>
    <definedName name="Z_9C22FFE9_00CF_47D0_BD99_D84A00825140_.wvu.PrintArea" localSheetId="15" hidden="1">'11'!$B$2:$M$137</definedName>
    <definedName name="Z_9C22FFE9_00CF_47D0_BD99_D84A00825140_.wvu.PrintArea" localSheetId="16" hidden="1">'12'!$B$2:$M$137</definedName>
    <definedName name="Z_9C22FFE9_00CF_47D0_BD99_D84A00825140_.wvu.PrintArea" localSheetId="17" hidden="1">'13'!$B$2:$M$137</definedName>
    <definedName name="Z_9C22FFE9_00CF_47D0_BD99_D84A00825140_.wvu.PrintArea" localSheetId="18" hidden="1">'14'!$B$2:$M$137</definedName>
    <definedName name="Z_9C22FFE9_00CF_47D0_BD99_D84A00825140_.wvu.PrintArea" localSheetId="19" hidden="1">'15'!$B$2:$M$137</definedName>
    <definedName name="Z_9C22FFE9_00CF_47D0_BD99_D84A00825140_.wvu.PrintArea" localSheetId="20" hidden="1">'16'!$B$2:$M$137</definedName>
    <definedName name="Z_9C22FFE9_00CF_47D0_BD99_D84A00825140_.wvu.PrintArea" localSheetId="21" hidden="1">'17'!$B$2:$M$137</definedName>
    <definedName name="Z_9C22FFE9_00CF_47D0_BD99_D84A00825140_.wvu.PrintArea" localSheetId="22" hidden="1">'18'!$B$2:$M$137</definedName>
    <definedName name="Z_9C22FFE9_00CF_47D0_BD99_D84A00825140_.wvu.PrintArea" localSheetId="23" hidden="1">'19'!$B$2:$M$137</definedName>
    <definedName name="Z_9C22FFE9_00CF_47D0_BD99_D84A00825140_.wvu.PrintArea" localSheetId="5" hidden="1">'2'!$B$2:$M$137</definedName>
    <definedName name="Z_9C22FFE9_00CF_47D0_BD99_D84A00825140_.wvu.PrintArea" localSheetId="24" hidden="1">'20'!$B$2:$M$137</definedName>
    <definedName name="Z_9C22FFE9_00CF_47D0_BD99_D84A00825140_.wvu.PrintArea" localSheetId="25" hidden="1">'21'!$B$2:$M$137</definedName>
    <definedName name="Z_9C22FFE9_00CF_47D0_BD99_D84A00825140_.wvu.PrintArea" localSheetId="26" hidden="1">'22'!$B$2:$M$137</definedName>
    <definedName name="Z_9C22FFE9_00CF_47D0_BD99_D84A00825140_.wvu.PrintArea" localSheetId="27" hidden="1">'23'!$B$2:$M$137</definedName>
    <definedName name="Z_9C22FFE9_00CF_47D0_BD99_D84A00825140_.wvu.PrintArea" localSheetId="28" hidden="1">'24'!$B$2:$M$137</definedName>
    <definedName name="Z_9C22FFE9_00CF_47D0_BD99_D84A00825140_.wvu.PrintArea" localSheetId="29" hidden="1">'25'!$B$2:$M$137</definedName>
    <definedName name="Z_9C22FFE9_00CF_47D0_BD99_D84A00825140_.wvu.PrintArea" localSheetId="30" hidden="1">'26'!$B$2:$M$137</definedName>
    <definedName name="Z_9C22FFE9_00CF_47D0_BD99_D84A00825140_.wvu.PrintArea" localSheetId="34" hidden="1">'27'!$B$2:$M$137</definedName>
    <definedName name="Z_9C22FFE9_00CF_47D0_BD99_D84A00825140_.wvu.PrintArea" localSheetId="35" hidden="1">'28'!$B$2:$M$137</definedName>
    <definedName name="Z_9C22FFE9_00CF_47D0_BD99_D84A00825140_.wvu.PrintArea" localSheetId="36" hidden="1">'29'!$B$2:$M$137</definedName>
    <definedName name="Z_9C22FFE9_00CF_47D0_BD99_D84A00825140_.wvu.PrintArea" localSheetId="6" hidden="1">'3'!$B$2:$M$137</definedName>
    <definedName name="Z_9C22FFE9_00CF_47D0_BD99_D84A00825140_.wvu.PrintArea" localSheetId="37" hidden="1">'30'!$B$2:$M$137</definedName>
    <definedName name="Z_9C22FFE9_00CF_47D0_BD99_D84A00825140_.wvu.PrintArea" localSheetId="38" hidden="1">'31'!$B$2:$M$137</definedName>
    <definedName name="Z_9C22FFE9_00CF_47D0_BD99_D84A00825140_.wvu.PrintArea" localSheetId="7" hidden="1">'4'!$B$2:$M$137</definedName>
    <definedName name="Z_9C22FFE9_00CF_47D0_BD99_D84A00825140_.wvu.PrintArea" localSheetId="8" hidden="1">'5'!$B$2:$M$137</definedName>
    <definedName name="Z_9C22FFE9_00CF_47D0_BD99_D84A00825140_.wvu.PrintArea" localSheetId="10" hidden="1">'6'!$B$2:$M$137</definedName>
    <definedName name="Z_9C22FFE9_00CF_47D0_BD99_D84A00825140_.wvu.PrintArea" localSheetId="11" hidden="1">'7'!$B$2:$M$137</definedName>
    <definedName name="Z_9C22FFE9_00CF_47D0_BD99_D84A00825140_.wvu.PrintArea" localSheetId="12" hidden="1">'8'!$B$2:$M$137</definedName>
    <definedName name="Z_9C22FFE9_00CF_47D0_BD99_D84A00825140_.wvu.PrintArea" localSheetId="13" hidden="1">'9'!$B$2:$M$137</definedName>
    <definedName name="Z_9C22FFE9_00CF_47D0_BD99_D84A00825140_.wvu.PrintArea" localSheetId="1" hidden="1">'Summary (2)'!$B$4:$P$38</definedName>
    <definedName name="Z_BDCF2A7A_E9D7_4870_941D_0022D12BB670_.wvu.PrintArea" localSheetId="4" hidden="1">'1'!$B$2:$M$137</definedName>
    <definedName name="Z_BDCF2A7A_E9D7_4870_941D_0022D12BB670_.wvu.PrintArea" localSheetId="14" hidden="1">'10'!$B$2:$M$137</definedName>
    <definedName name="Z_BDCF2A7A_E9D7_4870_941D_0022D12BB670_.wvu.PrintArea" localSheetId="15" hidden="1">'11'!$B$2:$M$137</definedName>
    <definedName name="Z_BDCF2A7A_E9D7_4870_941D_0022D12BB670_.wvu.PrintArea" localSheetId="16" hidden="1">'12'!$B$2:$M$137</definedName>
    <definedName name="Z_BDCF2A7A_E9D7_4870_941D_0022D12BB670_.wvu.PrintArea" localSheetId="17" hidden="1">'13'!$B$2:$M$137</definedName>
    <definedName name="Z_BDCF2A7A_E9D7_4870_941D_0022D12BB670_.wvu.PrintArea" localSheetId="18" hidden="1">'14'!$B$2:$M$137</definedName>
    <definedName name="Z_BDCF2A7A_E9D7_4870_941D_0022D12BB670_.wvu.PrintArea" localSheetId="19" hidden="1">'15'!$B$2:$M$137</definedName>
    <definedName name="Z_BDCF2A7A_E9D7_4870_941D_0022D12BB670_.wvu.PrintArea" localSheetId="20" hidden="1">'16'!$B$2:$M$137</definedName>
    <definedName name="Z_BDCF2A7A_E9D7_4870_941D_0022D12BB670_.wvu.PrintArea" localSheetId="21" hidden="1">'17'!$B$2:$M$137</definedName>
    <definedName name="Z_BDCF2A7A_E9D7_4870_941D_0022D12BB670_.wvu.PrintArea" localSheetId="22" hidden="1">'18'!$B$2:$M$137</definedName>
    <definedName name="Z_BDCF2A7A_E9D7_4870_941D_0022D12BB670_.wvu.PrintArea" localSheetId="23" hidden="1">'19'!$B$2:$M$137</definedName>
    <definedName name="Z_BDCF2A7A_E9D7_4870_941D_0022D12BB670_.wvu.PrintArea" localSheetId="5" hidden="1">'2'!$B$2:$M$137</definedName>
    <definedName name="Z_BDCF2A7A_E9D7_4870_941D_0022D12BB670_.wvu.PrintArea" localSheetId="24" hidden="1">'20'!$B$2:$M$137</definedName>
    <definedName name="Z_BDCF2A7A_E9D7_4870_941D_0022D12BB670_.wvu.PrintArea" localSheetId="25" hidden="1">'21'!$B$2:$M$137</definedName>
    <definedName name="Z_BDCF2A7A_E9D7_4870_941D_0022D12BB670_.wvu.PrintArea" localSheetId="26" hidden="1">'22'!$B$2:$M$137</definedName>
    <definedName name="Z_BDCF2A7A_E9D7_4870_941D_0022D12BB670_.wvu.PrintArea" localSheetId="27" hidden="1">'23'!$B$2:$M$137</definedName>
    <definedName name="Z_BDCF2A7A_E9D7_4870_941D_0022D12BB670_.wvu.PrintArea" localSheetId="28" hidden="1">'24'!$B$2:$M$137</definedName>
    <definedName name="Z_BDCF2A7A_E9D7_4870_941D_0022D12BB670_.wvu.PrintArea" localSheetId="29" hidden="1">'25'!$B$2:$M$137</definedName>
    <definedName name="Z_BDCF2A7A_E9D7_4870_941D_0022D12BB670_.wvu.PrintArea" localSheetId="30" hidden="1">'26'!$B$2:$M$137</definedName>
    <definedName name="Z_BDCF2A7A_E9D7_4870_941D_0022D12BB670_.wvu.PrintArea" localSheetId="34" hidden="1">'27'!$B$2:$M$137</definedName>
    <definedName name="Z_BDCF2A7A_E9D7_4870_941D_0022D12BB670_.wvu.PrintArea" localSheetId="35" hidden="1">'28'!$B$2:$M$137</definedName>
    <definedName name="Z_BDCF2A7A_E9D7_4870_941D_0022D12BB670_.wvu.PrintArea" localSheetId="36" hidden="1">'29'!$B$2:$M$137</definedName>
    <definedName name="Z_BDCF2A7A_E9D7_4870_941D_0022D12BB670_.wvu.PrintArea" localSheetId="6" hidden="1">'3'!$B$2:$M$137</definedName>
    <definedName name="Z_BDCF2A7A_E9D7_4870_941D_0022D12BB670_.wvu.PrintArea" localSheetId="37" hidden="1">'30'!$B$2:$M$137</definedName>
    <definedName name="Z_BDCF2A7A_E9D7_4870_941D_0022D12BB670_.wvu.PrintArea" localSheetId="38" hidden="1">'31'!$B$2:$M$137</definedName>
    <definedName name="Z_BDCF2A7A_E9D7_4870_941D_0022D12BB670_.wvu.PrintArea" localSheetId="7" hidden="1">'4'!$B$2:$M$137</definedName>
    <definedName name="Z_BDCF2A7A_E9D7_4870_941D_0022D12BB670_.wvu.PrintArea" localSheetId="8" hidden="1">'5'!$B$2:$M$137</definedName>
    <definedName name="Z_BDCF2A7A_E9D7_4870_941D_0022D12BB670_.wvu.PrintArea" localSheetId="10" hidden="1">'6'!$B$2:$M$137</definedName>
    <definedName name="Z_BDCF2A7A_E9D7_4870_941D_0022D12BB670_.wvu.PrintArea" localSheetId="11" hidden="1">'7'!$B$2:$M$137</definedName>
    <definedName name="Z_BDCF2A7A_E9D7_4870_941D_0022D12BB670_.wvu.PrintArea" localSheetId="12" hidden="1">'8'!$B$2:$M$137</definedName>
    <definedName name="Z_BDCF2A7A_E9D7_4870_941D_0022D12BB670_.wvu.PrintArea" localSheetId="13" hidden="1">'9'!$B$2:$M$137</definedName>
    <definedName name="Z_C5333697_7BE7_4020_97A4_B735E526926D_.wvu.PrintArea" localSheetId="4" hidden="1">'1'!$B$2:$M$137</definedName>
    <definedName name="Z_C5333697_7BE7_4020_97A4_B735E526926D_.wvu.PrintArea" localSheetId="14" hidden="1">'10'!$B$2:$M$137</definedName>
    <definedName name="Z_C5333697_7BE7_4020_97A4_B735E526926D_.wvu.PrintArea" localSheetId="15" hidden="1">'11'!$B$2:$M$137</definedName>
    <definedName name="Z_C5333697_7BE7_4020_97A4_B735E526926D_.wvu.PrintArea" localSheetId="16" hidden="1">'12'!$B$2:$M$137</definedName>
    <definedName name="Z_C5333697_7BE7_4020_97A4_B735E526926D_.wvu.PrintArea" localSheetId="17" hidden="1">'13'!$B$2:$M$137</definedName>
    <definedName name="Z_C5333697_7BE7_4020_97A4_B735E526926D_.wvu.PrintArea" localSheetId="18" hidden="1">'14'!$B$2:$M$137</definedName>
    <definedName name="Z_C5333697_7BE7_4020_97A4_B735E526926D_.wvu.PrintArea" localSheetId="19" hidden="1">'15'!$B$2:$M$137</definedName>
    <definedName name="Z_C5333697_7BE7_4020_97A4_B735E526926D_.wvu.PrintArea" localSheetId="20" hidden="1">'16'!$B$2:$M$137</definedName>
    <definedName name="Z_C5333697_7BE7_4020_97A4_B735E526926D_.wvu.PrintArea" localSheetId="21" hidden="1">'17'!$B$2:$M$137</definedName>
    <definedName name="Z_C5333697_7BE7_4020_97A4_B735E526926D_.wvu.PrintArea" localSheetId="22" hidden="1">'18'!$B$2:$M$137</definedName>
    <definedName name="Z_C5333697_7BE7_4020_97A4_B735E526926D_.wvu.PrintArea" localSheetId="23" hidden="1">'19'!$B$2:$M$137</definedName>
    <definedName name="Z_C5333697_7BE7_4020_97A4_B735E526926D_.wvu.PrintArea" localSheetId="5" hidden="1">'2'!$B$2:$M$137</definedName>
    <definedName name="Z_C5333697_7BE7_4020_97A4_B735E526926D_.wvu.PrintArea" localSheetId="24" hidden="1">'20'!$B$2:$M$137</definedName>
    <definedName name="Z_C5333697_7BE7_4020_97A4_B735E526926D_.wvu.PrintArea" localSheetId="25" hidden="1">'21'!$B$2:$M$137</definedName>
    <definedName name="Z_C5333697_7BE7_4020_97A4_B735E526926D_.wvu.PrintArea" localSheetId="26" hidden="1">'22'!$B$2:$M$137</definedName>
    <definedName name="Z_C5333697_7BE7_4020_97A4_B735E526926D_.wvu.PrintArea" localSheetId="27" hidden="1">'23'!$B$2:$M$137</definedName>
    <definedName name="Z_C5333697_7BE7_4020_97A4_B735E526926D_.wvu.PrintArea" localSheetId="28" hidden="1">'24'!$B$2:$M$137</definedName>
    <definedName name="Z_C5333697_7BE7_4020_97A4_B735E526926D_.wvu.PrintArea" localSheetId="29" hidden="1">'25'!$B$2:$M$137</definedName>
    <definedName name="Z_C5333697_7BE7_4020_97A4_B735E526926D_.wvu.PrintArea" localSheetId="30" hidden="1">'26'!$B$2:$M$137</definedName>
    <definedName name="Z_C5333697_7BE7_4020_97A4_B735E526926D_.wvu.PrintArea" localSheetId="34" hidden="1">'27'!$B$2:$M$137</definedName>
    <definedName name="Z_C5333697_7BE7_4020_97A4_B735E526926D_.wvu.PrintArea" localSheetId="35" hidden="1">'28'!$B$2:$M$137</definedName>
    <definedName name="Z_C5333697_7BE7_4020_97A4_B735E526926D_.wvu.PrintArea" localSheetId="36" hidden="1">'29'!$B$2:$M$137</definedName>
    <definedName name="Z_C5333697_7BE7_4020_97A4_B735E526926D_.wvu.PrintArea" localSheetId="6" hidden="1">'3'!$B$2:$M$137</definedName>
    <definedName name="Z_C5333697_7BE7_4020_97A4_B735E526926D_.wvu.PrintArea" localSheetId="37" hidden="1">'30'!$B$2:$M$137</definedName>
    <definedName name="Z_C5333697_7BE7_4020_97A4_B735E526926D_.wvu.PrintArea" localSheetId="38" hidden="1">'31'!$B$2:$M$137</definedName>
    <definedName name="Z_C5333697_7BE7_4020_97A4_B735E526926D_.wvu.PrintArea" localSheetId="7" hidden="1">'4'!$B$2:$M$137</definedName>
    <definedName name="Z_C5333697_7BE7_4020_97A4_B735E526926D_.wvu.PrintArea" localSheetId="8" hidden="1">'5'!$B$2:$M$137</definedName>
    <definedName name="Z_C5333697_7BE7_4020_97A4_B735E526926D_.wvu.PrintArea" localSheetId="10" hidden="1">'6'!$B$2:$M$137</definedName>
    <definedName name="Z_C5333697_7BE7_4020_97A4_B735E526926D_.wvu.PrintArea" localSheetId="11" hidden="1">'7'!$B$2:$M$137</definedName>
    <definedName name="Z_C5333697_7BE7_4020_97A4_B735E526926D_.wvu.PrintArea" localSheetId="12" hidden="1">'8'!$B$2:$M$137</definedName>
    <definedName name="Z_C5333697_7BE7_4020_97A4_B735E526926D_.wvu.PrintArea" localSheetId="13" hidden="1">'9'!$B$2:$M$137</definedName>
    <definedName name="Z_C5333697_7BE7_4020_97A4_B735E526926D_.wvu.PrintArea" localSheetId="1" hidden="1">'Summary (2)'!$B$4:$P$38</definedName>
    <definedName name="Z_C7D8C3A9_FB79_4D22_935E_FEFA619A3CE5_.wvu.PrintArea" localSheetId="4" hidden="1">'1'!$B$2:$M$137</definedName>
    <definedName name="Z_C7D8C3A9_FB79_4D22_935E_FEFA619A3CE5_.wvu.PrintArea" localSheetId="14" hidden="1">'10'!$B$2:$M$137</definedName>
    <definedName name="Z_C7D8C3A9_FB79_4D22_935E_FEFA619A3CE5_.wvu.PrintArea" localSheetId="15" hidden="1">'11'!$B$2:$M$137</definedName>
    <definedName name="Z_C7D8C3A9_FB79_4D22_935E_FEFA619A3CE5_.wvu.PrintArea" localSheetId="16" hidden="1">'12'!$B$2:$M$137</definedName>
    <definedName name="Z_C7D8C3A9_FB79_4D22_935E_FEFA619A3CE5_.wvu.PrintArea" localSheetId="17" hidden="1">'13'!$B$2:$M$137</definedName>
    <definedName name="Z_C7D8C3A9_FB79_4D22_935E_FEFA619A3CE5_.wvu.PrintArea" localSheetId="18" hidden="1">'14'!$B$2:$M$137</definedName>
    <definedName name="Z_C7D8C3A9_FB79_4D22_935E_FEFA619A3CE5_.wvu.PrintArea" localSheetId="19" hidden="1">'15'!$B$2:$M$137</definedName>
    <definedName name="Z_C7D8C3A9_FB79_4D22_935E_FEFA619A3CE5_.wvu.PrintArea" localSheetId="20" hidden="1">'16'!$B$2:$M$137</definedName>
    <definedName name="Z_C7D8C3A9_FB79_4D22_935E_FEFA619A3CE5_.wvu.PrintArea" localSheetId="21" hidden="1">'17'!$B$2:$M$137</definedName>
    <definedName name="Z_C7D8C3A9_FB79_4D22_935E_FEFA619A3CE5_.wvu.PrintArea" localSheetId="22" hidden="1">'18'!$B$2:$M$137</definedName>
    <definedName name="Z_C7D8C3A9_FB79_4D22_935E_FEFA619A3CE5_.wvu.PrintArea" localSheetId="23" hidden="1">'19'!$B$2:$M$137</definedName>
    <definedName name="Z_C7D8C3A9_FB79_4D22_935E_FEFA619A3CE5_.wvu.PrintArea" localSheetId="5" hidden="1">'2'!$B$2:$M$137</definedName>
    <definedName name="Z_C7D8C3A9_FB79_4D22_935E_FEFA619A3CE5_.wvu.PrintArea" localSheetId="24" hidden="1">'20'!$B$2:$M$137</definedName>
    <definedName name="Z_C7D8C3A9_FB79_4D22_935E_FEFA619A3CE5_.wvu.PrintArea" localSheetId="25" hidden="1">'21'!$B$2:$M$137</definedName>
    <definedName name="Z_C7D8C3A9_FB79_4D22_935E_FEFA619A3CE5_.wvu.PrintArea" localSheetId="26" hidden="1">'22'!$B$2:$M$137</definedName>
    <definedName name="Z_C7D8C3A9_FB79_4D22_935E_FEFA619A3CE5_.wvu.PrintArea" localSheetId="27" hidden="1">'23'!$B$2:$M$137</definedName>
    <definedName name="Z_C7D8C3A9_FB79_4D22_935E_FEFA619A3CE5_.wvu.PrintArea" localSheetId="28" hidden="1">'24'!$B$2:$M$137</definedName>
    <definedName name="Z_C7D8C3A9_FB79_4D22_935E_FEFA619A3CE5_.wvu.PrintArea" localSheetId="29" hidden="1">'25'!$B$2:$M$137</definedName>
    <definedName name="Z_C7D8C3A9_FB79_4D22_935E_FEFA619A3CE5_.wvu.PrintArea" localSheetId="30" hidden="1">'26'!$B$2:$M$137</definedName>
    <definedName name="Z_C7D8C3A9_FB79_4D22_935E_FEFA619A3CE5_.wvu.PrintArea" localSheetId="34" hidden="1">'27'!$B$2:$M$137</definedName>
    <definedName name="Z_C7D8C3A9_FB79_4D22_935E_FEFA619A3CE5_.wvu.PrintArea" localSheetId="35" hidden="1">'28'!$B$2:$M$137</definedName>
    <definedName name="Z_C7D8C3A9_FB79_4D22_935E_FEFA619A3CE5_.wvu.PrintArea" localSheetId="36" hidden="1">'29'!$B$2:$M$137</definedName>
    <definedName name="Z_C7D8C3A9_FB79_4D22_935E_FEFA619A3CE5_.wvu.PrintArea" localSheetId="6" hidden="1">'3'!$B$2:$M$137</definedName>
    <definedName name="Z_C7D8C3A9_FB79_4D22_935E_FEFA619A3CE5_.wvu.PrintArea" localSheetId="37" hidden="1">'30'!$B$2:$M$137</definedName>
    <definedName name="Z_C7D8C3A9_FB79_4D22_935E_FEFA619A3CE5_.wvu.PrintArea" localSheetId="38" hidden="1">'31'!$B$2:$M$137</definedName>
    <definedName name="Z_C7D8C3A9_FB79_4D22_935E_FEFA619A3CE5_.wvu.PrintArea" localSheetId="7" hidden="1">'4'!$B$2:$M$137</definedName>
    <definedName name="Z_C7D8C3A9_FB79_4D22_935E_FEFA619A3CE5_.wvu.PrintArea" localSheetId="8" hidden="1">'5'!$B$2:$M$137</definedName>
    <definedName name="Z_C7D8C3A9_FB79_4D22_935E_FEFA619A3CE5_.wvu.PrintArea" localSheetId="10" hidden="1">'6'!$B$2:$M$137</definedName>
    <definedName name="Z_C7D8C3A9_FB79_4D22_935E_FEFA619A3CE5_.wvu.PrintArea" localSheetId="11" hidden="1">'7'!$B$2:$M$137</definedName>
    <definedName name="Z_C7D8C3A9_FB79_4D22_935E_FEFA619A3CE5_.wvu.PrintArea" localSheetId="12" hidden="1">'8'!$B$2:$M$137</definedName>
    <definedName name="Z_C7D8C3A9_FB79_4D22_935E_FEFA619A3CE5_.wvu.PrintArea" localSheetId="13" hidden="1">'9'!$B$2:$M$137</definedName>
    <definedName name="Z_C7D8C3A9_FB79_4D22_935E_FEFA619A3CE5_.wvu.PrintArea" localSheetId="1" hidden="1">'Summary (2)'!$B$4:$P$38</definedName>
    <definedName name="Z_F0BD4916_1611_48FD_8208_19E7D9B71F1A_.wvu.PrintArea" localSheetId="4" hidden="1">'1'!$B$2:$M$137</definedName>
    <definedName name="Z_F0BD4916_1611_48FD_8208_19E7D9B71F1A_.wvu.PrintArea" localSheetId="14" hidden="1">'10'!$B$2:$M$137</definedName>
    <definedName name="Z_F0BD4916_1611_48FD_8208_19E7D9B71F1A_.wvu.PrintArea" localSheetId="15" hidden="1">'11'!$B$2:$M$137</definedName>
    <definedName name="Z_F0BD4916_1611_48FD_8208_19E7D9B71F1A_.wvu.PrintArea" localSheetId="16" hidden="1">'12'!$B$2:$M$137</definedName>
    <definedName name="Z_F0BD4916_1611_48FD_8208_19E7D9B71F1A_.wvu.PrintArea" localSheetId="17" hidden="1">'13'!$B$2:$M$137</definedName>
    <definedName name="Z_F0BD4916_1611_48FD_8208_19E7D9B71F1A_.wvu.PrintArea" localSheetId="18" hidden="1">'14'!$B$2:$M$137</definedName>
    <definedName name="Z_F0BD4916_1611_48FD_8208_19E7D9B71F1A_.wvu.PrintArea" localSheetId="19" hidden="1">'15'!$B$2:$M$137</definedName>
    <definedName name="Z_F0BD4916_1611_48FD_8208_19E7D9B71F1A_.wvu.PrintArea" localSheetId="20" hidden="1">'16'!$B$2:$M$137</definedName>
    <definedName name="Z_F0BD4916_1611_48FD_8208_19E7D9B71F1A_.wvu.PrintArea" localSheetId="21" hidden="1">'17'!$B$2:$M$137</definedName>
    <definedName name="Z_F0BD4916_1611_48FD_8208_19E7D9B71F1A_.wvu.PrintArea" localSheetId="22" hidden="1">'18'!$B$2:$M$137</definedName>
    <definedName name="Z_F0BD4916_1611_48FD_8208_19E7D9B71F1A_.wvu.PrintArea" localSheetId="23" hidden="1">'19'!$B$2:$M$137</definedName>
    <definedName name="Z_F0BD4916_1611_48FD_8208_19E7D9B71F1A_.wvu.PrintArea" localSheetId="5" hidden="1">'2'!$B$2:$M$137</definedName>
    <definedName name="Z_F0BD4916_1611_48FD_8208_19E7D9B71F1A_.wvu.PrintArea" localSheetId="24" hidden="1">'20'!$B$2:$M$137</definedName>
    <definedName name="Z_F0BD4916_1611_48FD_8208_19E7D9B71F1A_.wvu.PrintArea" localSheetId="25" hidden="1">'21'!$B$2:$M$137</definedName>
    <definedName name="Z_F0BD4916_1611_48FD_8208_19E7D9B71F1A_.wvu.PrintArea" localSheetId="26" hidden="1">'22'!$B$2:$M$137</definedName>
    <definedName name="Z_F0BD4916_1611_48FD_8208_19E7D9B71F1A_.wvu.PrintArea" localSheetId="27" hidden="1">'23'!$B$2:$M$137</definedName>
    <definedName name="Z_F0BD4916_1611_48FD_8208_19E7D9B71F1A_.wvu.PrintArea" localSheetId="28" hidden="1">'24'!$B$2:$M$137</definedName>
    <definedName name="Z_F0BD4916_1611_48FD_8208_19E7D9B71F1A_.wvu.PrintArea" localSheetId="29" hidden="1">'25'!$B$2:$M$137</definedName>
    <definedName name="Z_F0BD4916_1611_48FD_8208_19E7D9B71F1A_.wvu.PrintArea" localSheetId="30" hidden="1">'26'!$B$2:$M$137</definedName>
    <definedName name="Z_F0BD4916_1611_48FD_8208_19E7D9B71F1A_.wvu.PrintArea" localSheetId="34" hidden="1">'27'!$B$2:$M$137</definedName>
    <definedName name="Z_F0BD4916_1611_48FD_8208_19E7D9B71F1A_.wvu.PrintArea" localSheetId="35" hidden="1">'28'!$B$2:$M$137</definedName>
    <definedName name="Z_F0BD4916_1611_48FD_8208_19E7D9B71F1A_.wvu.PrintArea" localSheetId="36" hidden="1">'29'!$B$2:$M$137</definedName>
    <definedName name="Z_F0BD4916_1611_48FD_8208_19E7D9B71F1A_.wvu.PrintArea" localSheetId="6" hidden="1">'3'!$B$2:$M$137</definedName>
    <definedName name="Z_F0BD4916_1611_48FD_8208_19E7D9B71F1A_.wvu.PrintArea" localSheetId="37" hidden="1">'30'!$B$2:$M$137</definedName>
    <definedName name="Z_F0BD4916_1611_48FD_8208_19E7D9B71F1A_.wvu.PrintArea" localSheetId="38" hidden="1">'31'!$B$2:$M$137</definedName>
    <definedName name="Z_F0BD4916_1611_48FD_8208_19E7D9B71F1A_.wvu.PrintArea" localSheetId="7" hidden="1">'4'!$B$2:$M$137</definedName>
    <definedName name="Z_F0BD4916_1611_48FD_8208_19E7D9B71F1A_.wvu.PrintArea" localSheetId="8" hidden="1">'5'!$B$2:$M$137</definedName>
    <definedName name="Z_F0BD4916_1611_48FD_8208_19E7D9B71F1A_.wvu.PrintArea" localSheetId="10" hidden="1">'6'!$B$2:$M$137</definedName>
    <definedName name="Z_F0BD4916_1611_48FD_8208_19E7D9B71F1A_.wvu.PrintArea" localSheetId="11" hidden="1">'7'!$B$2:$M$137</definedName>
    <definedName name="Z_F0BD4916_1611_48FD_8208_19E7D9B71F1A_.wvu.PrintArea" localSheetId="12" hidden="1">'8'!$B$2:$M$137</definedName>
    <definedName name="Z_F0BD4916_1611_48FD_8208_19E7D9B71F1A_.wvu.PrintArea" localSheetId="13" hidden="1">'9'!$B$2:$M$137</definedName>
  </definedNames>
  <calcPr calcId="191028"/>
  <customWorkbookViews>
    <customWorkbookView name="Syed Mohd Aiman Bin Syed Hassan - Personal View" guid="{40817DC6-4291-4A72-AC70-E8710064089B}" mergeInterval="0" personalView="1" maximized="1" xWindow="-8" yWindow="22" windowWidth="1616" windowHeight="886" tabRatio="959" activeSheetId="6"/>
    <customWorkbookView name="promode - Personal View" guid="{55B393C6-D96A-4245-BC73-FC5790070AA2}" mergeInterval="0" personalView="1" maximized="1" xWindow="-8" yWindow="-8" windowWidth="1296" windowHeight="1000" tabRatio="959" activeSheetId="6"/>
    <customWorkbookView name="Jaclyn Kelly Tay Shin Ying - Personal View" guid="{C5333697-7BE7-4020-97A4-B735E526926D}" mergeInterval="0" personalView="1" maximized="1" xWindow="-8" yWindow="-8" windowWidth="1382" windowHeight="744" tabRatio="924" activeSheetId="8"/>
    <customWorkbookView name="promode3 - Personal View" guid="{C7D8C3A9-FB79-4D22-935E-FEFA619A3CE5}" mergeInterval="0" personalView="1" maximized="1" xWindow="1" yWindow="1" windowWidth="1263" windowHeight="831" tabRatio="959" activeSheetId="26"/>
    <customWorkbookView name="Afrizal Bin Mohd Arifin - Personal View" guid="{1DCC370E-2FC6-43E0-BC38-BCA3EE5D5128}" mergeInterval="0" personalView="1" maximized="1" xWindow="-8" yWindow="-8" windowWidth="1382" windowHeight="744" tabRatio="959" activeSheetId="9"/>
    <customWorkbookView name="admin - Personal View" guid="{F0BD4916-1611-48FD-8208-19E7D9B71F1A}" mergeInterval="0" personalView="1" maximized="1" xWindow="-8" yWindow="-8" windowWidth="1382" windowHeight="744" tabRatio="959" activeSheetId="6"/>
    <customWorkbookView name="Mohamad Dzulmustaqim - Personal View" guid="{3DB5A1E9-5856-4EA0-B7C8-5278BCF638C4}" mergeInterval="0" personalView="1" maximized="1" xWindow="-9" yWindow="-9" windowWidth="1938" windowHeight="1048" tabRatio="959" activeSheetId="18"/>
    <customWorkbookView name="Zulkifli Bin Ismail - Personal View" guid="{BDCF2A7A-E9D7-4870-941D-0022D12BB670}" mergeInterval="0" personalView="1" maximized="1" xWindow="-8" yWindow="-8" windowWidth="1616" windowHeight="876" tabRatio="959" activeSheetId="22"/>
    <customWorkbookView name="Nur Fitriah Hani binti Zazali - Personal View" guid="{180A269B-7E32-4D24-945A-4A804FC4280D}" mergeInterval="0" personalView="1" maximized="1" xWindow="-8" yWindow="-8" windowWidth="1382" windowHeight="744" tabRatio="959" activeSheetId="7"/>
    <customWorkbookView name="Muhammad Nur Hakim Bin Jais - Personal View" guid="{9C22FFE9-00CF-47D0-BD99-D84A00825140}" mergeInterval="0" personalView="1" maximized="1" xWindow="-8" yWindow="-8" windowWidth="1382" windowHeight="744" tabRatio="959" activeSheetId="36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8" i="35" l="1"/>
  <c r="M58" i="31"/>
  <c r="M58" i="30"/>
  <c r="M58" i="35"/>
  <c r="N59" i="35"/>
  <c r="I38" i="34"/>
  <c r="M58" i="34"/>
  <c r="N59" i="34"/>
  <c r="M58" i="33"/>
  <c r="N59" i="33"/>
  <c r="M58" i="32"/>
  <c r="L58" i="32"/>
  <c r="H15" i="30"/>
  <c r="M58" i="29"/>
  <c r="N59" i="29"/>
  <c r="M58" i="28"/>
  <c r="M58" i="27"/>
  <c r="M58" i="26"/>
  <c r="N59" i="26"/>
  <c r="M58" i="23"/>
  <c r="N59" i="23"/>
  <c r="M58" i="24"/>
  <c r="N59" i="24"/>
  <c r="M58" i="25"/>
  <c r="M58" i="22"/>
  <c r="N59" i="22"/>
  <c r="M58" i="20"/>
  <c r="N59" i="20"/>
  <c r="M58" i="21"/>
  <c r="N59" i="21"/>
  <c r="M58" i="19"/>
  <c r="N59" i="19"/>
  <c r="M58" i="16"/>
  <c r="N59" i="16"/>
  <c r="M58" i="17"/>
  <c r="N59" i="17"/>
  <c r="M58" i="18"/>
  <c r="N59" i="18"/>
  <c r="M58" i="15"/>
  <c r="N59" i="15"/>
  <c r="K2" i="6"/>
  <c r="I41" i="14"/>
  <c r="M58" i="14"/>
  <c r="L58" i="14"/>
  <c r="AA20" i="41"/>
  <c r="X20" i="41"/>
  <c r="M58" i="13"/>
  <c r="L58" i="13"/>
  <c r="N59" i="8"/>
  <c r="M58" i="11"/>
  <c r="O20" i="41"/>
  <c r="R20" i="41"/>
  <c r="U20" i="41"/>
  <c r="M58" i="9"/>
  <c r="N59" i="9"/>
  <c r="M58" i="10"/>
  <c r="N59" i="10"/>
  <c r="AO20" i="41"/>
  <c r="AM20" i="41"/>
  <c r="AK20" i="41"/>
  <c r="AI20" i="41"/>
  <c r="AG20" i="41"/>
  <c r="AD20" i="41"/>
  <c r="L20" i="41"/>
  <c r="K20" i="41"/>
  <c r="N20" i="41"/>
  <c r="Q20" i="41"/>
  <c r="T20" i="41"/>
  <c r="W20" i="41"/>
  <c r="Z20" i="41"/>
  <c r="AC20" i="41"/>
  <c r="AF20" i="41"/>
  <c r="AH20" i="41"/>
  <c r="AJ20" i="41"/>
  <c r="AL20" i="41"/>
  <c r="AN20" i="41"/>
  <c r="J20" i="41"/>
  <c r="I20" i="41"/>
  <c r="H20" i="41"/>
  <c r="F20" i="41"/>
  <c r="AH19" i="41"/>
  <c r="A19" i="41"/>
  <c r="W19" i="41"/>
  <c r="AN19" i="41"/>
  <c r="A18" i="41"/>
  <c r="AF18" i="41"/>
  <c r="AH17" i="41"/>
  <c r="W17" i="41"/>
  <c r="T17" i="41"/>
  <c r="H17" i="41"/>
  <c r="E17" i="41"/>
  <c r="A17" i="41"/>
  <c r="AL17" i="41"/>
  <c r="A16" i="41"/>
  <c r="AC16" i="41"/>
  <c r="AH16" i="41"/>
  <c r="A15" i="41"/>
  <c r="K15" i="41"/>
  <c r="AH14" i="41"/>
  <c r="AF14" i="41"/>
  <c r="K14" i="41"/>
  <c r="H14" i="41"/>
  <c r="A14" i="41"/>
  <c r="W14" i="41"/>
  <c r="AN13" i="41"/>
  <c r="AL13" i="41"/>
  <c r="AH13" i="41"/>
  <c r="AC13" i="41"/>
  <c r="W13" i="41"/>
  <c r="T13" i="41"/>
  <c r="K13" i="41"/>
  <c r="H13" i="41"/>
  <c r="E13" i="41"/>
  <c r="A13" i="41"/>
  <c r="AF13" i="41"/>
  <c r="AJ13" i="41"/>
  <c r="A12" i="41"/>
  <c r="AH12" i="41"/>
  <c r="W11" i="41"/>
  <c r="K11" i="41"/>
  <c r="A11" i="41"/>
  <c r="AH11" i="41"/>
  <c r="AN10" i="41"/>
  <c r="AH10" i="41"/>
  <c r="AF10" i="41"/>
  <c r="T10" i="41"/>
  <c r="K10" i="41"/>
  <c r="H10" i="41"/>
  <c r="A10" i="41"/>
  <c r="W10" i="41"/>
  <c r="AL10" i="41"/>
  <c r="AN9" i="41"/>
  <c r="AC9" i="41"/>
  <c r="K9" i="41"/>
  <c r="A9" i="41"/>
  <c r="AF9" i="41"/>
  <c r="AJ9" i="41"/>
  <c r="A8" i="41"/>
  <c r="AH8" i="41"/>
  <c r="AH7" i="41"/>
  <c r="W7" i="41"/>
  <c r="K7" i="41"/>
  <c r="A7" i="41"/>
  <c r="AN7" i="41"/>
  <c r="AN6" i="41"/>
  <c r="A6" i="41"/>
  <c r="H6" i="41"/>
  <c r="H4" i="41"/>
  <c r="K4" i="41"/>
  <c r="N4" i="41"/>
  <c r="Q4" i="41"/>
  <c r="T4" i="41"/>
  <c r="W4" i="41"/>
  <c r="Z4" i="41"/>
  <c r="AC4" i="41"/>
  <c r="AF4" i="41"/>
  <c r="AH4" i="41"/>
  <c r="AJ4" i="41"/>
  <c r="AL4" i="41"/>
  <c r="AN4" i="41"/>
  <c r="N12" i="41"/>
  <c r="N16" i="41"/>
  <c r="Z16" i="41"/>
  <c r="AJ16" i="41"/>
  <c r="Z11" i="41"/>
  <c r="AJ11" i="41"/>
  <c r="AC12" i="41"/>
  <c r="AL12" i="41"/>
  <c r="AJ15" i="41"/>
  <c r="E16" i="41"/>
  <c r="Q16" i="41"/>
  <c r="AL16" i="41"/>
  <c r="N19" i="41"/>
  <c r="Z19" i="41"/>
  <c r="AJ19" i="41"/>
  <c r="E6" i="41"/>
  <c r="E7" i="41"/>
  <c r="Q7" i="41"/>
  <c r="AC7" i="41"/>
  <c r="AL7" i="41"/>
  <c r="H8" i="41"/>
  <c r="T8" i="41"/>
  <c r="AN8" i="41"/>
  <c r="Z10" i="41"/>
  <c r="E11" i="41"/>
  <c r="AL11" i="41"/>
  <c r="H12" i="41"/>
  <c r="AN12" i="41"/>
  <c r="N14" i="41"/>
  <c r="Z14" i="41"/>
  <c r="AJ14" i="41"/>
  <c r="E15" i="41"/>
  <c r="Q15" i="41"/>
  <c r="AC15" i="41"/>
  <c r="H16" i="41"/>
  <c r="T16" i="41"/>
  <c r="AF16" i="41"/>
  <c r="AN16" i="41"/>
  <c r="Z18" i="41"/>
  <c r="AL19" i="41"/>
  <c r="N8" i="41"/>
  <c r="Z8" i="41"/>
  <c r="AJ8" i="41"/>
  <c r="N7" i="41"/>
  <c r="Z7" i="41"/>
  <c r="AJ7" i="41"/>
  <c r="E8" i="41"/>
  <c r="Q8" i="41"/>
  <c r="AC8" i="41"/>
  <c r="AL8" i="41"/>
  <c r="N10" i="41"/>
  <c r="AJ10" i="41"/>
  <c r="Q11" i="41"/>
  <c r="N18" i="41"/>
  <c r="AJ18" i="41"/>
  <c r="E19" i="41"/>
  <c r="Q19" i="41"/>
  <c r="AC19" i="41"/>
  <c r="H7" i="41"/>
  <c r="T7" i="41"/>
  <c r="AF7" i="41"/>
  <c r="K8" i="41"/>
  <c r="W8" i="41"/>
  <c r="N9" i="41"/>
  <c r="Z9" i="41"/>
  <c r="E10" i="41"/>
  <c r="Q10" i="41"/>
  <c r="AC10" i="41"/>
  <c r="H11" i="41"/>
  <c r="T11" i="41"/>
  <c r="AF11" i="41"/>
  <c r="K12" i="41"/>
  <c r="W12" i="41"/>
  <c r="N13" i="41"/>
  <c r="Z13" i="41"/>
  <c r="E14" i="41"/>
  <c r="Q14" i="41"/>
  <c r="AC14" i="41"/>
  <c r="H15" i="41"/>
  <c r="T15" i="41"/>
  <c r="AF15" i="41"/>
  <c r="K16" i="41"/>
  <c r="W16" i="41"/>
  <c r="N17" i="41"/>
  <c r="Z17" i="41"/>
  <c r="E18" i="41"/>
  <c r="Q18" i="41"/>
  <c r="AC18" i="41"/>
  <c r="H19" i="41"/>
  <c r="T19" i="41"/>
  <c r="AF19" i="41"/>
  <c r="M58" i="8"/>
  <c r="AZ89" i="40"/>
  <c r="AY89" i="40"/>
  <c r="AX89" i="40"/>
  <c r="AW89" i="40"/>
  <c r="AV89" i="40"/>
  <c r="AU89" i="40"/>
  <c r="AT89" i="40"/>
  <c r="AS89" i="40"/>
  <c r="AR89" i="40"/>
  <c r="AQ89" i="40"/>
  <c r="AP89" i="40"/>
  <c r="AO89" i="40"/>
  <c r="AN89" i="40"/>
  <c r="AM89" i="40"/>
  <c r="AL89" i="40"/>
  <c r="AK89" i="40"/>
  <c r="AJ89" i="40"/>
  <c r="AI89" i="40"/>
  <c r="AH89" i="40"/>
  <c r="AG89" i="40"/>
  <c r="AF89" i="40"/>
  <c r="AE89" i="40"/>
  <c r="AD89" i="40"/>
  <c r="AC89" i="40"/>
  <c r="AB89" i="40"/>
  <c r="AA89" i="40"/>
  <c r="Z89" i="40"/>
  <c r="Y89" i="40"/>
  <c r="X89" i="40"/>
  <c r="W89" i="40"/>
  <c r="V89" i="40"/>
  <c r="U89" i="40"/>
  <c r="T89" i="40"/>
  <c r="S89" i="40"/>
  <c r="R89" i="40"/>
  <c r="Q89" i="40"/>
  <c r="P89" i="40"/>
  <c r="O89" i="40"/>
  <c r="N89" i="40"/>
  <c r="M89" i="40"/>
  <c r="L89" i="40"/>
  <c r="K89" i="40"/>
  <c r="J89" i="40"/>
  <c r="I89" i="40"/>
  <c r="H89" i="40"/>
  <c r="G89" i="40"/>
  <c r="F86" i="40"/>
  <c r="A86" i="40"/>
  <c r="X85" i="40"/>
  <c r="W85" i="40"/>
  <c r="S85" i="40"/>
  <c r="O85" i="40"/>
  <c r="L85" i="40"/>
  <c r="K85" i="40"/>
  <c r="J85" i="40"/>
  <c r="A85" i="40"/>
  <c r="T84" i="40"/>
  <c r="S84" i="40"/>
  <c r="V85" i="40"/>
  <c r="R84" i="40"/>
  <c r="U85" i="40"/>
  <c r="Q84" i="40"/>
  <c r="T85" i="40"/>
  <c r="P84" i="40"/>
  <c r="O84" i="40"/>
  <c r="R85" i="40"/>
  <c r="N84" i="40"/>
  <c r="Q85" i="40"/>
  <c r="M84" i="40"/>
  <c r="P85" i="40"/>
  <c r="L84" i="40"/>
  <c r="K84" i="40"/>
  <c r="N85" i="40"/>
  <c r="J84" i="40"/>
  <c r="M85" i="40"/>
  <c r="I84" i="40"/>
  <c r="H84" i="40"/>
  <c r="I85" i="40"/>
  <c r="G84" i="40"/>
  <c r="H85" i="40"/>
  <c r="F84" i="40"/>
  <c r="G85" i="40"/>
  <c r="G86" i="40"/>
  <c r="H86" i="40"/>
  <c r="I86" i="40"/>
  <c r="J86" i="40"/>
  <c r="K86" i="40"/>
  <c r="L86" i="40"/>
  <c r="M86" i="40"/>
  <c r="N86" i="40"/>
  <c r="O86" i="40"/>
  <c r="P86" i="40"/>
  <c r="Q86" i="40"/>
  <c r="R86" i="40"/>
  <c r="S86" i="40"/>
  <c r="T86" i="40"/>
  <c r="U86" i="40"/>
  <c r="V86" i="40"/>
  <c r="W86" i="40"/>
  <c r="X86" i="40"/>
  <c r="Y86" i="40"/>
  <c r="Z86" i="40"/>
  <c r="AA86" i="40"/>
  <c r="AB86" i="40"/>
  <c r="AC86" i="40"/>
  <c r="AD86" i="40"/>
  <c r="AE86" i="40"/>
  <c r="AF86" i="40"/>
  <c r="AG86" i="40"/>
  <c r="AH86" i="40"/>
  <c r="AI86" i="40"/>
  <c r="AJ86" i="40"/>
  <c r="AK86" i="40"/>
  <c r="AL86" i="40"/>
  <c r="AM86" i="40"/>
  <c r="AN86" i="40"/>
  <c r="AO86" i="40"/>
  <c r="AP86" i="40"/>
  <c r="AQ86" i="40"/>
  <c r="AR86" i="40"/>
  <c r="AS86" i="40"/>
  <c r="AT86" i="40"/>
  <c r="AU86" i="40"/>
  <c r="AV86" i="40"/>
  <c r="AW86" i="40"/>
  <c r="AX86" i="40"/>
  <c r="AY86" i="40"/>
  <c r="AZ86" i="40"/>
  <c r="A84" i="40"/>
  <c r="A83" i="40"/>
  <c r="A82" i="40"/>
  <c r="A81" i="40"/>
  <c r="F80" i="40"/>
  <c r="G80" i="40"/>
  <c r="H80" i="40"/>
  <c r="I80" i="40"/>
  <c r="A80" i="40"/>
  <c r="X79" i="40"/>
  <c r="R79" i="40"/>
  <c r="N79" i="40"/>
  <c r="L79" i="40"/>
  <c r="I79" i="40"/>
  <c r="A79" i="40"/>
  <c r="T78" i="40"/>
  <c r="W79" i="40"/>
  <c r="S78" i="40"/>
  <c r="V79" i="40"/>
  <c r="R78" i="40"/>
  <c r="U79" i="40"/>
  <c r="Q78" i="40"/>
  <c r="T79" i="40"/>
  <c r="P78" i="40"/>
  <c r="S79" i="40"/>
  <c r="O78" i="40"/>
  <c r="N78" i="40"/>
  <c r="Q79" i="40"/>
  <c r="M78" i="40"/>
  <c r="P79" i="40"/>
  <c r="L78" i="40"/>
  <c r="O79" i="40"/>
  <c r="K78" i="40"/>
  <c r="J78" i="40"/>
  <c r="M79" i="40"/>
  <c r="I78" i="40"/>
  <c r="H78" i="40"/>
  <c r="K79" i="40"/>
  <c r="G78" i="40"/>
  <c r="J79" i="40"/>
  <c r="F78" i="40"/>
  <c r="A78" i="40"/>
  <c r="A77" i="40"/>
  <c r="A76" i="40"/>
  <c r="A75" i="40"/>
  <c r="F74" i="40"/>
  <c r="G74" i="40"/>
  <c r="H74" i="40"/>
  <c r="I74" i="40"/>
  <c r="A74" i="40"/>
  <c r="X73" i="40"/>
  <c r="R73" i="40"/>
  <c r="N73" i="40"/>
  <c r="L73" i="40"/>
  <c r="I73" i="40"/>
  <c r="A73" i="40"/>
  <c r="T72" i="40"/>
  <c r="W73" i="40"/>
  <c r="S72" i="40"/>
  <c r="V73" i="40"/>
  <c r="R72" i="40"/>
  <c r="U73" i="40"/>
  <c r="Q72" i="40"/>
  <c r="T73" i="40"/>
  <c r="P72" i="40"/>
  <c r="S73" i="40"/>
  <c r="O72" i="40"/>
  <c r="N72" i="40"/>
  <c r="Q73" i="40"/>
  <c r="M72" i="40"/>
  <c r="P73" i="40"/>
  <c r="L72" i="40"/>
  <c r="O73" i="40"/>
  <c r="K72" i="40"/>
  <c r="J72" i="40"/>
  <c r="M73" i="40"/>
  <c r="I72" i="40"/>
  <c r="H72" i="40"/>
  <c r="K73" i="40"/>
  <c r="G72" i="40"/>
  <c r="J73" i="40"/>
  <c r="F72" i="40"/>
  <c r="A72" i="40"/>
  <c r="A71" i="40"/>
  <c r="A70" i="40"/>
  <c r="A69" i="40"/>
  <c r="F68" i="40"/>
  <c r="G68" i="40"/>
  <c r="H68" i="40"/>
  <c r="I68" i="40"/>
  <c r="J68" i="40"/>
  <c r="K68" i="40"/>
  <c r="L68" i="40"/>
  <c r="M68" i="40"/>
  <c r="N68" i="40"/>
  <c r="A68" i="40"/>
  <c r="X67" i="40"/>
  <c r="V67" i="40"/>
  <c r="U67" i="40"/>
  <c r="R67" i="40"/>
  <c r="Q67" i="40"/>
  <c r="N67" i="40"/>
  <c r="M67" i="40"/>
  <c r="L67" i="40"/>
  <c r="K67" i="40"/>
  <c r="J67" i="40"/>
  <c r="A67" i="40"/>
  <c r="T66" i="40"/>
  <c r="W67" i="40"/>
  <c r="S66" i="40"/>
  <c r="R66" i="40"/>
  <c r="Q66" i="40"/>
  <c r="T67" i="40"/>
  <c r="P66" i="40"/>
  <c r="S67" i="40"/>
  <c r="O66" i="40"/>
  <c r="N66" i="40"/>
  <c r="M66" i="40"/>
  <c r="P67" i="40"/>
  <c r="L66" i="40"/>
  <c r="O67" i="40"/>
  <c r="K66" i="40"/>
  <c r="J66" i="40"/>
  <c r="I66" i="40"/>
  <c r="H66" i="40"/>
  <c r="G66" i="40"/>
  <c r="F66" i="40"/>
  <c r="G67" i="40"/>
  <c r="H67" i="40"/>
  <c r="I67" i="40"/>
  <c r="A66" i="40"/>
  <c r="A65" i="40"/>
  <c r="A64" i="40"/>
  <c r="A63" i="40"/>
  <c r="H62" i="40"/>
  <c r="I62" i="40"/>
  <c r="J62" i="40"/>
  <c r="K62" i="40"/>
  <c r="L62" i="40"/>
  <c r="M62" i="40"/>
  <c r="N62" i="40"/>
  <c r="O62" i="40"/>
  <c r="P62" i="40"/>
  <c r="Q62" i="40"/>
  <c r="R62" i="40"/>
  <c r="S62" i="40"/>
  <c r="T62" i="40"/>
  <c r="U62" i="40"/>
  <c r="V62" i="40"/>
  <c r="W62" i="40"/>
  <c r="X62" i="40"/>
  <c r="Y62" i="40"/>
  <c r="Z62" i="40"/>
  <c r="AA62" i="40"/>
  <c r="AB62" i="40"/>
  <c r="AC62" i="40"/>
  <c r="AD62" i="40"/>
  <c r="AE62" i="40"/>
  <c r="AF62" i="40"/>
  <c r="AG62" i="40"/>
  <c r="AH62" i="40"/>
  <c r="AI62" i="40"/>
  <c r="AJ62" i="40"/>
  <c r="AK62" i="40"/>
  <c r="AL62" i="40"/>
  <c r="AM62" i="40"/>
  <c r="AN62" i="40"/>
  <c r="AO62" i="40"/>
  <c r="AP62" i="40"/>
  <c r="AQ62" i="40"/>
  <c r="AR62" i="40"/>
  <c r="AS62" i="40"/>
  <c r="AT62" i="40"/>
  <c r="AU62" i="40"/>
  <c r="AV62" i="40"/>
  <c r="AW62" i="40"/>
  <c r="AX62" i="40"/>
  <c r="AY62" i="40"/>
  <c r="AZ62" i="40"/>
  <c r="F62" i="40"/>
  <c r="G62" i="40"/>
  <c r="A62" i="40"/>
  <c r="X61" i="40"/>
  <c r="V61" i="40"/>
  <c r="R61" i="40"/>
  <c r="N61" i="40"/>
  <c r="L61" i="40"/>
  <c r="J61" i="40"/>
  <c r="A61" i="40"/>
  <c r="T60" i="40"/>
  <c r="W61" i="40"/>
  <c r="S60" i="40"/>
  <c r="R60" i="40"/>
  <c r="U61" i="40"/>
  <c r="Q60" i="40"/>
  <c r="T61" i="40"/>
  <c r="P60" i="40"/>
  <c r="S61" i="40"/>
  <c r="O60" i="40"/>
  <c r="N60" i="40"/>
  <c r="Q61" i="40"/>
  <c r="M60" i="40"/>
  <c r="P61" i="40"/>
  <c r="L60" i="40"/>
  <c r="O61" i="40"/>
  <c r="K60" i="40"/>
  <c r="J60" i="40"/>
  <c r="M61" i="40"/>
  <c r="I60" i="40"/>
  <c r="H60" i="40"/>
  <c r="K61" i="40"/>
  <c r="G60" i="40"/>
  <c r="F60" i="40"/>
  <c r="I61" i="40"/>
  <c r="A60" i="40"/>
  <c r="A59" i="40"/>
  <c r="A58" i="40"/>
  <c r="A57" i="40"/>
  <c r="F56" i="40"/>
  <c r="G56" i="40"/>
  <c r="H56" i="40"/>
  <c r="I56" i="40"/>
  <c r="A56" i="40"/>
  <c r="X55" i="40"/>
  <c r="U55" i="40"/>
  <c r="T55" i="40"/>
  <c r="M55" i="40"/>
  <c r="L55" i="40"/>
  <c r="I55" i="40"/>
  <c r="A55" i="40"/>
  <c r="T54" i="40"/>
  <c r="W55" i="40"/>
  <c r="S54" i="40"/>
  <c r="V55" i="40"/>
  <c r="R54" i="40"/>
  <c r="Q54" i="40"/>
  <c r="P54" i="40"/>
  <c r="S55" i="40"/>
  <c r="O54" i="40"/>
  <c r="R55" i="40"/>
  <c r="N54" i="40"/>
  <c r="Q55" i="40"/>
  <c r="M54" i="40"/>
  <c r="P55" i="40"/>
  <c r="L54" i="40"/>
  <c r="O55" i="40"/>
  <c r="K54" i="40"/>
  <c r="N55" i="40"/>
  <c r="J54" i="40"/>
  <c r="I54" i="40"/>
  <c r="H54" i="40"/>
  <c r="K55" i="40"/>
  <c r="G54" i="40"/>
  <c r="J55" i="40"/>
  <c r="F54" i="40"/>
  <c r="A54" i="40"/>
  <c r="A53" i="40"/>
  <c r="A52" i="40"/>
  <c r="A51" i="40"/>
  <c r="H50" i="40"/>
  <c r="I50" i="40"/>
  <c r="J50" i="40"/>
  <c r="K50" i="40"/>
  <c r="L50" i="40"/>
  <c r="F50" i="40"/>
  <c r="G50" i="40"/>
  <c r="A50" i="40"/>
  <c r="X49" i="40"/>
  <c r="U49" i="40"/>
  <c r="M49" i="40"/>
  <c r="L49" i="40"/>
  <c r="K49" i="40"/>
  <c r="I49" i="40"/>
  <c r="A49" i="40"/>
  <c r="T48" i="40"/>
  <c r="W49" i="40"/>
  <c r="S48" i="40"/>
  <c r="V49" i="40"/>
  <c r="R48" i="40"/>
  <c r="Q48" i="40"/>
  <c r="T49" i="40"/>
  <c r="P48" i="40"/>
  <c r="S49" i="40"/>
  <c r="O48" i="40"/>
  <c r="R49" i="40"/>
  <c r="N48" i="40"/>
  <c r="Q49" i="40"/>
  <c r="M48" i="40"/>
  <c r="P49" i="40"/>
  <c r="L48" i="40"/>
  <c r="O49" i="40"/>
  <c r="K48" i="40"/>
  <c r="N49" i="40"/>
  <c r="J48" i="40"/>
  <c r="I48" i="40"/>
  <c r="H48" i="40"/>
  <c r="G48" i="40"/>
  <c r="J49" i="40"/>
  <c r="F48" i="40"/>
  <c r="A48" i="40"/>
  <c r="A47" i="40"/>
  <c r="A46" i="40"/>
  <c r="A45" i="40"/>
  <c r="F44" i="40"/>
  <c r="G44" i="40"/>
  <c r="H44" i="40"/>
  <c r="I44" i="40"/>
  <c r="J44" i="40"/>
  <c r="K44" i="40"/>
  <c r="L44" i="40"/>
  <c r="M44" i="40"/>
  <c r="N44" i="40"/>
  <c r="O44" i="40"/>
  <c r="P44" i="40"/>
  <c r="Q44" i="40"/>
  <c r="R44" i="40"/>
  <c r="S44" i="40"/>
  <c r="T44" i="40"/>
  <c r="U44" i="40"/>
  <c r="V44" i="40"/>
  <c r="W44" i="40"/>
  <c r="X44" i="40"/>
  <c r="Y44" i="40"/>
  <c r="Z44" i="40"/>
  <c r="AA44" i="40"/>
  <c r="AB44" i="40"/>
  <c r="AC44" i="40"/>
  <c r="AD44" i="40"/>
  <c r="AE44" i="40"/>
  <c r="AF44" i="40"/>
  <c r="AG44" i="40"/>
  <c r="AH44" i="40"/>
  <c r="AI44" i="40"/>
  <c r="AJ44" i="40"/>
  <c r="AK44" i="40"/>
  <c r="AL44" i="40"/>
  <c r="AM44" i="40"/>
  <c r="AN44" i="40"/>
  <c r="AO44" i="40"/>
  <c r="AP44" i="40"/>
  <c r="AQ44" i="40"/>
  <c r="AR44" i="40"/>
  <c r="AS44" i="40"/>
  <c r="AT44" i="40"/>
  <c r="AU44" i="40"/>
  <c r="AV44" i="40"/>
  <c r="AW44" i="40"/>
  <c r="AX44" i="40"/>
  <c r="AY44" i="40"/>
  <c r="AZ44" i="40"/>
  <c r="A44" i="40"/>
  <c r="X43" i="40"/>
  <c r="Q43" i="40"/>
  <c r="L43" i="40"/>
  <c r="K43" i="40"/>
  <c r="J43" i="40"/>
  <c r="I43" i="40"/>
  <c r="A43" i="40"/>
  <c r="T42" i="40"/>
  <c r="W43" i="40"/>
  <c r="S42" i="40"/>
  <c r="V43" i="40"/>
  <c r="R42" i="40"/>
  <c r="U43" i="40"/>
  <c r="Q42" i="40"/>
  <c r="T43" i="40"/>
  <c r="P42" i="40"/>
  <c r="S43" i="40"/>
  <c r="O42" i="40"/>
  <c r="R43" i="40"/>
  <c r="N42" i="40"/>
  <c r="M42" i="40"/>
  <c r="P43" i="40"/>
  <c r="L42" i="40"/>
  <c r="O43" i="40"/>
  <c r="K42" i="40"/>
  <c r="N43" i="40"/>
  <c r="J42" i="40"/>
  <c r="M43" i="40"/>
  <c r="I42" i="40"/>
  <c r="H42" i="40"/>
  <c r="G42" i="40"/>
  <c r="F42" i="40"/>
  <c r="A42" i="40"/>
  <c r="A41" i="40"/>
  <c r="A40" i="40"/>
  <c r="A39" i="40"/>
  <c r="F38" i="40"/>
  <c r="G38" i="40"/>
  <c r="H38" i="40"/>
  <c r="I38" i="40"/>
  <c r="J38" i="40"/>
  <c r="K38" i="40"/>
  <c r="L38" i="40"/>
  <c r="M38" i="40"/>
  <c r="N38" i="40"/>
  <c r="O38" i="40"/>
  <c r="P38" i="40"/>
  <c r="Q38" i="40"/>
  <c r="R38" i="40"/>
  <c r="S38" i="40"/>
  <c r="T38" i="40"/>
  <c r="U38" i="40"/>
  <c r="V38" i="40"/>
  <c r="W38" i="40"/>
  <c r="X38" i="40"/>
  <c r="Y38" i="40"/>
  <c r="Z38" i="40"/>
  <c r="AA38" i="40"/>
  <c r="AB38" i="40"/>
  <c r="AC38" i="40"/>
  <c r="AD38" i="40"/>
  <c r="AE38" i="40"/>
  <c r="AF38" i="40"/>
  <c r="AG38" i="40"/>
  <c r="AH38" i="40"/>
  <c r="AI38" i="40"/>
  <c r="AJ38" i="40"/>
  <c r="AK38" i="40"/>
  <c r="AL38" i="40"/>
  <c r="AM38" i="40"/>
  <c r="AN38" i="40"/>
  <c r="AO38" i="40"/>
  <c r="AP38" i="40"/>
  <c r="AQ38" i="40"/>
  <c r="AR38" i="40"/>
  <c r="AS38" i="40"/>
  <c r="AT38" i="40"/>
  <c r="AU38" i="40"/>
  <c r="AV38" i="40"/>
  <c r="AW38" i="40"/>
  <c r="AX38" i="40"/>
  <c r="AY38" i="40"/>
  <c r="AZ38" i="40"/>
  <c r="A38" i="40"/>
  <c r="X37" i="40"/>
  <c r="Q37" i="40"/>
  <c r="P37" i="40"/>
  <c r="L37" i="40"/>
  <c r="K37" i="40"/>
  <c r="J37" i="40"/>
  <c r="I37" i="40"/>
  <c r="A37" i="40"/>
  <c r="T36" i="40"/>
  <c r="W37" i="40"/>
  <c r="S36" i="40"/>
  <c r="V37" i="40"/>
  <c r="R36" i="40"/>
  <c r="U37" i="40"/>
  <c r="Q36" i="40"/>
  <c r="T37" i="40"/>
  <c r="P36" i="40"/>
  <c r="S37" i="40"/>
  <c r="O36" i="40"/>
  <c r="R37" i="40"/>
  <c r="N36" i="40"/>
  <c r="M36" i="40"/>
  <c r="L36" i="40"/>
  <c r="O37" i="40"/>
  <c r="K36" i="40"/>
  <c r="N37" i="40"/>
  <c r="J36" i="40"/>
  <c r="M37" i="40"/>
  <c r="I36" i="40"/>
  <c r="H36" i="40"/>
  <c r="G36" i="40"/>
  <c r="F36" i="40"/>
  <c r="A36" i="40"/>
  <c r="A35" i="40"/>
  <c r="A34" i="40"/>
  <c r="A33" i="40"/>
  <c r="H32" i="40"/>
  <c r="I32" i="40"/>
  <c r="J32" i="40"/>
  <c r="K32" i="40"/>
  <c r="L32" i="40"/>
  <c r="M32" i="40"/>
  <c r="N32" i="40"/>
  <c r="O32" i="40"/>
  <c r="P32" i="40"/>
  <c r="Q32" i="40"/>
  <c r="R32" i="40"/>
  <c r="S32" i="40"/>
  <c r="T32" i="40"/>
  <c r="U32" i="40"/>
  <c r="V32" i="40"/>
  <c r="W32" i="40"/>
  <c r="X32" i="40"/>
  <c r="Y32" i="40"/>
  <c r="Z32" i="40"/>
  <c r="AA32" i="40"/>
  <c r="AB32" i="40"/>
  <c r="AC32" i="40"/>
  <c r="AD32" i="40"/>
  <c r="AE32" i="40"/>
  <c r="AF32" i="40"/>
  <c r="AG32" i="40"/>
  <c r="AH32" i="40"/>
  <c r="AI32" i="40"/>
  <c r="AJ32" i="40"/>
  <c r="AK32" i="40"/>
  <c r="AL32" i="40"/>
  <c r="AM32" i="40"/>
  <c r="AN32" i="40"/>
  <c r="AO32" i="40"/>
  <c r="AP32" i="40"/>
  <c r="AQ32" i="40"/>
  <c r="AR32" i="40"/>
  <c r="AS32" i="40"/>
  <c r="AT32" i="40"/>
  <c r="AU32" i="40"/>
  <c r="AV32" i="40"/>
  <c r="AW32" i="40"/>
  <c r="AX32" i="40"/>
  <c r="AY32" i="40"/>
  <c r="AZ32" i="40"/>
  <c r="F32" i="40"/>
  <c r="G32" i="40"/>
  <c r="A32" i="40"/>
  <c r="AC31" i="40"/>
  <c r="AB31" i="40"/>
  <c r="AA31" i="40"/>
  <c r="Z31" i="40"/>
  <c r="Y31" i="40"/>
  <c r="X31" i="40"/>
  <c r="W31" i="40"/>
  <c r="V31" i="40"/>
  <c r="U31" i="40"/>
  <c r="T31" i="40"/>
  <c r="S31" i="40"/>
  <c r="R31" i="40"/>
  <c r="Q31" i="40"/>
  <c r="P31" i="40"/>
  <c r="O31" i="40"/>
  <c r="N31" i="40"/>
  <c r="M31" i="40"/>
  <c r="L31" i="40"/>
  <c r="K31" i="40"/>
  <c r="A31" i="40"/>
  <c r="T30" i="40"/>
  <c r="S30" i="40"/>
  <c r="R30" i="40"/>
  <c r="Q30" i="40"/>
  <c r="P30" i="40"/>
  <c r="O30" i="40"/>
  <c r="N30" i="40"/>
  <c r="M30" i="40"/>
  <c r="L30" i="40"/>
  <c r="K30" i="40"/>
  <c r="J30" i="40"/>
  <c r="I30" i="40"/>
  <c r="H30" i="40"/>
  <c r="G30" i="40"/>
  <c r="F30" i="40"/>
  <c r="A30" i="40"/>
  <c r="A29" i="40"/>
  <c r="A28" i="40"/>
  <c r="A27" i="40"/>
  <c r="F26" i="40"/>
  <c r="A26" i="40"/>
  <c r="X25" i="40"/>
  <c r="W25" i="40"/>
  <c r="V25" i="40"/>
  <c r="S25" i="40"/>
  <c r="R25" i="40"/>
  <c r="O25" i="40"/>
  <c r="N25" i="40"/>
  <c r="L25" i="40"/>
  <c r="K25" i="40"/>
  <c r="J25" i="40"/>
  <c r="A25" i="40"/>
  <c r="T24" i="40"/>
  <c r="S24" i="40"/>
  <c r="R24" i="40"/>
  <c r="U25" i="40"/>
  <c r="Q24" i="40"/>
  <c r="T25" i="40"/>
  <c r="P24" i="40"/>
  <c r="O24" i="40"/>
  <c r="N24" i="40"/>
  <c r="Q25" i="40"/>
  <c r="M24" i="40"/>
  <c r="P25" i="40"/>
  <c r="L24" i="40"/>
  <c r="K24" i="40"/>
  <c r="J24" i="40"/>
  <c r="M25" i="40"/>
  <c r="I24" i="40"/>
  <c r="H24" i="40"/>
  <c r="I25" i="40"/>
  <c r="G24" i="40"/>
  <c r="H25" i="40"/>
  <c r="H26" i="40"/>
  <c r="I26" i="40"/>
  <c r="J26" i="40"/>
  <c r="K26" i="40"/>
  <c r="L26" i="40"/>
  <c r="M26" i="40"/>
  <c r="N26" i="40"/>
  <c r="O26" i="40"/>
  <c r="P26" i="40"/>
  <c r="Q26" i="40"/>
  <c r="R26" i="40"/>
  <c r="S26" i="40"/>
  <c r="T26" i="40"/>
  <c r="U26" i="40"/>
  <c r="V26" i="40"/>
  <c r="W26" i="40"/>
  <c r="X26" i="40"/>
  <c r="Y26" i="40"/>
  <c r="Z26" i="40"/>
  <c r="AA26" i="40"/>
  <c r="AB26" i="40"/>
  <c r="AC26" i="40"/>
  <c r="AD26" i="40"/>
  <c r="AE26" i="40"/>
  <c r="AF26" i="40"/>
  <c r="AG26" i="40"/>
  <c r="AH26" i="40"/>
  <c r="AI26" i="40"/>
  <c r="AJ26" i="40"/>
  <c r="AK26" i="40"/>
  <c r="AL26" i="40"/>
  <c r="AM26" i="40"/>
  <c r="AN26" i="40"/>
  <c r="AO26" i="40"/>
  <c r="AP26" i="40"/>
  <c r="AQ26" i="40"/>
  <c r="AR26" i="40"/>
  <c r="AS26" i="40"/>
  <c r="AT26" i="40"/>
  <c r="AU26" i="40"/>
  <c r="AV26" i="40"/>
  <c r="AW26" i="40"/>
  <c r="AX26" i="40"/>
  <c r="AY26" i="40"/>
  <c r="AZ26" i="40"/>
  <c r="F24" i="40"/>
  <c r="G25" i="40"/>
  <c r="A24" i="40"/>
  <c r="A23" i="40"/>
  <c r="A22" i="40"/>
  <c r="A21" i="40"/>
  <c r="F20" i="40"/>
  <c r="G20" i="40"/>
  <c r="H20" i="40"/>
  <c r="I20" i="40"/>
  <c r="J20" i="40"/>
  <c r="K20" i="40"/>
  <c r="L20" i="40"/>
  <c r="M20" i="40"/>
  <c r="N20" i="40"/>
  <c r="O20" i="40"/>
  <c r="P20" i="40"/>
  <c r="Q20" i="40"/>
  <c r="R20" i="40"/>
  <c r="S20" i="40"/>
  <c r="T20" i="40"/>
  <c r="U20" i="40"/>
  <c r="V20" i="40"/>
  <c r="W20" i="40"/>
  <c r="X20" i="40"/>
  <c r="Y20" i="40"/>
  <c r="Z20" i="40"/>
  <c r="AA20" i="40"/>
  <c r="AB20" i="40"/>
  <c r="AC20" i="40"/>
  <c r="AD20" i="40"/>
  <c r="AE20" i="40"/>
  <c r="AF20" i="40"/>
  <c r="AG20" i="40"/>
  <c r="AH20" i="40"/>
  <c r="AI20" i="40"/>
  <c r="AJ20" i="40"/>
  <c r="AK20" i="40"/>
  <c r="AL20" i="40"/>
  <c r="AM20" i="40"/>
  <c r="AN20" i="40"/>
  <c r="AO20" i="40"/>
  <c r="AP20" i="40"/>
  <c r="AQ20" i="40"/>
  <c r="AR20" i="40"/>
  <c r="AS20" i="40"/>
  <c r="AT20" i="40"/>
  <c r="AU20" i="40"/>
  <c r="AV20" i="40"/>
  <c r="AW20" i="40"/>
  <c r="AX20" i="40"/>
  <c r="AY20" i="40"/>
  <c r="AZ20" i="40"/>
  <c r="A20" i="40"/>
  <c r="X19" i="40"/>
  <c r="P19" i="40"/>
  <c r="L19" i="40"/>
  <c r="I19" i="40"/>
  <c r="A19" i="40"/>
  <c r="T18" i="40"/>
  <c r="W19" i="40"/>
  <c r="S18" i="40"/>
  <c r="V19" i="40"/>
  <c r="R18" i="40"/>
  <c r="U19" i="40"/>
  <c r="Q18" i="40"/>
  <c r="T19" i="40"/>
  <c r="P18" i="40"/>
  <c r="S19" i="40"/>
  <c r="O18" i="40"/>
  <c r="R19" i="40"/>
  <c r="N18" i="40"/>
  <c r="Q19" i="40"/>
  <c r="M18" i="40"/>
  <c r="L18" i="40"/>
  <c r="O19" i="40"/>
  <c r="K18" i="40"/>
  <c r="N19" i="40"/>
  <c r="J18" i="40"/>
  <c r="M19" i="40"/>
  <c r="I18" i="40"/>
  <c r="H18" i="40"/>
  <c r="K19" i="40"/>
  <c r="G18" i="40"/>
  <c r="J19" i="40"/>
  <c r="F18" i="40"/>
  <c r="A18" i="40"/>
  <c r="A17" i="40"/>
  <c r="A16" i="40"/>
  <c r="A15" i="40"/>
  <c r="H14" i="40"/>
  <c r="I14" i="40"/>
  <c r="J14" i="40"/>
  <c r="F14" i="40"/>
  <c r="G14" i="40"/>
  <c r="A14" i="40"/>
  <c r="X13" i="40"/>
  <c r="T13" i="40"/>
  <c r="L13" i="40"/>
  <c r="A13" i="40"/>
  <c r="T12" i="40"/>
  <c r="W13" i="40"/>
  <c r="S12" i="40"/>
  <c r="V13" i="40"/>
  <c r="R12" i="40"/>
  <c r="U13" i="40"/>
  <c r="Q12" i="40"/>
  <c r="P12" i="40"/>
  <c r="S13" i="40"/>
  <c r="O12" i="40"/>
  <c r="R13" i="40"/>
  <c r="N12" i="40"/>
  <c r="Q13" i="40"/>
  <c r="M12" i="40"/>
  <c r="P13" i="40"/>
  <c r="L12" i="40"/>
  <c r="O13" i="40"/>
  <c r="K12" i="40"/>
  <c r="N13" i="40"/>
  <c r="J12" i="40"/>
  <c r="M13" i="40"/>
  <c r="I12" i="40"/>
  <c r="H12" i="40"/>
  <c r="K13" i="40"/>
  <c r="G12" i="40"/>
  <c r="J13" i="40"/>
  <c r="F12" i="40"/>
  <c r="I13" i="40"/>
  <c r="A12" i="40"/>
  <c r="A11" i="40"/>
  <c r="A10" i="40"/>
  <c r="A9" i="40"/>
  <c r="H8" i="40"/>
  <c r="F8" i="40"/>
  <c r="G8" i="40"/>
  <c r="A8" i="40"/>
  <c r="X7" i="40"/>
  <c r="U7" i="40"/>
  <c r="M7" i="40"/>
  <c r="A7" i="40"/>
  <c r="T6" i="40"/>
  <c r="W7" i="40"/>
  <c r="S6" i="40"/>
  <c r="V7" i="40"/>
  <c r="R6" i="40"/>
  <c r="Q6" i="40"/>
  <c r="T7" i="40"/>
  <c r="P6" i="40"/>
  <c r="S7" i="40"/>
  <c r="O6" i="40"/>
  <c r="R7" i="40"/>
  <c r="N6" i="40"/>
  <c r="Q7" i="40"/>
  <c r="M6" i="40"/>
  <c r="P7" i="40"/>
  <c r="L6" i="40"/>
  <c r="O7" i="40"/>
  <c r="K6" i="40"/>
  <c r="N7" i="40"/>
  <c r="J6" i="40"/>
  <c r="I6" i="40"/>
  <c r="L7" i="40"/>
  <c r="H6" i="40"/>
  <c r="K7" i="40"/>
  <c r="G6" i="40"/>
  <c r="J7" i="40"/>
  <c r="F6" i="40"/>
  <c r="I7" i="40"/>
  <c r="A6" i="40"/>
  <c r="A5" i="40"/>
  <c r="A4" i="40"/>
  <c r="E3" i="40"/>
  <c r="A3" i="40"/>
  <c r="G2" i="40"/>
  <c r="H2" i="40"/>
  <c r="I2" i="40"/>
  <c r="J2" i="40"/>
  <c r="K2" i="40"/>
  <c r="L2" i="40"/>
  <c r="M2" i="40"/>
  <c r="N2" i="40"/>
  <c r="O2" i="40"/>
  <c r="P2" i="40"/>
  <c r="Q2" i="40"/>
  <c r="R2" i="40"/>
  <c r="S2" i="40"/>
  <c r="T2" i="40"/>
  <c r="U2" i="40"/>
  <c r="V2" i="40"/>
  <c r="W2" i="40"/>
  <c r="X2" i="40"/>
  <c r="Y2" i="40"/>
  <c r="Z2" i="40"/>
  <c r="AA2" i="40"/>
  <c r="AB2" i="40"/>
  <c r="AC2" i="40"/>
  <c r="AD2" i="40"/>
  <c r="AE2" i="40"/>
  <c r="AF2" i="40"/>
  <c r="AG2" i="40"/>
  <c r="AH2" i="40"/>
  <c r="AI2" i="40"/>
  <c r="AJ2" i="40"/>
  <c r="AK2" i="40"/>
  <c r="AL2" i="40"/>
  <c r="AM2" i="40"/>
  <c r="AN2" i="40"/>
  <c r="AO2" i="40"/>
  <c r="AP2" i="40"/>
  <c r="AQ2" i="40"/>
  <c r="AR2" i="40"/>
  <c r="AS2" i="40"/>
  <c r="AT2" i="40"/>
  <c r="AU2" i="40"/>
  <c r="AV2" i="40"/>
  <c r="AW2" i="40"/>
  <c r="AX2" i="40"/>
  <c r="AY2" i="40"/>
  <c r="AZ2" i="40"/>
  <c r="I8" i="40"/>
  <c r="J8" i="40"/>
  <c r="K8" i="40"/>
  <c r="L8" i="40"/>
  <c r="M8" i="40"/>
  <c r="N8" i="40"/>
  <c r="O8" i="40"/>
  <c r="P8" i="40"/>
  <c r="Q8" i="40"/>
  <c r="R8" i="40"/>
  <c r="S8" i="40"/>
  <c r="T8" i="40"/>
  <c r="U8" i="40"/>
  <c r="V8" i="40"/>
  <c r="W8" i="40"/>
  <c r="X8" i="40"/>
  <c r="Y8" i="40"/>
  <c r="Z8" i="40"/>
  <c r="AA8" i="40"/>
  <c r="AB8" i="40"/>
  <c r="AC8" i="40"/>
  <c r="AD8" i="40"/>
  <c r="AE8" i="40"/>
  <c r="AF8" i="40"/>
  <c r="AG8" i="40"/>
  <c r="AH8" i="40"/>
  <c r="AI8" i="40"/>
  <c r="AJ8" i="40"/>
  <c r="AK8" i="40"/>
  <c r="AL8" i="40"/>
  <c r="AM8" i="40"/>
  <c r="AN8" i="40"/>
  <c r="AO8" i="40"/>
  <c r="AP8" i="40"/>
  <c r="AQ8" i="40"/>
  <c r="AR8" i="40"/>
  <c r="AS8" i="40"/>
  <c r="AT8" i="40"/>
  <c r="AU8" i="40"/>
  <c r="AV8" i="40"/>
  <c r="AW8" i="40"/>
  <c r="AX8" i="40"/>
  <c r="AY8" i="40"/>
  <c r="AZ8" i="40"/>
  <c r="K14" i="40"/>
  <c r="L14" i="40"/>
  <c r="M14" i="40"/>
  <c r="N14" i="40"/>
  <c r="O14" i="40"/>
  <c r="P14" i="40"/>
  <c r="Q14" i="40"/>
  <c r="R14" i="40"/>
  <c r="S14" i="40"/>
  <c r="T14" i="40"/>
  <c r="U14" i="40"/>
  <c r="V14" i="40"/>
  <c r="W14" i="40"/>
  <c r="X14" i="40"/>
  <c r="Y14" i="40"/>
  <c r="Z14" i="40"/>
  <c r="AA14" i="40"/>
  <c r="AB14" i="40"/>
  <c r="AC14" i="40"/>
  <c r="AD14" i="40"/>
  <c r="AE14" i="40"/>
  <c r="AF14" i="40"/>
  <c r="AG14" i="40"/>
  <c r="AH14" i="40"/>
  <c r="AI14" i="40"/>
  <c r="AJ14" i="40"/>
  <c r="AK14" i="40"/>
  <c r="AL14" i="40"/>
  <c r="AM14" i="40"/>
  <c r="AN14" i="40"/>
  <c r="AO14" i="40"/>
  <c r="AP14" i="40"/>
  <c r="AQ14" i="40"/>
  <c r="AR14" i="40"/>
  <c r="AS14" i="40"/>
  <c r="AT14" i="40"/>
  <c r="AU14" i="40"/>
  <c r="AV14" i="40"/>
  <c r="AW14" i="40"/>
  <c r="AX14" i="40"/>
  <c r="AY14" i="40"/>
  <c r="AZ14" i="40"/>
  <c r="M50" i="40"/>
  <c r="N50" i="40"/>
  <c r="O50" i="40"/>
  <c r="P50" i="40"/>
  <c r="Q50" i="40"/>
  <c r="R50" i="40"/>
  <c r="S50" i="40"/>
  <c r="T50" i="40"/>
  <c r="U50" i="40"/>
  <c r="V50" i="40"/>
  <c r="W50" i="40"/>
  <c r="X50" i="40"/>
  <c r="Y50" i="40"/>
  <c r="Z50" i="40"/>
  <c r="AA50" i="40"/>
  <c r="AB50" i="40"/>
  <c r="AC50" i="40"/>
  <c r="AD50" i="40"/>
  <c r="AE50" i="40"/>
  <c r="AF50" i="40"/>
  <c r="AG50" i="40"/>
  <c r="AH50" i="40"/>
  <c r="AI50" i="40"/>
  <c r="AJ50" i="40"/>
  <c r="AK50" i="40"/>
  <c r="AL50" i="40"/>
  <c r="AM50" i="40"/>
  <c r="AN50" i="40"/>
  <c r="AO50" i="40"/>
  <c r="AP50" i="40"/>
  <c r="AQ50" i="40"/>
  <c r="AR50" i="40"/>
  <c r="AS50" i="40"/>
  <c r="AT50" i="40"/>
  <c r="AU50" i="40"/>
  <c r="AV50" i="40"/>
  <c r="AW50" i="40"/>
  <c r="AX50" i="40"/>
  <c r="AY50" i="40"/>
  <c r="AZ50" i="40"/>
  <c r="J56" i="40"/>
  <c r="K56" i="40"/>
  <c r="L56" i="40"/>
  <c r="M56" i="40"/>
  <c r="N56" i="40"/>
  <c r="O56" i="40"/>
  <c r="P56" i="40"/>
  <c r="Q56" i="40"/>
  <c r="R56" i="40"/>
  <c r="S56" i="40"/>
  <c r="T56" i="40"/>
  <c r="U56" i="40"/>
  <c r="V56" i="40"/>
  <c r="W56" i="40"/>
  <c r="X56" i="40"/>
  <c r="Y56" i="40"/>
  <c r="Z56" i="40"/>
  <c r="AA56" i="40"/>
  <c r="AB56" i="40"/>
  <c r="AC56" i="40"/>
  <c r="AD56" i="40"/>
  <c r="AE56" i="40"/>
  <c r="AF56" i="40"/>
  <c r="AG56" i="40"/>
  <c r="AH56" i="40"/>
  <c r="AI56" i="40"/>
  <c r="AJ56" i="40"/>
  <c r="AK56" i="40"/>
  <c r="AL56" i="40"/>
  <c r="AM56" i="40"/>
  <c r="AN56" i="40"/>
  <c r="AO56" i="40"/>
  <c r="AP56" i="40"/>
  <c r="AQ56" i="40"/>
  <c r="AR56" i="40"/>
  <c r="AS56" i="40"/>
  <c r="AT56" i="40"/>
  <c r="AU56" i="40"/>
  <c r="AV56" i="40"/>
  <c r="AW56" i="40"/>
  <c r="AX56" i="40"/>
  <c r="AY56" i="40"/>
  <c r="AZ56" i="40"/>
  <c r="O68" i="40"/>
  <c r="P68" i="40"/>
  <c r="Q68" i="40"/>
  <c r="R68" i="40"/>
  <c r="S68" i="40"/>
  <c r="T68" i="40"/>
  <c r="U68" i="40"/>
  <c r="V68" i="40"/>
  <c r="W68" i="40"/>
  <c r="X68" i="40"/>
  <c r="Y68" i="40"/>
  <c r="Z68" i="40"/>
  <c r="AA68" i="40"/>
  <c r="AB68" i="40"/>
  <c r="AC68" i="40"/>
  <c r="AD68" i="40"/>
  <c r="AE68" i="40"/>
  <c r="AF68" i="40"/>
  <c r="AG68" i="40"/>
  <c r="AH68" i="40"/>
  <c r="AI68" i="40"/>
  <c r="AJ68" i="40"/>
  <c r="AK68" i="40"/>
  <c r="AL68" i="40"/>
  <c r="AM68" i="40"/>
  <c r="AN68" i="40"/>
  <c r="AO68" i="40"/>
  <c r="AP68" i="40"/>
  <c r="AQ68" i="40"/>
  <c r="AR68" i="40"/>
  <c r="AS68" i="40"/>
  <c r="AT68" i="40"/>
  <c r="AU68" i="40"/>
  <c r="AV68" i="40"/>
  <c r="AW68" i="40"/>
  <c r="AX68" i="40"/>
  <c r="AY68" i="40"/>
  <c r="AZ68" i="40"/>
  <c r="J80" i="40"/>
  <c r="K80" i="40"/>
  <c r="L80" i="40"/>
  <c r="M80" i="40"/>
  <c r="N80" i="40"/>
  <c r="O80" i="40"/>
  <c r="P80" i="40"/>
  <c r="Q80" i="40"/>
  <c r="R80" i="40"/>
  <c r="S80" i="40"/>
  <c r="T80" i="40"/>
  <c r="U80" i="40"/>
  <c r="V80" i="40"/>
  <c r="W80" i="40"/>
  <c r="X80" i="40"/>
  <c r="Y80" i="40"/>
  <c r="Z80" i="40"/>
  <c r="AA80" i="40"/>
  <c r="AB80" i="40"/>
  <c r="AC80" i="40"/>
  <c r="AD80" i="40"/>
  <c r="AE80" i="40"/>
  <c r="AF80" i="40"/>
  <c r="AG80" i="40"/>
  <c r="AH80" i="40"/>
  <c r="AI80" i="40"/>
  <c r="AJ80" i="40"/>
  <c r="AK80" i="40"/>
  <c r="AL80" i="40"/>
  <c r="AM80" i="40"/>
  <c r="AN80" i="40"/>
  <c r="AO80" i="40"/>
  <c r="AP80" i="40"/>
  <c r="AQ80" i="40"/>
  <c r="AR80" i="40"/>
  <c r="AS80" i="40"/>
  <c r="AT80" i="40"/>
  <c r="AU80" i="40"/>
  <c r="AV80" i="40"/>
  <c r="AW80" i="40"/>
  <c r="AX80" i="40"/>
  <c r="AY80" i="40"/>
  <c r="AZ80" i="40"/>
  <c r="J74" i="40"/>
  <c r="K74" i="40"/>
  <c r="L74" i="40"/>
  <c r="M74" i="40"/>
  <c r="N74" i="40"/>
  <c r="O74" i="40"/>
  <c r="P74" i="40"/>
  <c r="Q74" i="40"/>
  <c r="R74" i="40"/>
  <c r="S74" i="40"/>
  <c r="T74" i="40"/>
  <c r="U74" i="40"/>
  <c r="V74" i="40"/>
  <c r="W74" i="40"/>
  <c r="X74" i="40"/>
  <c r="Y74" i="40"/>
  <c r="Z74" i="40"/>
  <c r="AA74" i="40"/>
  <c r="AB74" i="40"/>
  <c r="AC74" i="40"/>
  <c r="AD74" i="40"/>
  <c r="AE74" i="40"/>
  <c r="AF74" i="40"/>
  <c r="AG74" i="40"/>
  <c r="AH74" i="40"/>
  <c r="AI74" i="40"/>
  <c r="AJ74" i="40"/>
  <c r="AK74" i="40"/>
  <c r="AL74" i="40"/>
  <c r="AM74" i="40"/>
  <c r="AN74" i="40"/>
  <c r="AO74" i="40"/>
  <c r="AP74" i="40"/>
  <c r="AQ74" i="40"/>
  <c r="AR74" i="40"/>
  <c r="AS74" i="40"/>
  <c r="AT74" i="40"/>
  <c r="AU74" i="40"/>
  <c r="AV74" i="40"/>
  <c r="AW74" i="40"/>
  <c r="AX74" i="40"/>
  <c r="AY74" i="40"/>
  <c r="AZ74" i="40"/>
  <c r="M58" i="6"/>
  <c r="N59" i="6"/>
  <c r="L2" i="36"/>
  <c r="L2" i="35"/>
  <c r="L2" i="34"/>
  <c r="L2" i="33"/>
  <c r="L2" i="32"/>
  <c r="L2" i="31"/>
  <c r="L2" i="30"/>
  <c r="L2" i="29"/>
  <c r="L2" i="28"/>
  <c r="L2" i="27"/>
  <c r="L2" i="26"/>
  <c r="L2" i="25"/>
  <c r="L2" i="24"/>
  <c r="L2" i="23"/>
  <c r="L2" i="22"/>
  <c r="L2" i="21"/>
  <c r="L2" i="20"/>
  <c r="L2" i="19"/>
  <c r="L2" i="18"/>
  <c r="L2" i="17"/>
  <c r="L2" i="16"/>
  <c r="L2" i="15"/>
  <c r="L2" i="14"/>
  <c r="L2" i="13"/>
  <c r="L2" i="12"/>
  <c r="L2" i="11"/>
  <c r="L2" i="10"/>
  <c r="L2" i="9"/>
  <c r="L2" i="8"/>
  <c r="L2" i="7"/>
  <c r="AG65" i="2"/>
  <c r="AG64" i="2"/>
  <c r="AG63" i="2"/>
  <c r="AG62" i="2"/>
  <c r="AG61" i="2"/>
  <c r="AG60" i="2"/>
  <c r="AG59" i="2"/>
  <c r="N131" i="36"/>
  <c r="N130" i="36"/>
  <c r="N129" i="36"/>
  <c r="N128" i="36"/>
  <c r="N127" i="36"/>
  <c r="N126" i="36"/>
  <c r="N125" i="36"/>
  <c r="N124" i="36"/>
  <c r="N123" i="36"/>
  <c r="N122" i="36"/>
  <c r="N121" i="36"/>
  <c r="N120" i="36"/>
  <c r="N119" i="36"/>
  <c r="N118" i="36"/>
  <c r="N117" i="36"/>
  <c r="N116" i="36"/>
  <c r="N115" i="36"/>
  <c r="N114" i="36"/>
  <c r="N113" i="36"/>
  <c r="N112" i="36"/>
  <c r="N111" i="36"/>
  <c r="N110" i="36"/>
  <c r="N109" i="36"/>
  <c r="N108" i="36"/>
  <c r="N107" i="36"/>
  <c r="N106" i="36"/>
  <c r="N105" i="36"/>
  <c r="N104" i="36"/>
  <c r="N103" i="36"/>
  <c r="N102" i="36"/>
  <c r="N101" i="36"/>
  <c r="N100" i="36"/>
  <c r="N99" i="36"/>
  <c r="N98" i="36"/>
  <c r="N97" i="36"/>
  <c r="N96" i="36"/>
  <c r="N95" i="36"/>
  <c r="N94" i="36"/>
  <c r="N93" i="36"/>
  <c r="N92" i="36"/>
  <c r="N91" i="36"/>
  <c r="N90" i="36"/>
  <c r="N89" i="36"/>
  <c r="N88" i="36"/>
  <c r="N87" i="36"/>
  <c r="N86" i="36"/>
  <c r="N85" i="36"/>
  <c r="N84" i="36"/>
  <c r="N83" i="36"/>
  <c r="N82" i="36"/>
  <c r="N81" i="36"/>
  <c r="N80" i="36"/>
  <c r="N79" i="36"/>
  <c r="N78" i="36"/>
  <c r="N77" i="36"/>
  <c r="N76" i="36"/>
  <c r="N75" i="36"/>
  <c r="N74" i="36"/>
  <c r="N73" i="36"/>
  <c r="N72" i="36"/>
  <c r="N71" i="36"/>
  <c r="N70" i="36"/>
  <c r="N69" i="36"/>
  <c r="N68" i="36"/>
  <c r="N67" i="36"/>
  <c r="N66" i="36"/>
  <c r="N65" i="36"/>
  <c r="N64" i="36"/>
  <c r="N63" i="36"/>
  <c r="E58" i="36"/>
  <c r="L52" i="36"/>
  <c r="K52" i="36"/>
  <c r="J52" i="36"/>
  <c r="I52" i="36"/>
  <c r="G52" i="36"/>
  <c r="F52" i="36"/>
  <c r="E52" i="36"/>
  <c r="D52" i="36"/>
  <c r="C52" i="36"/>
  <c r="M49" i="36"/>
  <c r="L49" i="36"/>
  <c r="K49" i="36"/>
  <c r="J49" i="36"/>
  <c r="I49" i="36"/>
  <c r="G49" i="36"/>
  <c r="F49" i="36"/>
  <c r="E49" i="36"/>
  <c r="C49" i="36"/>
  <c r="M46" i="36"/>
  <c r="L46" i="36"/>
  <c r="K46" i="36"/>
  <c r="J46" i="36"/>
  <c r="I46" i="36"/>
  <c r="G46" i="36"/>
  <c r="F46" i="36"/>
  <c r="E46" i="36"/>
  <c r="D46" i="36"/>
  <c r="D54" i="36"/>
  <c r="C46" i="36"/>
  <c r="I41" i="36"/>
  <c r="G41" i="36"/>
  <c r="F41" i="36"/>
  <c r="E41" i="36"/>
  <c r="D41" i="36"/>
  <c r="C41" i="36"/>
  <c r="K40" i="36"/>
  <c r="J40" i="36"/>
  <c r="K39" i="36"/>
  <c r="J39" i="36"/>
  <c r="K38" i="36"/>
  <c r="J38" i="36"/>
  <c r="K37" i="36"/>
  <c r="J37" i="36"/>
  <c r="K36" i="36"/>
  <c r="J36" i="36"/>
  <c r="K35" i="36"/>
  <c r="J35" i="36"/>
  <c r="K34" i="36"/>
  <c r="J34" i="36"/>
  <c r="K33" i="36"/>
  <c r="J33" i="36"/>
  <c r="K32" i="36"/>
  <c r="J32" i="36"/>
  <c r="K31" i="36"/>
  <c r="J31" i="36"/>
  <c r="K30" i="36"/>
  <c r="J30" i="36"/>
  <c r="K29" i="36"/>
  <c r="J29" i="36"/>
  <c r="K28" i="36"/>
  <c r="J28" i="36"/>
  <c r="J41" i="36"/>
  <c r="K27" i="36"/>
  <c r="J27" i="36"/>
  <c r="K26" i="36"/>
  <c r="J26" i="36"/>
  <c r="K25" i="36"/>
  <c r="J25" i="36"/>
  <c r="H15" i="36"/>
  <c r="H19" i="36"/>
  <c r="H11" i="36"/>
  <c r="H7" i="36"/>
  <c r="K2" i="36"/>
  <c r="N131" i="35"/>
  <c r="N130" i="35"/>
  <c r="N129" i="35"/>
  <c r="N128" i="35"/>
  <c r="N127" i="35"/>
  <c r="N126" i="35"/>
  <c r="N125" i="35"/>
  <c r="N124" i="35"/>
  <c r="N123" i="35"/>
  <c r="N122" i="35"/>
  <c r="N121" i="35"/>
  <c r="N120" i="35"/>
  <c r="N119" i="35"/>
  <c r="N118" i="35"/>
  <c r="N117" i="35"/>
  <c r="N116" i="35"/>
  <c r="N115" i="35"/>
  <c r="N114" i="35"/>
  <c r="N113" i="35"/>
  <c r="N112" i="35"/>
  <c r="N111" i="35"/>
  <c r="N110" i="35"/>
  <c r="N109" i="35"/>
  <c r="N108" i="35"/>
  <c r="N107" i="35"/>
  <c r="N106" i="35"/>
  <c r="N105" i="35"/>
  <c r="N104" i="35"/>
  <c r="N103" i="35"/>
  <c r="N102" i="35"/>
  <c r="N101" i="35"/>
  <c r="N100" i="35"/>
  <c r="N99" i="35"/>
  <c r="N98" i="35"/>
  <c r="N97" i="35"/>
  <c r="N96" i="35"/>
  <c r="N95" i="35"/>
  <c r="N94" i="35"/>
  <c r="N93" i="35"/>
  <c r="N92" i="35"/>
  <c r="N91" i="35"/>
  <c r="N90" i="35"/>
  <c r="N89" i="35"/>
  <c r="N88" i="35"/>
  <c r="N87" i="35"/>
  <c r="N86" i="35"/>
  <c r="N85" i="35"/>
  <c r="N84" i="35"/>
  <c r="N83" i="35"/>
  <c r="N82" i="35"/>
  <c r="N81" i="35"/>
  <c r="N80" i="35"/>
  <c r="N79" i="35"/>
  <c r="N78" i="35"/>
  <c r="N77" i="35"/>
  <c r="N76" i="35"/>
  <c r="N75" i="35"/>
  <c r="N74" i="35"/>
  <c r="N73" i="35"/>
  <c r="N72" i="35"/>
  <c r="N71" i="35"/>
  <c r="N70" i="35"/>
  <c r="N69" i="35"/>
  <c r="N68" i="35"/>
  <c r="N67" i="35"/>
  <c r="N66" i="35"/>
  <c r="N65" i="35"/>
  <c r="N64" i="35"/>
  <c r="N63" i="35"/>
  <c r="E58" i="35"/>
  <c r="L52" i="35"/>
  <c r="K52" i="35"/>
  <c r="J52" i="35"/>
  <c r="I52" i="35"/>
  <c r="G52" i="35"/>
  <c r="F52" i="35"/>
  <c r="E52" i="35"/>
  <c r="D52" i="35"/>
  <c r="C52" i="35"/>
  <c r="M49" i="35"/>
  <c r="L49" i="35"/>
  <c r="K49" i="35"/>
  <c r="J49" i="35"/>
  <c r="I49" i="35"/>
  <c r="G49" i="35"/>
  <c r="F49" i="35"/>
  <c r="E49" i="35"/>
  <c r="C49" i="35"/>
  <c r="M46" i="35"/>
  <c r="L46" i="35"/>
  <c r="K46" i="35"/>
  <c r="J46" i="35"/>
  <c r="I46" i="35"/>
  <c r="G46" i="35"/>
  <c r="F46" i="35"/>
  <c r="E46" i="35"/>
  <c r="D46" i="35"/>
  <c r="C46" i="35"/>
  <c r="I41" i="35"/>
  <c r="G41" i="35"/>
  <c r="F41" i="35"/>
  <c r="E41" i="35"/>
  <c r="D41" i="35"/>
  <c r="C41" i="35"/>
  <c r="K40" i="35"/>
  <c r="J40" i="35"/>
  <c r="K39" i="35"/>
  <c r="J39" i="35"/>
  <c r="K38" i="35"/>
  <c r="K41" i="35"/>
  <c r="J38" i="35"/>
  <c r="K37" i="35"/>
  <c r="J37" i="35"/>
  <c r="K36" i="35"/>
  <c r="J36" i="35"/>
  <c r="K35" i="35"/>
  <c r="J35" i="35"/>
  <c r="K34" i="35"/>
  <c r="J34" i="35"/>
  <c r="K33" i="35"/>
  <c r="J33" i="35"/>
  <c r="K32" i="35"/>
  <c r="J32" i="35"/>
  <c r="K31" i="35"/>
  <c r="J31" i="35"/>
  <c r="K30" i="35"/>
  <c r="J30" i="35"/>
  <c r="K29" i="35"/>
  <c r="J29" i="35"/>
  <c r="K28" i="35"/>
  <c r="J28" i="35"/>
  <c r="K27" i="35"/>
  <c r="J27" i="35"/>
  <c r="K26" i="35"/>
  <c r="J26" i="35"/>
  <c r="K25" i="35"/>
  <c r="J25" i="35"/>
  <c r="H15" i="35"/>
  <c r="H11" i="35"/>
  <c r="H7" i="35"/>
  <c r="K2" i="35"/>
  <c r="N131" i="34"/>
  <c r="N130" i="34"/>
  <c r="N129" i="34"/>
  <c r="N128" i="34"/>
  <c r="N127" i="34"/>
  <c r="N126" i="34"/>
  <c r="N125" i="34"/>
  <c r="N124" i="34"/>
  <c r="N123" i="34"/>
  <c r="N122" i="34"/>
  <c r="N121" i="34"/>
  <c r="N120" i="34"/>
  <c r="N119" i="34"/>
  <c r="N118" i="34"/>
  <c r="N117" i="34"/>
  <c r="N116" i="34"/>
  <c r="N115" i="34"/>
  <c r="N114" i="34"/>
  <c r="N113" i="34"/>
  <c r="N112" i="34"/>
  <c r="N111" i="34"/>
  <c r="N110" i="34"/>
  <c r="N109" i="34"/>
  <c r="N108" i="34"/>
  <c r="N107" i="34"/>
  <c r="N106" i="34"/>
  <c r="N105" i="34"/>
  <c r="N104" i="34"/>
  <c r="N103" i="34"/>
  <c r="N102" i="34"/>
  <c r="N101" i="34"/>
  <c r="N100" i="34"/>
  <c r="N99" i="34"/>
  <c r="N98" i="34"/>
  <c r="N97" i="34"/>
  <c r="N96" i="34"/>
  <c r="N95" i="34"/>
  <c r="N94" i="34"/>
  <c r="N93" i="34"/>
  <c r="N92" i="34"/>
  <c r="N91" i="34"/>
  <c r="N90" i="34"/>
  <c r="N89" i="34"/>
  <c r="N88" i="34"/>
  <c r="N87" i="34"/>
  <c r="N86" i="34"/>
  <c r="N85" i="34"/>
  <c r="N84" i="34"/>
  <c r="N83" i="34"/>
  <c r="N82" i="34"/>
  <c r="N81" i="34"/>
  <c r="N80" i="34"/>
  <c r="N79" i="34"/>
  <c r="N78" i="34"/>
  <c r="N77" i="34"/>
  <c r="N76" i="34"/>
  <c r="N75" i="34"/>
  <c r="N74" i="34"/>
  <c r="N73" i="34"/>
  <c r="N72" i="34"/>
  <c r="N71" i="34"/>
  <c r="N70" i="34"/>
  <c r="N69" i="34"/>
  <c r="N68" i="34"/>
  <c r="N67" i="34"/>
  <c r="N66" i="34"/>
  <c r="N65" i="34"/>
  <c r="N64" i="34"/>
  <c r="N63" i="34"/>
  <c r="E58" i="34"/>
  <c r="L52" i="34"/>
  <c r="K52" i="34"/>
  <c r="J52" i="34"/>
  <c r="I52" i="34"/>
  <c r="G52" i="34"/>
  <c r="F52" i="34"/>
  <c r="E52" i="34"/>
  <c r="D52" i="34"/>
  <c r="C52" i="34"/>
  <c r="M49" i="34"/>
  <c r="L49" i="34"/>
  <c r="K49" i="34"/>
  <c r="J49" i="34"/>
  <c r="I49" i="34"/>
  <c r="G49" i="34"/>
  <c r="F49" i="34"/>
  <c r="E49" i="34"/>
  <c r="C49" i="34"/>
  <c r="M46" i="34"/>
  <c r="L46" i="34"/>
  <c r="K46" i="34"/>
  <c r="J46" i="34"/>
  <c r="I46" i="34"/>
  <c r="G46" i="34"/>
  <c r="F46" i="34"/>
  <c r="E46" i="34"/>
  <c r="D46" i="34"/>
  <c r="C46" i="34"/>
  <c r="I41" i="34"/>
  <c r="G41" i="34"/>
  <c r="F41" i="34"/>
  <c r="E41" i="34"/>
  <c r="D41" i="34"/>
  <c r="C41" i="34"/>
  <c r="K40" i="34"/>
  <c r="J40" i="34"/>
  <c r="K39" i="34"/>
  <c r="K41" i="34"/>
  <c r="J39" i="34"/>
  <c r="K38" i="34"/>
  <c r="J38" i="34"/>
  <c r="K37" i="34"/>
  <c r="J37" i="34"/>
  <c r="K36" i="34"/>
  <c r="J36" i="34"/>
  <c r="K35" i="34"/>
  <c r="J35" i="34"/>
  <c r="K34" i="34"/>
  <c r="J34" i="34"/>
  <c r="K33" i="34"/>
  <c r="J33" i="34"/>
  <c r="K32" i="34"/>
  <c r="J32" i="34"/>
  <c r="K31" i="34"/>
  <c r="J31" i="34"/>
  <c r="K30" i="34"/>
  <c r="J30" i="34"/>
  <c r="K29" i="34"/>
  <c r="J29" i="34"/>
  <c r="K28" i="34"/>
  <c r="J28" i="34"/>
  <c r="K27" i="34"/>
  <c r="J27" i="34"/>
  <c r="K26" i="34"/>
  <c r="J26" i="34"/>
  <c r="K25" i="34"/>
  <c r="J25" i="34"/>
  <c r="J41" i="34"/>
  <c r="H15" i="34"/>
  <c r="H11" i="34"/>
  <c r="H7" i="34"/>
  <c r="K2" i="34"/>
  <c r="N131" i="33"/>
  <c r="N130" i="33"/>
  <c r="N129" i="33"/>
  <c r="N128" i="33"/>
  <c r="N127" i="33"/>
  <c r="N126" i="33"/>
  <c r="N125" i="33"/>
  <c r="N124" i="33"/>
  <c r="N123" i="33"/>
  <c r="N122" i="33"/>
  <c r="N121" i="33"/>
  <c r="N120" i="33"/>
  <c r="N119" i="33"/>
  <c r="N118" i="33"/>
  <c r="N117" i="33"/>
  <c r="N116" i="33"/>
  <c r="N115" i="33"/>
  <c r="N114" i="33"/>
  <c r="N113" i="33"/>
  <c r="N112" i="33"/>
  <c r="N111" i="33"/>
  <c r="N110" i="33"/>
  <c r="N109" i="33"/>
  <c r="N108" i="33"/>
  <c r="N107" i="33"/>
  <c r="N106" i="33"/>
  <c r="N105" i="33"/>
  <c r="N104" i="33"/>
  <c r="N103" i="33"/>
  <c r="N102" i="33"/>
  <c r="N101" i="33"/>
  <c r="N100" i="33"/>
  <c r="N99" i="33"/>
  <c r="N98" i="33"/>
  <c r="N97" i="33"/>
  <c r="N96" i="33"/>
  <c r="N95" i="33"/>
  <c r="N94" i="33"/>
  <c r="N93" i="33"/>
  <c r="N92" i="33"/>
  <c r="N91" i="33"/>
  <c r="N90" i="33"/>
  <c r="N89" i="33"/>
  <c r="N88" i="33"/>
  <c r="N87" i="33"/>
  <c r="N86" i="33"/>
  <c r="N85" i="33"/>
  <c r="N84" i="33"/>
  <c r="N83" i="33"/>
  <c r="N82" i="33"/>
  <c r="N81" i="33"/>
  <c r="N80" i="33"/>
  <c r="N79" i="33"/>
  <c r="N78" i="33"/>
  <c r="N77" i="33"/>
  <c r="N76" i="33"/>
  <c r="N75" i="33"/>
  <c r="N74" i="33"/>
  <c r="N73" i="33"/>
  <c r="N72" i="33"/>
  <c r="N71" i="33"/>
  <c r="N70" i="33"/>
  <c r="N69" i="33"/>
  <c r="N68" i="33"/>
  <c r="N67" i="33"/>
  <c r="N66" i="33"/>
  <c r="N65" i="33"/>
  <c r="N64" i="33"/>
  <c r="N63" i="33"/>
  <c r="E58" i="33"/>
  <c r="L52" i="33"/>
  <c r="K52" i="33"/>
  <c r="J52" i="33"/>
  <c r="I52" i="33"/>
  <c r="G52" i="33"/>
  <c r="F52" i="33"/>
  <c r="E52" i="33"/>
  <c r="D52" i="33"/>
  <c r="C52" i="33"/>
  <c r="M49" i="33"/>
  <c r="L49" i="33"/>
  <c r="K49" i="33"/>
  <c r="J49" i="33"/>
  <c r="I49" i="33"/>
  <c r="G49" i="33"/>
  <c r="F49" i="33"/>
  <c r="E49" i="33"/>
  <c r="C49" i="33"/>
  <c r="M46" i="33"/>
  <c r="L46" i="33"/>
  <c r="K46" i="33"/>
  <c r="J46" i="33"/>
  <c r="I46" i="33"/>
  <c r="G46" i="33"/>
  <c r="F46" i="33"/>
  <c r="E46" i="33"/>
  <c r="D46" i="33"/>
  <c r="C46" i="33"/>
  <c r="I41" i="33"/>
  <c r="G41" i="33"/>
  <c r="F41" i="33"/>
  <c r="E41" i="33"/>
  <c r="D41" i="33"/>
  <c r="C41" i="33"/>
  <c r="K40" i="33"/>
  <c r="J40" i="33"/>
  <c r="K39" i="33"/>
  <c r="J39" i="33"/>
  <c r="K38" i="33"/>
  <c r="J38" i="33"/>
  <c r="K37" i="33"/>
  <c r="J37" i="33"/>
  <c r="K36" i="33"/>
  <c r="J36" i="33"/>
  <c r="K35" i="33"/>
  <c r="J35" i="33"/>
  <c r="K34" i="33"/>
  <c r="J34" i="33"/>
  <c r="K33" i="33"/>
  <c r="J33" i="33"/>
  <c r="K32" i="33"/>
  <c r="J32" i="33"/>
  <c r="K31" i="33"/>
  <c r="J31" i="33"/>
  <c r="K30" i="33"/>
  <c r="J30" i="33"/>
  <c r="K29" i="33"/>
  <c r="J29" i="33"/>
  <c r="K28" i="33"/>
  <c r="J28" i="33"/>
  <c r="K27" i="33"/>
  <c r="J27" i="33"/>
  <c r="K26" i="33"/>
  <c r="K41" i="33"/>
  <c r="J26" i="33"/>
  <c r="K25" i="33"/>
  <c r="J25" i="33"/>
  <c r="H15" i="33"/>
  <c r="H11" i="33"/>
  <c r="H7" i="33"/>
  <c r="H19" i="33"/>
  <c r="K2" i="33"/>
  <c r="N131" i="32"/>
  <c r="N130" i="32"/>
  <c r="N129" i="32"/>
  <c r="N128" i="32"/>
  <c r="N127" i="32"/>
  <c r="N126" i="32"/>
  <c r="N125" i="32"/>
  <c r="N124" i="32"/>
  <c r="N123" i="32"/>
  <c r="N122" i="32"/>
  <c r="N121" i="32"/>
  <c r="N120" i="32"/>
  <c r="N119" i="32"/>
  <c r="N118" i="32"/>
  <c r="N117" i="32"/>
  <c r="N116" i="32"/>
  <c r="N115" i="32"/>
  <c r="N114" i="32"/>
  <c r="N113" i="32"/>
  <c r="N112" i="32"/>
  <c r="N111" i="32"/>
  <c r="N110" i="32"/>
  <c r="N109" i="32"/>
  <c r="N108" i="32"/>
  <c r="N107" i="32"/>
  <c r="N106" i="32"/>
  <c r="N105" i="32"/>
  <c r="N104" i="32"/>
  <c r="N103" i="32"/>
  <c r="N102" i="32"/>
  <c r="N101" i="32"/>
  <c r="N100" i="32"/>
  <c r="N99" i="32"/>
  <c r="N98" i="32"/>
  <c r="N97" i="32"/>
  <c r="N96" i="32"/>
  <c r="N95" i="32"/>
  <c r="N94" i="32"/>
  <c r="N93" i="32"/>
  <c r="N92" i="32"/>
  <c r="N91" i="32"/>
  <c r="N90" i="32"/>
  <c r="N89" i="32"/>
  <c r="N88" i="32"/>
  <c r="N87" i="32"/>
  <c r="N86" i="32"/>
  <c r="N85" i="32"/>
  <c r="N84" i="32"/>
  <c r="N83" i="32"/>
  <c r="N82" i="32"/>
  <c r="N81" i="32"/>
  <c r="N80" i="32"/>
  <c r="N79" i="32"/>
  <c r="N78" i="32"/>
  <c r="N77" i="32"/>
  <c r="N76" i="32"/>
  <c r="N75" i="32"/>
  <c r="N74" i="32"/>
  <c r="N73" i="32"/>
  <c r="N72" i="32"/>
  <c r="N71" i="32"/>
  <c r="N70" i="32"/>
  <c r="N69" i="32"/>
  <c r="N68" i="32"/>
  <c r="N67" i="32"/>
  <c r="N62" i="32"/>
  <c r="N66" i="32"/>
  <c r="N65" i="32"/>
  <c r="N64" i="32"/>
  <c r="N63" i="32"/>
  <c r="E58" i="32"/>
  <c r="L52" i="32"/>
  <c r="K52" i="32"/>
  <c r="J52" i="32"/>
  <c r="I52" i="32"/>
  <c r="G52" i="32"/>
  <c r="F52" i="32"/>
  <c r="E52" i="32"/>
  <c r="D52" i="32"/>
  <c r="C52" i="32"/>
  <c r="M49" i="32"/>
  <c r="L49" i="32"/>
  <c r="D54" i="32"/>
  <c r="I54" i="33"/>
  <c r="K49" i="32"/>
  <c r="J49" i="32"/>
  <c r="I49" i="32"/>
  <c r="G49" i="32"/>
  <c r="F49" i="32"/>
  <c r="E49" i="32"/>
  <c r="C49" i="32"/>
  <c r="M46" i="32"/>
  <c r="L46" i="32"/>
  <c r="K46" i="32"/>
  <c r="J46" i="32"/>
  <c r="I46" i="32"/>
  <c r="G46" i="32"/>
  <c r="F46" i="32"/>
  <c r="E46" i="32"/>
  <c r="D46" i="32"/>
  <c r="C46" i="32"/>
  <c r="I41" i="32"/>
  <c r="G41" i="32"/>
  <c r="F41" i="32"/>
  <c r="E41" i="32"/>
  <c r="D41" i="32"/>
  <c r="C41" i="32"/>
  <c r="K40" i="32"/>
  <c r="J40" i="32"/>
  <c r="K39" i="32"/>
  <c r="J39" i="32"/>
  <c r="K38" i="32"/>
  <c r="J38" i="32"/>
  <c r="K37" i="32"/>
  <c r="J37" i="32"/>
  <c r="K36" i="32"/>
  <c r="J36" i="32"/>
  <c r="K35" i="32"/>
  <c r="J35" i="32"/>
  <c r="K34" i="32"/>
  <c r="J34" i="32"/>
  <c r="K33" i="32"/>
  <c r="J33" i="32"/>
  <c r="K32" i="32"/>
  <c r="J32" i="32"/>
  <c r="K31" i="32"/>
  <c r="J31" i="32"/>
  <c r="K30" i="32"/>
  <c r="J30" i="32"/>
  <c r="K29" i="32"/>
  <c r="J29" i="32"/>
  <c r="K28" i="32"/>
  <c r="J28" i="32"/>
  <c r="K27" i="32"/>
  <c r="J27" i="32"/>
  <c r="K26" i="32"/>
  <c r="J26" i="32"/>
  <c r="K25" i="32"/>
  <c r="J25" i="32"/>
  <c r="H15" i="32"/>
  <c r="H19" i="32"/>
  <c r="H11" i="32"/>
  <c r="H7" i="32"/>
  <c r="K2" i="32"/>
  <c r="N131" i="31"/>
  <c r="N130" i="31"/>
  <c r="N129" i="31"/>
  <c r="N128" i="31"/>
  <c r="N127" i="31"/>
  <c r="N126" i="31"/>
  <c r="N125" i="31"/>
  <c r="N124" i="31"/>
  <c r="N123" i="31"/>
  <c r="N122" i="31"/>
  <c r="N121" i="31"/>
  <c r="N120" i="31"/>
  <c r="N119" i="31"/>
  <c r="N118" i="31"/>
  <c r="N117" i="31"/>
  <c r="N116" i="31"/>
  <c r="N115" i="31"/>
  <c r="N114" i="31"/>
  <c r="N113" i="31"/>
  <c r="N112" i="31"/>
  <c r="N111" i="31"/>
  <c r="N110" i="31"/>
  <c r="N109" i="31"/>
  <c r="N108" i="31"/>
  <c r="N107" i="31"/>
  <c r="N106" i="31"/>
  <c r="N105" i="31"/>
  <c r="N104" i="31"/>
  <c r="N103" i="31"/>
  <c r="N102" i="31"/>
  <c r="N101" i="31"/>
  <c r="N100" i="31"/>
  <c r="N99" i="31"/>
  <c r="N98" i="31"/>
  <c r="N97" i="31"/>
  <c r="N96" i="31"/>
  <c r="N95" i="31"/>
  <c r="N94" i="31"/>
  <c r="N93" i="31"/>
  <c r="N92" i="31"/>
  <c r="N91" i="31"/>
  <c r="N90" i="31"/>
  <c r="N89" i="31"/>
  <c r="N88" i="31"/>
  <c r="N87" i="31"/>
  <c r="N86" i="31"/>
  <c r="N85" i="31"/>
  <c r="N84" i="31"/>
  <c r="N83" i="31"/>
  <c r="N82" i="31"/>
  <c r="N81" i="31"/>
  <c r="N80" i="31"/>
  <c r="N79" i="31"/>
  <c r="N78" i="31"/>
  <c r="N77" i="31"/>
  <c r="N76" i="31"/>
  <c r="N75" i="31"/>
  <c r="N74" i="31"/>
  <c r="N73" i="31"/>
  <c r="N72" i="31"/>
  <c r="N71" i="31"/>
  <c r="N70" i="31"/>
  <c r="N69" i="31"/>
  <c r="N68" i="31"/>
  <c r="N67" i="31"/>
  <c r="N66" i="31"/>
  <c r="N65" i="31"/>
  <c r="N64" i="31"/>
  <c r="N63" i="31"/>
  <c r="N62" i="31"/>
  <c r="E58" i="31"/>
  <c r="L52" i="31"/>
  <c r="K52" i="31"/>
  <c r="J52" i="31"/>
  <c r="I52" i="31"/>
  <c r="G52" i="31"/>
  <c r="F52" i="31"/>
  <c r="E52" i="31"/>
  <c r="D52" i="31"/>
  <c r="C52" i="31"/>
  <c r="M49" i="31"/>
  <c r="L49" i="31"/>
  <c r="K49" i="31"/>
  <c r="J49" i="31"/>
  <c r="I49" i="31"/>
  <c r="G49" i="31"/>
  <c r="F49" i="31"/>
  <c r="E49" i="31"/>
  <c r="C49" i="31"/>
  <c r="M46" i="31"/>
  <c r="L46" i="31"/>
  <c r="K46" i="31"/>
  <c r="D54" i="31"/>
  <c r="I54" i="32"/>
  <c r="J46" i="31"/>
  <c r="I46" i="31"/>
  <c r="G46" i="31"/>
  <c r="F46" i="31"/>
  <c r="E46" i="31"/>
  <c r="D46" i="31"/>
  <c r="C46" i="31"/>
  <c r="I41" i="31"/>
  <c r="G41" i="31"/>
  <c r="F41" i="31"/>
  <c r="E41" i="31"/>
  <c r="D41" i="31"/>
  <c r="C41" i="31"/>
  <c r="K40" i="31"/>
  <c r="J40" i="31"/>
  <c r="K39" i="31"/>
  <c r="J39" i="31"/>
  <c r="K38" i="31"/>
  <c r="J38" i="31"/>
  <c r="K37" i="31"/>
  <c r="J37" i="31"/>
  <c r="K36" i="31"/>
  <c r="J36" i="31"/>
  <c r="K35" i="31"/>
  <c r="J35" i="31"/>
  <c r="K34" i="31"/>
  <c r="J34" i="31"/>
  <c r="K33" i="31"/>
  <c r="J33" i="31"/>
  <c r="K32" i="31"/>
  <c r="J32" i="31"/>
  <c r="K31" i="31"/>
  <c r="J31" i="31"/>
  <c r="K30" i="31"/>
  <c r="J30" i="31"/>
  <c r="K29" i="31"/>
  <c r="J29" i="31"/>
  <c r="K28" i="31"/>
  <c r="J28" i="31"/>
  <c r="K27" i="31"/>
  <c r="J27" i="31"/>
  <c r="K26" i="31"/>
  <c r="K41" i="31"/>
  <c r="J26" i="31"/>
  <c r="K25" i="31"/>
  <c r="J25" i="31"/>
  <c r="J41" i="31"/>
  <c r="H15" i="31"/>
  <c r="H11" i="31"/>
  <c r="H7" i="31"/>
  <c r="H19" i="31"/>
  <c r="L59" i="31"/>
  <c r="K2" i="31"/>
  <c r="N131" i="30"/>
  <c r="N130" i="30"/>
  <c r="N129" i="30"/>
  <c r="N128" i="30"/>
  <c r="N127" i="30"/>
  <c r="N126" i="30"/>
  <c r="N125" i="30"/>
  <c r="N124" i="30"/>
  <c r="N123" i="30"/>
  <c r="N122" i="30"/>
  <c r="N121" i="30"/>
  <c r="N120" i="30"/>
  <c r="N119" i="30"/>
  <c r="N118" i="30"/>
  <c r="N117" i="30"/>
  <c r="N116" i="30"/>
  <c r="N115" i="30"/>
  <c r="N114" i="30"/>
  <c r="N113" i="30"/>
  <c r="N112" i="30"/>
  <c r="N111" i="30"/>
  <c r="N110" i="30"/>
  <c r="N109" i="30"/>
  <c r="N108" i="30"/>
  <c r="N107" i="30"/>
  <c r="N106" i="30"/>
  <c r="N105" i="30"/>
  <c r="N104" i="30"/>
  <c r="N103" i="30"/>
  <c r="N102" i="30"/>
  <c r="N101" i="30"/>
  <c r="N100" i="30"/>
  <c r="N99" i="30"/>
  <c r="N98" i="30"/>
  <c r="N97" i="30"/>
  <c r="N96" i="30"/>
  <c r="N95" i="30"/>
  <c r="N94" i="30"/>
  <c r="N93" i="30"/>
  <c r="N92" i="30"/>
  <c r="N91" i="30"/>
  <c r="N90" i="30"/>
  <c r="N89" i="30"/>
  <c r="N88" i="30"/>
  <c r="N87" i="30"/>
  <c r="N86" i="30"/>
  <c r="N85" i="30"/>
  <c r="N84" i="30"/>
  <c r="N83" i="30"/>
  <c r="N82" i="30"/>
  <c r="N81" i="30"/>
  <c r="N80" i="30"/>
  <c r="N79" i="30"/>
  <c r="N78" i="30"/>
  <c r="N77" i="30"/>
  <c r="N76" i="30"/>
  <c r="N75" i="30"/>
  <c r="N74" i="30"/>
  <c r="N73" i="30"/>
  <c r="N72" i="30"/>
  <c r="N71" i="30"/>
  <c r="N70" i="30"/>
  <c r="N69" i="30"/>
  <c r="N68" i="30"/>
  <c r="N67" i="30"/>
  <c r="N66" i="30"/>
  <c r="N65" i="30"/>
  <c r="N64" i="30"/>
  <c r="N63" i="30"/>
  <c r="E58" i="30"/>
  <c r="L52" i="30"/>
  <c r="K52" i="30"/>
  <c r="J52" i="30"/>
  <c r="I52" i="30"/>
  <c r="G52" i="30"/>
  <c r="F52" i="30"/>
  <c r="E52" i="30"/>
  <c r="D52" i="30"/>
  <c r="C52" i="30"/>
  <c r="D54" i="30"/>
  <c r="I54" i="31"/>
  <c r="M49" i="30"/>
  <c r="L49" i="30"/>
  <c r="K49" i="30"/>
  <c r="J49" i="30"/>
  <c r="I49" i="30"/>
  <c r="G49" i="30"/>
  <c r="F49" i="30"/>
  <c r="E49" i="30"/>
  <c r="C49" i="30"/>
  <c r="M46" i="30"/>
  <c r="L46" i="30"/>
  <c r="K46" i="30"/>
  <c r="J46" i="30"/>
  <c r="I46" i="30"/>
  <c r="G46" i="30"/>
  <c r="F46" i="30"/>
  <c r="E46" i="30"/>
  <c r="D46" i="30"/>
  <c r="C46" i="30"/>
  <c r="I41" i="30"/>
  <c r="G41" i="30"/>
  <c r="F41" i="30"/>
  <c r="E41" i="30"/>
  <c r="D41" i="30"/>
  <c r="C41" i="30"/>
  <c r="K40" i="30"/>
  <c r="J40" i="30"/>
  <c r="K39" i="30"/>
  <c r="J39" i="30"/>
  <c r="K38" i="30"/>
  <c r="J38" i="30"/>
  <c r="K37" i="30"/>
  <c r="J37" i="30"/>
  <c r="K36" i="30"/>
  <c r="J36" i="30"/>
  <c r="K35" i="30"/>
  <c r="J35" i="30"/>
  <c r="K34" i="30"/>
  <c r="J34" i="30"/>
  <c r="K33" i="30"/>
  <c r="J33" i="30"/>
  <c r="K32" i="30"/>
  <c r="J32" i="30"/>
  <c r="K31" i="30"/>
  <c r="J31" i="30"/>
  <c r="K30" i="30"/>
  <c r="J30" i="30"/>
  <c r="K29" i="30"/>
  <c r="J29" i="30"/>
  <c r="K28" i="30"/>
  <c r="J28" i="30"/>
  <c r="K27" i="30"/>
  <c r="J27" i="30"/>
  <c r="K26" i="30"/>
  <c r="J26" i="30"/>
  <c r="K25" i="30"/>
  <c r="J25" i="30"/>
  <c r="J41" i="30"/>
  <c r="H11" i="30"/>
  <c r="H7" i="30"/>
  <c r="H19" i="30"/>
  <c r="K2" i="30"/>
  <c r="N131" i="29"/>
  <c r="N130" i="29"/>
  <c r="N129" i="29"/>
  <c r="N128" i="29"/>
  <c r="N127" i="29"/>
  <c r="N126" i="29"/>
  <c r="N125" i="29"/>
  <c r="N124" i="29"/>
  <c r="N123" i="29"/>
  <c r="N122" i="29"/>
  <c r="N121" i="29"/>
  <c r="N120" i="29"/>
  <c r="N119" i="29"/>
  <c r="N118" i="29"/>
  <c r="N117" i="29"/>
  <c r="N116" i="29"/>
  <c r="N115" i="29"/>
  <c r="N114" i="29"/>
  <c r="N113" i="29"/>
  <c r="N112" i="29"/>
  <c r="N111" i="29"/>
  <c r="N110" i="29"/>
  <c r="N109" i="29"/>
  <c r="N108" i="29"/>
  <c r="N107" i="29"/>
  <c r="N106" i="29"/>
  <c r="N105" i="29"/>
  <c r="N104" i="29"/>
  <c r="N103" i="29"/>
  <c r="N102" i="29"/>
  <c r="N101" i="29"/>
  <c r="N100" i="29"/>
  <c r="N99" i="29"/>
  <c r="N98" i="29"/>
  <c r="N97" i="29"/>
  <c r="N96" i="29"/>
  <c r="N95" i="29"/>
  <c r="N94" i="29"/>
  <c r="N93" i="29"/>
  <c r="N92" i="29"/>
  <c r="N91" i="29"/>
  <c r="N90" i="29"/>
  <c r="N89" i="29"/>
  <c r="N88" i="29"/>
  <c r="N87" i="29"/>
  <c r="N86" i="29"/>
  <c r="N85" i="29"/>
  <c r="N84" i="29"/>
  <c r="N83" i="29"/>
  <c r="N82" i="29"/>
  <c r="N81" i="29"/>
  <c r="N80" i="29"/>
  <c r="N79" i="29"/>
  <c r="N78" i="29"/>
  <c r="N77" i="29"/>
  <c r="N76" i="29"/>
  <c r="N75" i="29"/>
  <c r="N74" i="29"/>
  <c r="N73" i="29"/>
  <c r="N72" i="29"/>
  <c r="N71" i="29"/>
  <c r="N70" i="29"/>
  <c r="N69" i="29"/>
  <c r="N68" i="29"/>
  <c r="N67" i="29"/>
  <c r="N66" i="29"/>
  <c r="N65" i="29"/>
  <c r="N64" i="29"/>
  <c r="N63" i="29"/>
  <c r="E58" i="29"/>
  <c r="L52" i="29"/>
  <c r="K52" i="29"/>
  <c r="J52" i="29"/>
  <c r="I52" i="29"/>
  <c r="G52" i="29"/>
  <c r="F52" i="29"/>
  <c r="E52" i="29"/>
  <c r="D52" i="29"/>
  <c r="C52" i="29"/>
  <c r="M49" i="29"/>
  <c r="L49" i="29"/>
  <c r="K49" i="29"/>
  <c r="J49" i="29"/>
  <c r="I49" i="29"/>
  <c r="G49" i="29"/>
  <c r="F49" i="29"/>
  <c r="E49" i="29"/>
  <c r="C49" i="29"/>
  <c r="M46" i="29"/>
  <c r="L46" i="29"/>
  <c r="K46" i="29"/>
  <c r="J46" i="29"/>
  <c r="I46" i="29"/>
  <c r="G46" i="29"/>
  <c r="F46" i="29"/>
  <c r="E46" i="29"/>
  <c r="D46" i="29"/>
  <c r="C46" i="29"/>
  <c r="I41" i="29"/>
  <c r="G41" i="29"/>
  <c r="F41" i="29"/>
  <c r="E41" i="29"/>
  <c r="D41" i="29"/>
  <c r="C41" i="29"/>
  <c r="K40" i="29"/>
  <c r="J40" i="29"/>
  <c r="K39" i="29"/>
  <c r="K41" i="29"/>
  <c r="J39" i="29"/>
  <c r="K38" i="29"/>
  <c r="J38" i="29"/>
  <c r="K37" i="29"/>
  <c r="J37" i="29"/>
  <c r="K36" i="29"/>
  <c r="J36" i="29"/>
  <c r="K35" i="29"/>
  <c r="J35" i="29"/>
  <c r="K34" i="29"/>
  <c r="J34" i="29"/>
  <c r="K33" i="29"/>
  <c r="J33" i="29"/>
  <c r="K32" i="29"/>
  <c r="J32" i="29"/>
  <c r="K31" i="29"/>
  <c r="J31" i="29"/>
  <c r="K30" i="29"/>
  <c r="J30" i="29"/>
  <c r="K29" i="29"/>
  <c r="J29" i="29"/>
  <c r="K28" i="29"/>
  <c r="J28" i="29"/>
  <c r="K27" i="29"/>
  <c r="J27" i="29"/>
  <c r="K26" i="29"/>
  <c r="J26" i="29"/>
  <c r="K25" i="29"/>
  <c r="J25" i="29"/>
  <c r="H15" i="29"/>
  <c r="H11" i="29"/>
  <c r="H7" i="29"/>
  <c r="K2" i="29"/>
  <c r="N131" i="28"/>
  <c r="N130" i="28"/>
  <c r="N129" i="28"/>
  <c r="N128" i="28"/>
  <c r="N127" i="28"/>
  <c r="N126" i="28"/>
  <c r="N125" i="28"/>
  <c r="N124" i="28"/>
  <c r="N123" i="28"/>
  <c r="N122" i="28"/>
  <c r="N121" i="28"/>
  <c r="N120" i="28"/>
  <c r="N119" i="28"/>
  <c r="N118" i="28"/>
  <c r="N117" i="28"/>
  <c r="N116" i="28"/>
  <c r="N115" i="28"/>
  <c r="N114" i="28"/>
  <c r="N113" i="28"/>
  <c r="N112" i="28"/>
  <c r="N111" i="28"/>
  <c r="N110" i="28"/>
  <c r="N109" i="28"/>
  <c r="N108" i="28"/>
  <c r="N107" i="28"/>
  <c r="N106" i="28"/>
  <c r="N105" i="28"/>
  <c r="N104" i="28"/>
  <c r="N103" i="28"/>
  <c r="N102" i="28"/>
  <c r="N101" i="28"/>
  <c r="N100" i="28"/>
  <c r="N99" i="28"/>
  <c r="N98" i="28"/>
  <c r="N97" i="28"/>
  <c r="N96" i="28"/>
  <c r="N95" i="28"/>
  <c r="N94" i="28"/>
  <c r="N93" i="28"/>
  <c r="N92" i="28"/>
  <c r="N91" i="28"/>
  <c r="N90" i="28"/>
  <c r="N89" i="28"/>
  <c r="N88" i="28"/>
  <c r="N87" i="28"/>
  <c r="N86" i="28"/>
  <c r="N85" i="28"/>
  <c r="N84" i="28"/>
  <c r="N83" i="28"/>
  <c r="N82" i="28"/>
  <c r="N81" i="28"/>
  <c r="N80" i="28"/>
  <c r="N79" i="28"/>
  <c r="N78" i="28"/>
  <c r="N77" i="28"/>
  <c r="N76" i="28"/>
  <c r="N75" i="28"/>
  <c r="N74" i="28"/>
  <c r="N73" i="28"/>
  <c r="N72" i="28"/>
  <c r="N71" i="28"/>
  <c r="N70" i="28"/>
  <c r="N69" i="28"/>
  <c r="N68" i="28"/>
  <c r="N67" i="28"/>
  <c r="N66" i="28"/>
  <c r="N65" i="28"/>
  <c r="N64" i="28"/>
  <c r="N63" i="28"/>
  <c r="E58" i="28"/>
  <c r="L52" i="28"/>
  <c r="K52" i="28"/>
  <c r="J52" i="28"/>
  <c r="I52" i="28"/>
  <c r="G52" i="28"/>
  <c r="F52" i="28"/>
  <c r="E52" i="28"/>
  <c r="D52" i="28"/>
  <c r="C52" i="28"/>
  <c r="M49" i="28"/>
  <c r="L49" i="28"/>
  <c r="K49" i="28"/>
  <c r="J49" i="28"/>
  <c r="I49" i="28"/>
  <c r="G49" i="28"/>
  <c r="F49" i="28"/>
  <c r="E49" i="28"/>
  <c r="C49" i="28"/>
  <c r="M46" i="28"/>
  <c r="L46" i="28"/>
  <c r="K46" i="28"/>
  <c r="J46" i="28"/>
  <c r="I46" i="28"/>
  <c r="G46" i="28"/>
  <c r="F46" i="28"/>
  <c r="E46" i="28"/>
  <c r="D46" i="28"/>
  <c r="C46" i="28"/>
  <c r="D54" i="28"/>
  <c r="I54" i="29"/>
  <c r="I41" i="28"/>
  <c r="G41" i="28"/>
  <c r="F41" i="28"/>
  <c r="E41" i="28"/>
  <c r="D41" i="28"/>
  <c r="C41" i="28"/>
  <c r="K40" i="28"/>
  <c r="J40" i="28"/>
  <c r="K39" i="28"/>
  <c r="J39" i="28"/>
  <c r="K38" i="28"/>
  <c r="J38" i="28"/>
  <c r="K37" i="28"/>
  <c r="J37" i="28"/>
  <c r="K36" i="28"/>
  <c r="J36" i="28"/>
  <c r="K35" i="28"/>
  <c r="J35" i="28"/>
  <c r="K34" i="28"/>
  <c r="J34" i="28"/>
  <c r="K33" i="28"/>
  <c r="J33" i="28"/>
  <c r="K32" i="28"/>
  <c r="J32" i="28"/>
  <c r="K31" i="28"/>
  <c r="J31" i="28"/>
  <c r="K30" i="28"/>
  <c r="J30" i="28"/>
  <c r="K29" i="28"/>
  <c r="J29" i="28"/>
  <c r="K28" i="28"/>
  <c r="J28" i="28"/>
  <c r="K27" i="28"/>
  <c r="J27" i="28"/>
  <c r="K26" i="28"/>
  <c r="J26" i="28"/>
  <c r="K25" i="28"/>
  <c r="J25" i="28"/>
  <c r="H15" i="28"/>
  <c r="H11" i="28"/>
  <c r="H7" i="28"/>
  <c r="H19" i="28"/>
  <c r="H59" i="28"/>
  <c r="K2" i="28"/>
  <c r="N131" i="27"/>
  <c r="N130" i="27"/>
  <c r="N129" i="27"/>
  <c r="N128" i="27"/>
  <c r="N127" i="27"/>
  <c r="N126" i="27"/>
  <c r="N125" i="27"/>
  <c r="N124" i="27"/>
  <c r="N123" i="27"/>
  <c r="N122" i="27"/>
  <c r="N121" i="27"/>
  <c r="N120" i="27"/>
  <c r="N119" i="27"/>
  <c r="N118" i="27"/>
  <c r="N117" i="27"/>
  <c r="N116" i="27"/>
  <c r="N115" i="27"/>
  <c r="N114" i="27"/>
  <c r="N113" i="27"/>
  <c r="N112" i="27"/>
  <c r="N111" i="27"/>
  <c r="N110" i="27"/>
  <c r="N109" i="27"/>
  <c r="N108" i="27"/>
  <c r="N107" i="27"/>
  <c r="N106" i="27"/>
  <c r="N105" i="27"/>
  <c r="N104" i="27"/>
  <c r="N103" i="27"/>
  <c r="N102" i="27"/>
  <c r="N101" i="27"/>
  <c r="N100" i="27"/>
  <c r="N99" i="27"/>
  <c r="N98" i="27"/>
  <c r="N97" i="27"/>
  <c r="N96" i="27"/>
  <c r="N95" i="27"/>
  <c r="N94" i="27"/>
  <c r="N93" i="27"/>
  <c r="N92" i="27"/>
  <c r="N91" i="27"/>
  <c r="N90" i="27"/>
  <c r="N89" i="27"/>
  <c r="N88" i="27"/>
  <c r="N87" i="27"/>
  <c r="N86" i="27"/>
  <c r="N85" i="27"/>
  <c r="N84" i="27"/>
  <c r="N83" i="27"/>
  <c r="N82" i="27"/>
  <c r="N81" i="27"/>
  <c r="N80" i="27"/>
  <c r="N79" i="27"/>
  <c r="N78" i="27"/>
  <c r="N77" i="27"/>
  <c r="N76" i="27"/>
  <c r="N75" i="27"/>
  <c r="N74" i="27"/>
  <c r="N73" i="27"/>
  <c r="N72" i="27"/>
  <c r="N71" i="27"/>
  <c r="N70" i="27"/>
  <c r="N69" i="27"/>
  <c r="N68" i="27"/>
  <c r="N67" i="27"/>
  <c r="N66" i="27"/>
  <c r="N65" i="27"/>
  <c r="N64" i="27"/>
  <c r="N63" i="27"/>
  <c r="E58" i="27"/>
  <c r="L52" i="27"/>
  <c r="K52" i="27"/>
  <c r="J52" i="27"/>
  <c r="I52" i="27"/>
  <c r="G52" i="27"/>
  <c r="F52" i="27"/>
  <c r="E52" i="27"/>
  <c r="D52" i="27"/>
  <c r="C52" i="27"/>
  <c r="M49" i="27"/>
  <c r="L49" i="27"/>
  <c r="D54" i="27"/>
  <c r="K49" i="27"/>
  <c r="J49" i="27"/>
  <c r="I49" i="27"/>
  <c r="G49" i="27"/>
  <c r="F49" i="27"/>
  <c r="E49" i="27"/>
  <c r="C49" i="27"/>
  <c r="M46" i="27"/>
  <c r="L46" i="27"/>
  <c r="K46" i="27"/>
  <c r="J46" i="27"/>
  <c r="I46" i="27"/>
  <c r="G46" i="27"/>
  <c r="F46" i="27"/>
  <c r="E46" i="27"/>
  <c r="D46" i="27"/>
  <c r="C46" i="27"/>
  <c r="I41" i="27"/>
  <c r="G41" i="27"/>
  <c r="F41" i="27"/>
  <c r="E41" i="27"/>
  <c r="D41" i="27"/>
  <c r="C41" i="27"/>
  <c r="K40" i="27"/>
  <c r="J40" i="27"/>
  <c r="K39" i="27"/>
  <c r="J39" i="27"/>
  <c r="K38" i="27"/>
  <c r="J38" i="27"/>
  <c r="K37" i="27"/>
  <c r="J37" i="27"/>
  <c r="K36" i="27"/>
  <c r="J36" i="27"/>
  <c r="K35" i="27"/>
  <c r="J35" i="27"/>
  <c r="K34" i="27"/>
  <c r="J34" i="27"/>
  <c r="K33" i="27"/>
  <c r="J33" i="27"/>
  <c r="K32" i="27"/>
  <c r="J32" i="27"/>
  <c r="K31" i="27"/>
  <c r="J31" i="27"/>
  <c r="K30" i="27"/>
  <c r="J30" i="27"/>
  <c r="K29" i="27"/>
  <c r="J29" i="27"/>
  <c r="K28" i="27"/>
  <c r="J28" i="27"/>
  <c r="K27" i="27"/>
  <c r="J27" i="27"/>
  <c r="K26" i="27"/>
  <c r="J26" i="27"/>
  <c r="K25" i="27"/>
  <c r="J25" i="27"/>
  <c r="H15" i="27"/>
  <c r="H11" i="27"/>
  <c r="H7" i="27"/>
  <c r="H19" i="27"/>
  <c r="K2" i="27"/>
  <c r="N131" i="26"/>
  <c r="N130" i="26"/>
  <c r="N129" i="26"/>
  <c r="N128" i="26"/>
  <c r="N127" i="26"/>
  <c r="N126" i="26"/>
  <c r="N125" i="26"/>
  <c r="N124" i="26"/>
  <c r="N123" i="26"/>
  <c r="N122" i="26"/>
  <c r="N121" i="26"/>
  <c r="N120" i="26"/>
  <c r="N119" i="26"/>
  <c r="N118" i="26"/>
  <c r="N117" i="26"/>
  <c r="N116" i="26"/>
  <c r="N115" i="26"/>
  <c r="N114" i="26"/>
  <c r="N113" i="26"/>
  <c r="N112" i="26"/>
  <c r="N111" i="26"/>
  <c r="N110" i="26"/>
  <c r="N109" i="26"/>
  <c r="N108" i="26"/>
  <c r="N107" i="26"/>
  <c r="N106" i="26"/>
  <c r="N105" i="26"/>
  <c r="N104" i="26"/>
  <c r="N103" i="26"/>
  <c r="N102" i="26"/>
  <c r="N101" i="26"/>
  <c r="N100" i="26"/>
  <c r="N99" i="26"/>
  <c r="N98" i="26"/>
  <c r="N97" i="26"/>
  <c r="N96" i="26"/>
  <c r="N95" i="26"/>
  <c r="N94" i="26"/>
  <c r="N93" i="26"/>
  <c r="N92" i="26"/>
  <c r="N91" i="26"/>
  <c r="N90" i="26"/>
  <c r="N89" i="26"/>
  <c r="N88" i="26"/>
  <c r="N87" i="26"/>
  <c r="N86" i="26"/>
  <c r="N85" i="26"/>
  <c r="N84" i="26"/>
  <c r="N83" i="26"/>
  <c r="N82" i="26"/>
  <c r="N81" i="26"/>
  <c r="N80" i="26"/>
  <c r="N79" i="26"/>
  <c r="N78" i="26"/>
  <c r="N77" i="26"/>
  <c r="N76" i="26"/>
  <c r="N75" i="26"/>
  <c r="N74" i="26"/>
  <c r="N73" i="26"/>
  <c r="N72" i="26"/>
  <c r="N71" i="26"/>
  <c r="N70" i="26"/>
  <c r="N69" i="26"/>
  <c r="N68" i="26"/>
  <c r="N67" i="26"/>
  <c r="N66" i="26"/>
  <c r="N65" i="26"/>
  <c r="N64" i="26"/>
  <c r="N63" i="26"/>
  <c r="E58" i="26"/>
  <c r="L52" i="26"/>
  <c r="K52" i="26"/>
  <c r="J52" i="26"/>
  <c r="I52" i="26"/>
  <c r="G52" i="26"/>
  <c r="F52" i="26"/>
  <c r="E52" i="26"/>
  <c r="D52" i="26"/>
  <c r="C52" i="26"/>
  <c r="M49" i="26"/>
  <c r="L49" i="26"/>
  <c r="K49" i="26"/>
  <c r="J49" i="26"/>
  <c r="I49" i="26"/>
  <c r="G49" i="26"/>
  <c r="F49" i="26"/>
  <c r="E49" i="26"/>
  <c r="C49" i="26"/>
  <c r="M46" i="26"/>
  <c r="L46" i="26"/>
  <c r="K46" i="26"/>
  <c r="J46" i="26"/>
  <c r="I46" i="26"/>
  <c r="G46" i="26"/>
  <c r="F46" i="26"/>
  <c r="E46" i="26"/>
  <c r="D46" i="26"/>
  <c r="C46" i="26"/>
  <c r="I41" i="26"/>
  <c r="G41" i="26"/>
  <c r="F41" i="26"/>
  <c r="E41" i="26"/>
  <c r="D41" i="26"/>
  <c r="C41" i="26"/>
  <c r="K40" i="26"/>
  <c r="J40" i="26"/>
  <c r="K39" i="26"/>
  <c r="J39" i="26"/>
  <c r="K38" i="26"/>
  <c r="J38" i="26"/>
  <c r="K37" i="26"/>
  <c r="J37" i="26"/>
  <c r="K36" i="26"/>
  <c r="J36" i="26"/>
  <c r="K35" i="26"/>
  <c r="J35" i="26"/>
  <c r="K34" i="26"/>
  <c r="J34" i="26"/>
  <c r="K33" i="26"/>
  <c r="J33" i="26"/>
  <c r="K32" i="26"/>
  <c r="J32" i="26"/>
  <c r="K31" i="26"/>
  <c r="J31" i="26"/>
  <c r="K30" i="26"/>
  <c r="J30" i="26"/>
  <c r="K29" i="26"/>
  <c r="J29" i="26"/>
  <c r="K28" i="26"/>
  <c r="J28" i="26"/>
  <c r="K27" i="26"/>
  <c r="J27" i="26"/>
  <c r="K26" i="26"/>
  <c r="J26" i="26"/>
  <c r="K25" i="26"/>
  <c r="J25" i="26"/>
  <c r="H15" i="26"/>
  <c r="H11" i="26"/>
  <c r="H7" i="26"/>
  <c r="K2" i="26"/>
  <c r="N131" i="25"/>
  <c r="N130" i="25"/>
  <c r="N129" i="25"/>
  <c r="N128" i="25"/>
  <c r="N127" i="25"/>
  <c r="N126" i="25"/>
  <c r="N125" i="25"/>
  <c r="N124" i="25"/>
  <c r="N123" i="25"/>
  <c r="N122" i="25"/>
  <c r="N121" i="25"/>
  <c r="N120" i="25"/>
  <c r="N119" i="25"/>
  <c r="N118" i="25"/>
  <c r="N117" i="25"/>
  <c r="N116" i="25"/>
  <c r="N115" i="25"/>
  <c r="N114" i="25"/>
  <c r="N113" i="25"/>
  <c r="N112" i="25"/>
  <c r="N111" i="25"/>
  <c r="N110" i="25"/>
  <c r="N109" i="25"/>
  <c r="N108" i="25"/>
  <c r="N107" i="25"/>
  <c r="N106" i="25"/>
  <c r="N105" i="25"/>
  <c r="N104" i="25"/>
  <c r="N103" i="25"/>
  <c r="N102" i="25"/>
  <c r="N101" i="25"/>
  <c r="N100" i="25"/>
  <c r="N99" i="25"/>
  <c r="N98" i="25"/>
  <c r="N97" i="25"/>
  <c r="N96" i="25"/>
  <c r="N95" i="25"/>
  <c r="N94" i="25"/>
  <c r="N93" i="25"/>
  <c r="N92" i="25"/>
  <c r="N91" i="25"/>
  <c r="N90" i="25"/>
  <c r="N89" i="25"/>
  <c r="N88" i="25"/>
  <c r="N87" i="25"/>
  <c r="N86" i="25"/>
  <c r="N85" i="25"/>
  <c r="N84" i="25"/>
  <c r="N83" i="25"/>
  <c r="N82" i="25"/>
  <c r="N81" i="25"/>
  <c r="N80" i="25"/>
  <c r="N79" i="25"/>
  <c r="N78" i="25"/>
  <c r="N77" i="25"/>
  <c r="N76" i="25"/>
  <c r="N75" i="25"/>
  <c r="N74" i="25"/>
  <c r="N73" i="25"/>
  <c r="N72" i="25"/>
  <c r="N71" i="25"/>
  <c r="N70" i="25"/>
  <c r="N69" i="25"/>
  <c r="N68" i="25"/>
  <c r="N67" i="25"/>
  <c r="N66" i="25"/>
  <c r="N65" i="25"/>
  <c r="N64" i="25"/>
  <c r="N63" i="25"/>
  <c r="E58" i="25"/>
  <c r="L52" i="25"/>
  <c r="K52" i="25"/>
  <c r="J52" i="25"/>
  <c r="I52" i="25"/>
  <c r="G52" i="25"/>
  <c r="F52" i="25"/>
  <c r="E52" i="25"/>
  <c r="D52" i="25"/>
  <c r="C52" i="25"/>
  <c r="M49" i="25"/>
  <c r="L49" i="25"/>
  <c r="K49" i="25"/>
  <c r="J49" i="25"/>
  <c r="I49" i="25"/>
  <c r="G49" i="25"/>
  <c r="F49" i="25"/>
  <c r="E49" i="25"/>
  <c r="C49" i="25"/>
  <c r="M46" i="25"/>
  <c r="L46" i="25"/>
  <c r="K46" i="25"/>
  <c r="J46" i="25"/>
  <c r="I46" i="25"/>
  <c r="G46" i="25"/>
  <c r="F46" i="25"/>
  <c r="E46" i="25"/>
  <c r="D46" i="25"/>
  <c r="C46" i="25"/>
  <c r="I41" i="25"/>
  <c r="G41" i="25"/>
  <c r="F41" i="25"/>
  <c r="E41" i="25"/>
  <c r="D41" i="25"/>
  <c r="C41" i="25"/>
  <c r="K40" i="25"/>
  <c r="J40" i="25"/>
  <c r="K39" i="25"/>
  <c r="J39" i="25"/>
  <c r="K38" i="25"/>
  <c r="J38" i="25"/>
  <c r="K37" i="25"/>
  <c r="J37" i="25"/>
  <c r="K36" i="25"/>
  <c r="J36" i="25"/>
  <c r="K35" i="25"/>
  <c r="J35" i="25"/>
  <c r="K34" i="25"/>
  <c r="J34" i="25"/>
  <c r="K33" i="25"/>
  <c r="J33" i="25"/>
  <c r="K32" i="25"/>
  <c r="J32" i="25"/>
  <c r="K31" i="25"/>
  <c r="J31" i="25"/>
  <c r="K30" i="25"/>
  <c r="J30" i="25"/>
  <c r="K29" i="25"/>
  <c r="J29" i="25"/>
  <c r="K28" i="25"/>
  <c r="J28" i="25"/>
  <c r="K27" i="25"/>
  <c r="J27" i="25"/>
  <c r="K26" i="25"/>
  <c r="J26" i="25"/>
  <c r="K25" i="25"/>
  <c r="J25" i="25"/>
  <c r="H15" i="25"/>
  <c r="H11" i="25"/>
  <c r="H7" i="25"/>
  <c r="H19" i="25"/>
  <c r="K2" i="25"/>
  <c r="N131" i="24"/>
  <c r="N130" i="24"/>
  <c r="N129" i="24"/>
  <c r="N128" i="24"/>
  <c r="N127" i="24"/>
  <c r="N126" i="24"/>
  <c r="N125" i="24"/>
  <c r="N124" i="24"/>
  <c r="N123" i="24"/>
  <c r="N122" i="24"/>
  <c r="N121" i="24"/>
  <c r="N120" i="24"/>
  <c r="N119" i="24"/>
  <c r="N118" i="24"/>
  <c r="N117" i="24"/>
  <c r="N116" i="24"/>
  <c r="N115" i="24"/>
  <c r="N114" i="24"/>
  <c r="N113" i="24"/>
  <c r="N112" i="24"/>
  <c r="N111" i="24"/>
  <c r="N110" i="24"/>
  <c r="N109" i="24"/>
  <c r="N108" i="24"/>
  <c r="N107" i="24"/>
  <c r="N106" i="24"/>
  <c r="N105" i="24"/>
  <c r="N104" i="24"/>
  <c r="N103" i="24"/>
  <c r="N102" i="24"/>
  <c r="N101" i="24"/>
  <c r="N100" i="24"/>
  <c r="N99" i="24"/>
  <c r="N98" i="24"/>
  <c r="N97" i="24"/>
  <c r="N96" i="24"/>
  <c r="N95" i="24"/>
  <c r="N94" i="24"/>
  <c r="N93" i="24"/>
  <c r="N92" i="24"/>
  <c r="N91" i="24"/>
  <c r="N90" i="24"/>
  <c r="N89" i="24"/>
  <c r="N88" i="24"/>
  <c r="N87" i="24"/>
  <c r="N86" i="24"/>
  <c r="N85" i="24"/>
  <c r="N84" i="24"/>
  <c r="N83" i="24"/>
  <c r="N82" i="24"/>
  <c r="N81" i="24"/>
  <c r="N80" i="24"/>
  <c r="N79" i="24"/>
  <c r="N78" i="24"/>
  <c r="N77" i="24"/>
  <c r="N76" i="24"/>
  <c r="N75" i="24"/>
  <c r="N74" i="24"/>
  <c r="N73" i="24"/>
  <c r="N72" i="24"/>
  <c r="N71" i="24"/>
  <c r="N70" i="24"/>
  <c r="N69" i="24"/>
  <c r="N68" i="24"/>
  <c r="N67" i="24"/>
  <c r="N66" i="24"/>
  <c r="N65" i="24"/>
  <c r="N64" i="24"/>
  <c r="N63" i="24"/>
  <c r="E58" i="24"/>
  <c r="L52" i="24"/>
  <c r="K52" i="24"/>
  <c r="J52" i="24"/>
  <c r="I52" i="24"/>
  <c r="G52" i="24"/>
  <c r="F52" i="24"/>
  <c r="E52" i="24"/>
  <c r="D52" i="24"/>
  <c r="C52" i="24"/>
  <c r="M49" i="24"/>
  <c r="L49" i="24"/>
  <c r="K49" i="24"/>
  <c r="J49" i="24"/>
  <c r="I49" i="24"/>
  <c r="G49" i="24"/>
  <c r="F49" i="24"/>
  <c r="E49" i="24"/>
  <c r="C49" i="24"/>
  <c r="M46" i="24"/>
  <c r="L46" i="24"/>
  <c r="K46" i="24"/>
  <c r="J46" i="24"/>
  <c r="I46" i="24"/>
  <c r="G46" i="24"/>
  <c r="F46" i="24"/>
  <c r="E46" i="24"/>
  <c r="D46" i="24"/>
  <c r="C46" i="24"/>
  <c r="I41" i="24"/>
  <c r="G41" i="24"/>
  <c r="F41" i="24"/>
  <c r="E41" i="24"/>
  <c r="D41" i="24"/>
  <c r="C41" i="24"/>
  <c r="K40" i="24"/>
  <c r="J40" i="24"/>
  <c r="K39" i="24"/>
  <c r="J39" i="24"/>
  <c r="K38" i="24"/>
  <c r="J38" i="24"/>
  <c r="K37" i="24"/>
  <c r="J37" i="24"/>
  <c r="K36" i="24"/>
  <c r="J36" i="24"/>
  <c r="K35" i="24"/>
  <c r="J35" i="24"/>
  <c r="K34" i="24"/>
  <c r="J34" i="24"/>
  <c r="K33" i="24"/>
  <c r="J33" i="24"/>
  <c r="K32" i="24"/>
  <c r="J32" i="24"/>
  <c r="K31" i="24"/>
  <c r="J31" i="24"/>
  <c r="K30" i="24"/>
  <c r="J30" i="24"/>
  <c r="K29" i="24"/>
  <c r="J29" i="24"/>
  <c r="K28" i="24"/>
  <c r="J28" i="24"/>
  <c r="K27" i="24"/>
  <c r="J27" i="24"/>
  <c r="K26" i="24"/>
  <c r="J26" i="24"/>
  <c r="K25" i="24"/>
  <c r="J25" i="24"/>
  <c r="H15" i="24"/>
  <c r="H11" i="24"/>
  <c r="H7" i="24"/>
  <c r="H19" i="24"/>
  <c r="K2" i="24"/>
  <c r="N131" i="23"/>
  <c r="N130" i="23"/>
  <c r="N129" i="23"/>
  <c r="N128" i="23"/>
  <c r="N127" i="23"/>
  <c r="N126" i="23"/>
  <c r="N125" i="23"/>
  <c r="N124" i="23"/>
  <c r="N123" i="23"/>
  <c r="N122" i="23"/>
  <c r="N121" i="23"/>
  <c r="N120" i="23"/>
  <c r="N119" i="23"/>
  <c r="N118" i="23"/>
  <c r="N117" i="23"/>
  <c r="N116" i="23"/>
  <c r="N115" i="23"/>
  <c r="N114" i="23"/>
  <c r="N113" i="23"/>
  <c r="N112" i="23"/>
  <c r="N111" i="23"/>
  <c r="N110" i="23"/>
  <c r="N109" i="23"/>
  <c r="N108" i="23"/>
  <c r="N107" i="23"/>
  <c r="N106" i="23"/>
  <c r="N105" i="23"/>
  <c r="N104" i="23"/>
  <c r="N103" i="23"/>
  <c r="N102" i="23"/>
  <c r="N101" i="23"/>
  <c r="N100" i="23"/>
  <c r="N99" i="23"/>
  <c r="N98" i="23"/>
  <c r="N97" i="23"/>
  <c r="N96" i="23"/>
  <c r="N95" i="23"/>
  <c r="N94" i="23"/>
  <c r="N93" i="23"/>
  <c r="N92" i="23"/>
  <c r="N91" i="23"/>
  <c r="N90" i="23"/>
  <c r="N89" i="23"/>
  <c r="N88" i="23"/>
  <c r="N87" i="23"/>
  <c r="N86" i="23"/>
  <c r="N85" i="23"/>
  <c r="N84" i="23"/>
  <c r="N83" i="23"/>
  <c r="N82" i="23"/>
  <c r="N81" i="23"/>
  <c r="N80" i="23"/>
  <c r="N79" i="23"/>
  <c r="N78" i="23"/>
  <c r="N77" i="23"/>
  <c r="N76" i="23"/>
  <c r="N75" i="23"/>
  <c r="N74" i="23"/>
  <c r="N73" i="23"/>
  <c r="N72" i="23"/>
  <c r="N71" i="23"/>
  <c r="N70" i="23"/>
  <c r="N69" i="23"/>
  <c r="N68" i="23"/>
  <c r="N67" i="23"/>
  <c r="N66" i="23"/>
  <c r="N65" i="23"/>
  <c r="N64" i="23"/>
  <c r="N63" i="23"/>
  <c r="E58" i="23"/>
  <c r="L52" i="23"/>
  <c r="K52" i="23"/>
  <c r="J52" i="23"/>
  <c r="I52" i="23"/>
  <c r="G52" i="23"/>
  <c r="F52" i="23"/>
  <c r="E52" i="23"/>
  <c r="D52" i="23"/>
  <c r="C52" i="23"/>
  <c r="M49" i="23"/>
  <c r="L49" i="23"/>
  <c r="K49" i="23"/>
  <c r="J49" i="23"/>
  <c r="I49" i="23"/>
  <c r="G49" i="23"/>
  <c r="F49" i="23"/>
  <c r="E49" i="23"/>
  <c r="C49" i="23"/>
  <c r="M46" i="23"/>
  <c r="L46" i="23"/>
  <c r="K46" i="23"/>
  <c r="J46" i="23"/>
  <c r="I46" i="23"/>
  <c r="G46" i="23"/>
  <c r="F46" i="23"/>
  <c r="E46" i="23"/>
  <c r="D46" i="23"/>
  <c r="C46" i="23"/>
  <c r="I41" i="23"/>
  <c r="G41" i="23"/>
  <c r="F41" i="23"/>
  <c r="E41" i="23"/>
  <c r="D41" i="23"/>
  <c r="C41" i="23"/>
  <c r="K40" i="23"/>
  <c r="J40" i="23"/>
  <c r="K39" i="23"/>
  <c r="J39" i="23"/>
  <c r="K38" i="23"/>
  <c r="J38" i="23"/>
  <c r="K37" i="23"/>
  <c r="J37" i="23"/>
  <c r="K36" i="23"/>
  <c r="J36" i="23"/>
  <c r="K35" i="23"/>
  <c r="J35" i="23"/>
  <c r="K34" i="23"/>
  <c r="J34" i="23"/>
  <c r="K33" i="23"/>
  <c r="J33" i="23"/>
  <c r="K32" i="23"/>
  <c r="J32" i="23"/>
  <c r="K31" i="23"/>
  <c r="J31" i="23"/>
  <c r="K30" i="23"/>
  <c r="J30" i="23"/>
  <c r="K29" i="23"/>
  <c r="J29" i="23"/>
  <c r="K28" i="23"/>
  <c r="J28" i="23"/>
  <c r="K27" i="23"/>
  <c r="J27" i="23"/>
  <c r="K26" i="23"/>
  <c r="J26" i="23"/>
  <c r="K25" i="23"/>
  <c r="J25" i="23"/>
  <c r="H15" i="23"/>
  <c r="H11" i="23"/>
  <c r="H7" i="23"/>
  <c r="K2" i="23"/>
  <c r="N131" i="22"/>
  <c r="N130" i="22"/>
  <c r="N129" i="22"/>
  <c r="N128" i="22"/>
  <c r="N127" i="22"/>
  <c r="N126" i="22"/>
  <c r="N125" i="22"/>
  <c r="N124" i="22"/>
  <c r="N123" i="22"/>
  <c r="N122" i="22"/>
  <c r="N121" i="22"/>
  <c r="N120" i="22"/>
  <c r="N119" i="22"/>
  <c r="N118" i="22"/>
  <c r="N117" i="22"/>
  <c r="N116" i="22"/>
  <c r="N115" i="22"/>
  <c r="N114" i="22"/>
  <c r="N113" i="22"/>
  <c r="N112" i="22"/>
  <c r="N111" i="22"/>
  <c r="N110" i="22"/>
  <c r="N109" i="22"/>
  <c r="N108" i="22"/>
  <c r="N107" i="22"/>
  <c r="N106" i="22"/>
  <c r="N105" i="22"/>
  <c r="N104" i="22"/>
  <c r="N103" i="22"/>
  <c r="N102" i="22"/>
  <c r="N101" i="22"/>
  <c r="N100" i="22"/>
  <c r="N99" i="22"/>
  <c r="N98" i="22"/>
  <c r="N97" i="22"/>
  <c r="N96" i="22"/>
  <c r="N95" i="22"/>
  <c r="N94" i="22"/>
  <c r="N93" i="22"/>
  <c r="N92" i="22"/>
  <c r="N91" i="22"/>
  <c r="N90" i="22"/>
  <c r="N89" i="22"/>
  <c r="N88" i="22"/>
  <c r="N87" i="22"/>
  <c r="N86" i="22"/>
  <c r="N85" i="22"/>
  <c r="N84" i="22"/>
  <c r="N83" i="22"/>
  <c r="N82" i="22"/>
  <c r="N81" i="22"/>
  <c r="N80" i="22"/>
  <c r="N79" i="22"/>
  <c r="N78" i="22"/>
  <c r="N77" i="22"/>
  <c r="N76" i="22"/>
  <c r="N75" i="22"/>
  <c r="N74" i="22"/>
  <c r="N73" i="22"/>
  <c r="N72" i="22"/>
  <c r="N71" i="22"/>
  <c r="N70" i="22"/>
  <c r="N69" i="22"/>
  <c r="N68" i="22"/>
  <c r="N67" i="22"/>
  <c r="N66" i="22"/>
  <c r="N65" i="22"/>
  <c r="N64" i="22"/>
  <c r="N63" i="22"/>
  <c r="E58" i="22"/>
  <c r="L52" i="22"/>
  <c r="K52" i="22"/>
  <c r="J52" i="22"/>
  <c r="I52" i="22"/>
  <c r="G52" i="22"/>
  <c r="F52" i="22"/>
  <c r="E52" i="22"/>
  <c r="D52" i="22"/>
  <c r="C52" i="22"/>
  <c r="M49" i="22"/>
  <c r="L49" i="22"/>
  <c r="K49" i="22"/>
  <c r="J49" i="22"/>
  <c r="I49" i="22"/>
  <c r="G49" i="22"/>
  <c r="F49" i="22"/>
  <c r="E49" i="22"/>
  <c r="C49" i="22"/>
  <c r="M46" i="22"/>
  <c r="L46" i="22"/>
  <c r="K46" i="22"/>
  <c r="J46" i="22"/>
  <c r="I46" i="22"/>
  <c r="G46" i="22"/>
  <c r="F46" i="22"/>
  <c r="E46" i="22"/>
  <c r="D46" i="22"/>
  <c r="C46" i="22"/>
  <c r="I41" i="22"/>
  <c r="G41" i="22"/>
  <c r="F41" i="22"/>
  <c r="E41" i="22"/>
  <c r="D41" i="22"/>
  <c r="C41" i="22"/>
  <c r="K40" i="22"/>
  <c r="J40" i="22"/>
  <c r="K39" i="22"/>
  <c r="J39" i="22"/>
  <c r="K38" i="22"/>
  <c r="J38" i="22"/>
  <c r="K37" i="22"/>
  <c r="J37" i="22"/>
  <c r="K36" i="22"/>
  <c r="J36" i="22"/>
  <c r="K35" i="22"/>
  <c r="J35" i="22"/>
  <c r="K34" i="22"/>
  <c r="J34" i="22"/>
  <c r="K33" i="22"/>
  <c r="J33" i="22"/>
  <c r="K32" i="22"/>
  <c r="J32" i="22"/>
  <c r="K31" i="22"/>
  <c r="J31" i="22"/>
  <c r="K30" i="22"/>
  <c r="J30" i="22"/>
  <c r="K29" i="22"/>
  <c r="J29" i="22"/>
  <c r="K28" i="22"/>
  <c r="J28" i="22"/>
  <c r="K27" i="22"/>
  <c r="J27" i="22"/>
  <c r="K26" i="22"/>
  <c r="J26" i="22"/>
  <c r="K25" i="22"/>
  <c r="J25" i="22"/>
  <c r="J41" i="22"/>
  <c r="H15" i="22"/>
  <c r="H11" i="22"/>
  <c r="H7" i="22"/>
  <c r="K2" i="22"/>
  <c r="N131" i="21"/>
  <c r="N130" i="21"/>
  <c r="N129" i="21"/>
  <c r="N128" i="21"/>
  <c r="N127" i="21"/>
  <c r="N126" i="21"/>
  <c r="N125" i="21"/>
  <c r="N124" i="21"/>
  <c r="N123" i="21"/>
  <c r="N122" i="21"/>
  <c r="N121" i="21"/>
  <c r="N120" i="21"/>
  <c r="N119" i="21"/>
  <c r="N118" i="21"/>
  <c r="N117" i="21"/>
  <c r="N116" i="21"/>
  <c r="N115" i="21"/>
  <c r="N114" i="21"/>
  <c r="N113" i="21"/>
  <c r="N112" i="21"/>
  <c r="N111" i="21"/>
  <c r="N110" i="21"/>
  <c r="N109" i="21"/>
  <c r="N108" i="21"/>
  <c r="N107" i="21"/>
  <c r="N106" i="21"/>
  <c r="N105" i="21"/>
  <c r="N104" i="21"/>
  <c r="N103" i="21"/>
  <c r="N102" i="21"/>
  <c r="N101" i="21"/>
  <c r="N100" i="21"/>
  <c r="N99" i="21"/>
  <c r="N98" i="21"/>
  <c r="N97" i="21"/>
  <c r="N96" i="21"/>
  <c r="N95" i="21"/>
  <c r="N94" i="21"/>
  <c r="N93" i="21"/>
  <c r="N92" i="21"/>
  <c r="N91" i="21"/>
  <c r="N90" i="21"/>
  <c r="N89" i="21"/>
  <c r="N88" i="21"/>
  <c r="N87" i="21"/>
  <c r="N86" i="21"/>
  <c r="N85" i="21"/>
  <c r="N84" i="21"/>
  <c r="N83" i="21"/>
  <c r="N82" i="21"/>
  <c r="N81" i="21"/>
  <c r="N80" i="21"/>
  <c r="N79" i="21"/>
  <c r="N78" i="21"/>
  <c r="N77" i="21"/>
  <c r="N76" i="21"/>
  <c r="N75" i="21"/>
  <c r="N74" i="21"/>
  <c r="N73" i="21"/>
  <c r="N72" i="21"/>
  <c r="N71" i="21"/>
  <c r="N70" i="21"/>
  <c r="N69" i="21"/>
  <c r="N68" i="21"/>
  <c r="N67" i="21"/>
  <c r="N66" i="21"/>
  <c r="N65" i="21"/>
  <c r="N64" i="21"/>
  <c r="N63" i="21"/>
  <c r="E58" i="21"/>
  <c r="L52" i="21"/>
  <c r="K52" i="21"/>
  <c r="J52" i="21"/>
  <c r="I52" i="21"/>
  <c r="G52" i="21"/>
  <c r="F52" i="21"/>
  <c r="E52" i="21"/>
  <c r="D52" i="21"/>
  <c r="C52" i="21"/>
  <c r="M49" i="21"/>
  <c r="L49" i="21"/>
  <c r="K49" i="21"/>
  <c r="J49" i="21"/>
  <c r="I49" i="21"/>
  <c r="G49" i="21"/>
  <c r="F49" i="21"/>
  <c r="E49" i="21"/>
  <c r="C49" i="21"/>
  <c r="M46" i="21"/>
  <c r="L46" i="21"/>
  <c r="K46" i="21"/>
  <c r="J46" i="21"/>
  <c r="I46" i="21"/>
  <c r="G46" i="21"/>
  <c r="F46" i="21"/>
  <c r="E46" i="21"/>
  <c r="D46" i="21"/>
  <c r="C46" i="21"/>
  <c r="I41" i="21"/>
  <c r="G41" i="21"/>
  <c r="F41" i="21"/>
  <c r="E41" i="21"/>
  <c r="D41" i="21"/>
  <c r="C41" i="21"/>
  <c r="K40" i="21"/>
  <c r="J40" i="21"/>
  <c r="K39" i="21"/>
  <c r="J39" i="21"/>
  <c r="K38" i="21"/>
  <c r="K41" i="21"/>
  <c r="J38" i="21"/>
  <c r="K37" i="21"/>
  <c r="J37" i="21"/>
  <c r="K36" i="21"/>
  <c r="J36" i="21"/>
  <c r="K35" i="21"/>
  <c r="J35" i="21"/>
  <c r="K34" i="21"/>
  <c r="J34" i="21"/>
  <c r="K33" i="21"/>
  <c r="J33" i="21"/>
  <c r="K32" i="21"/>
  <c r="J32" i="21"/>
  <c r="K31" i="21"/>
  <c r="J31" i="21"/>
  <c r="K30" i="21"/>
  <c r="J30" i="21"/>
  <c r="K29" i="21"/>
  <c r="J29" i="21"/>
  <c r="K28" i="21"/>
  <c r="J28" i="21"/>
  <c r="K27" i="21"/>
  <c r="J27" i="21"/>
  <c r="K26" i="21"/>
  <c r="J26" i="21"/>
  <c r="K25" i="21"/>
  <c r="J25" i="21"/>
  <c r="J41" i="21"/>
  <c r="H15" i="21"/>
  <c r="H11" i="21"/>
  <c r="H7" i="21"/>
  <c r="H19" i="21"/>
  <c r="K2" i="21"/>
  <c r="N131" i="20"/>
  <c r="N130" i="20"/>
  <c r="N129" i="20"/>
  <c r="N128" i="20"/>
  <c r="N127" i="20"/>
  <c r="N126" i="20"/>
  <c r="N125" i="20"/>
  <c r="N124" i="20"/>
  <c r="N123" i="20"/>
  <c r="N122" i="20"/>
  <c r="N121" i="20"/>
  <c r="N120" i="20"/>
  <c r="N119" i="20"/>
  <c r="N118" i="20"/>
  <c r="N117" i="20"/>
  <c r="N116" i="20"/>
  <c r="N115" i="20"/>
  <c r="N114" i="20"/>
  <c r="N113" i="20"/>
  <c r="N112" i="20"/>
  <c r="N111" i="20"/>
  <c r="N110" i="20"/>
  <c r="N109" i="20"/>
  <c r="N108" i="20"/>
  <c r="N107" i="20"/>
  <c r="N106" i="20"/>
  <c r="N105" i="20"/>
  <c r="N104" i="20"/>
  <c r="N103" i="20"/>
  <c r="N102" i="20"/>
  <c r="N101" i="20"/>
  <c r="N100" i="20"/>
  <c r="N99" i="20"/>
  <c r="N98" i="20"/>
  <c r="N97" i="20"/>
  <c r="N96" i="20"/>
  <c r="N95" i="20"/>
  <c r="N94" i="20"/>
  <c r="N93" i="20"/>
  <c r="N92" i="20"/>
  <c r="N91" i="20"/>
  <c r="N90" i="20"/>
  <c r="N89" i="20"/>
  <c r="N88" i="20"/>
  <c r="N87" i="20"/>
  <c r="N86" i="20"/>
  <c r="N85" i="20"/>
  <c r="N84" i="20"/>
  <c r="N83" i="20"/>
  <c r="N82" i="20"/>
  <c r="N81" i="20"/>
  <c r="N80" i="20"/>
  <c r="N79" i="20"/>
  <c r="N78" i="20"/>
  <c r="N77" i="20"/>
  <c r="N76" i="20"/>
  <c r="N75" i="20"/>
  <c r="N74" i="20"/>
  <c r="N73" i="20"/>
  <c r="N72" i="20"/>
  <c r="N71" i="20"/>
  <c r="N70" i="20"/>
  <c r="N69" i="20"/>
  <c r="N68" i="20"/>
  <c r="N67" i="20"/>
  <c r="N65" i="20"/>
  <c r="N64" i="20"/>
  <c r="N63" i="20"/>
  <c r="E58" i="20"/>
  <c r="L52" i="20"/>
  <c r="K52" i="20"/>
  <c r="J52" i="20"/>
  <c r="I52" i="20"/>
  <c r="G52" i="20"/>
  <c r="F52" i="20"/>
  <c r="E52" i="20"/>
  <c r="D52" i="20"/>
  <c r="C52" i="20"/>
  <c r="M49" i="20"/>
  <c r="L49" i="20"/>
  <c r="K49" i="20"/>
  <c r="J49" i="20"/>
  <c r="I49" i="20"/>
  <c r="G49" i="20"/>
  <c r="F49" i="20"/>
  <c r="E49" i="20"/>
  <c r="C49" i="20"/>
  <c r="M46" i="20"/>
  <c r="L46" i="20"/>
  <c r="K46" i="20"/>
  <c r="J46" i="20"/>
  <c r="I46" i="20"/>
  <c r="G46" i="20"/>
  <c r="F46" i="20"/>
  <c r="E46" i="20"/>
  <c r="D46" i="20"/>
  <c r="C46" i="20"/>
  <c r="I41" i="20"/>
  <c r="G41" i="20"/>
  <c r="F41" i="20"/>
  <c r="E41" i="20"/>
  <c r="D41" i="20"/>
  <c r="C41" i="20"/>
  <c r="K40" i="20"/>
  <c r="J40" i="20"/>
  <c r="K39" i="20"/>
  <c r="J39" i="20"/>
  <c r="K38" i="20"/>
  <c r="J38" i="20"/>
  <c r="K37" i="20"/>
  <c r="J37" i="20"/>
  <c r="K36" i="20"/>
  <c r="J36" i="20"/>
  <c r="K35" i="20"/>
  <c r="J35" i="20"/>
  <c r="K34" i="20"/>
  <c r="J34" i="20"/>
  <c r="K33" i="20"/>
  <c r="J33" i="20"/>
  <c r="K32" i="20"/>
  <c r="J32" i="20"/>
  <c r="K31" i="20"/>
  <c r="J31" i="20"/>
  <c r="K30" i="20"/>
  <c r="J30" i="20"/>
  <c r="K29" i="20"/>
  <c r="J29" i="20"/>
  <c r="K28" i="20"/>
  <c r="J28" i="20"/>
  <c r="K27" i="20"/>
  <c r="J27" i="20"/>
  <c r="K26" i="20"/>
  <c r="J26" i="20"/>
  <c r="K25" i="20"/>
  <c r="J25" i="20"/>
  <c r="H15" i="20"/>
  <c r="H11" i="20"/>
  <c r="H7" i="20"/>
  <c r="K2" i="20"/>
  <c r="N131" i="19"/>
  <c r="N130" i="19"/>
  <c r="N129" i="19"/>
  <c r="N128" i="19"/>
  <c r="N127" i="19"/>
  <c r="N126" i="19"/>
  <c r="N125" i="19"/>
  <c r="N124" i="19"/>
  <c r="N123" i="19"/>
  <c r="N122" i="19"/>
  <c r="N121" i="19"/>
  <c r="N120" i="19"/>
  <c r="N119" i="19"/>
  <c r="N118" i="19"/>
  <c r="N117" i="19"/>
  <c r="N116" i="19"/>
  <c r="N115" i="19"/>
  <c r="N114" i="19"/>
  <c r="N113" i="19"/>
  <c r="N112" i="19"/>
  <c r="N111" i="19"/>
  <c r="N110" i="19"/>
  <c r="N109" i="19"/>
  <c r="N108" i="19"/>
  <c r="N107" i="19"/>
  <c r="N106" i="19"/>
  <c r="N105" i="19"/>
  <c r="N104" i="19"/>
  <c r="N103" i="19"/>
  <c r="N102" i="19"/>
  <c r="N101" i="19"/>
  <c r="N100" i="19"/>
  <c r="N99" i="19"/>
  <c r="N98" i="19"/>
  <c r="N97" i="19"/>
  <c r="N96" i="19"/>
  <c r="N95" i="19"/>
  <c r="N94" i="19"/>
  <c r="N93" i="19"/>
  <c r="N92" i="19"/>
  <c r="N91" i="19"/>
  <c r="N90" i="19"/>
  <c r="N89" i="19"/>
  <c r="N88" i="19"/>
  <c r="N87" i="19"/>
  <c r="N86" i="19"/>
  <c r="N85" i="19"/>
  <c r="N84" i="19"/>
  <c r="N83" i="19"/>
  <c r="N82" i="19"/>
  <c r="N81" i="19"/>
  <c r="N80" i="19"/>
  <c r="N79" i="19"/>
  <c r="N78" i="19"/>
  <c r="N77" i="19"/>
  <c r="N76" i="19"/>
  <c r="N75" i="19"/>
  <c r="N74" i="19"/>
  <c r="N73" i="19"/>
  <c r="N72" i="19"/>
  <c r="N71" i="19"/>
  <c r="N70" i="19"/>
  <c r="N69" i="19"/>
  <c r="N68" i="19"/>
  <c r="N67" i="19"/>
  <c r="N66" i="19"/>
  <c r="N65" i="19"/>
  <c r="N64" i="19"/>
  <c r="N63" i="19"/>
  <c r="E58" i="19"/>
  <c r="L52" i="19"/>
  <c r="K52" i="19"/>
  <c r="J52" i="19"/>
  <c r="I52" i="19"/>
  <c r="G52" i="19"/>
  <c r="F52" i="19"/>
  <c r="E52" i="19"/>
  <c r="D52" i="19"/>
  <c r="C52" i="19"/>
  <c r="M49" i="19"/>
  <c r="L49" i="19"/>
  <c r="K49" i="19"/>
  <c r="J49" i="19"/>
  <c r="I49" i="19"/>
  <c r="G49" i="19"/>
  <c r="F49" i="19"/>
  <c r="E49" i="19"/>
  <c r="C49" i="19"/>
  <c r="M46" i="19"/>
  <c r="L46" i="19"/>
  <c r="K46" i="19"/>
  <c r="J46" i="19"/>
  <c r="I46" i="19"/>
  <c r="G46" i="19"/>
  <c r="F46" i="19"/>
  <c r="E46" i="19"/>
  <c r="D46" i="19"/>
  <c r="C46" i="19"/>
  <c r="I41" i="19"/>
  <c r="G41" i="19"/>
  <c r="F41" i="19"/>
  <c r="E41" i="19"/>
  <c r="D41" i="19"/>
  <c r="C41" i="19"/>
  <c r="K40" i="19"/>
  <c r="J40" i="19"/>
  <c r="K39" i="19"/>
  <c r="J39" i="19"/>
  <c r="K38" i="19"/>
  <c r="J38" i="19"/>
  <c r="K37" i="19"/>
  <c r="J37" i="19"/>
  <c r="K36" i="19"/>
  <c r="J36" i="19"/>
  <c r="K35" i="19"/>
  <c r="J35" i="19"/>
  <c r="K34" i="19"/>
  <c r="J34" i="19"/>
  <c r="K33" i="19"/>
  <c r="J33" i="19"/>
  <c r="K32" i="19"/>
  <c r="J32" i="19"/>
  <c r="K31" i="19"/>
  <c r="J31" i="19"/>
  <c r="K30" i="19"/>
  <c r="J30" i="19"/>
  <c r="K29" i="19"/>
  <c r="J29" i="19"/>
  <c r="K28" i="19"/>
  <c r="J28" i="19"/>
  <c r="K27" i="19"/>
  <c r="J27" i="19"/>
  <c r="K26" i="19"/>
  <c r="J26" i="19"/>
  <c r="K25" i="19"/>
  <c r="J25" i="19"/>
  <c r="H15" i="19"/>
  <c r="H11" i="19"/>
  <c r="H7" i="19"/>
  <c r="H19" i="19"/>
  <c r="H59" i="19"/>
  <c r="K2" i="19"/>
  <c r="N131" i="18"/>
  <c r="N130" i="18"/>
  <c r="N129" i="18"/>
  <c r="N128" i="18"/>
  <c r="N127" i="18"/>
  <c r="N126" i="18"/>
  <c r="N125" i="18"/>
  <c r="N124" i="18"/>
  <c r="N123" i="18"/>
  <c r="N122" i="18"/>
  <c r="N121" i="18"/>
  <c r="N120" i="18"/>
  <c r="N119" i="18"/>
  <c r="N118" i="18"/>
  <c r="N117" i="18"/>
  <c r="N116" i="18"/>
  <c r="N115" i="18"/>
  <c r="N114" i="18"/>
  <c r="N113" i="18"/>
  <c r="N112" i="18"/>
  <c r="N111" i="18"/>
  <c r="N110" i="18"/>
  <c r="N109" i="18"/>
  <c r="N108" i="18"/>
  <c r="N107" i="18"/>
  <c r="N106" i="18"/>
  <c r="N105" i="18"/>
  <c r="N104" i="18"/>
  <c r="N103" i="18"/>
  <c r="N102" i="18"/>
  <c r="N101" i="18"/>
  <c r="N100" i="18"/>
  <c r="N99" i="18"/>
  <c r="N98" i="18"/>
  <c r="N97" i="18"/>
  <c r="N96" i="18"/>
  <c r="N95" i="18"/>
  <c r="N94" i="18"/>
  <c r="N93" i="18"/>
  <c r="N92" i="18"/>
  <c r="N91" i="18"/>
  <c r="N90" i="18"/>
  <c r="N89" i="18"/>
  <c r="N88" i="18"/>
  <c r="N87" i="18"/>
  <c r="N86" i="18"/>
  <c r="N85" i="18"/>
  <c r="N84" i="18"/>
  <c r="N83" i="18"/>
  <c r="N82" i="18"/>
  <c r="N81" i="18"/>
  <c r="N80" i="18"/>
  <c r="N79" i="18"/>
  <c r="N78" i="18"/>
  <c r="N77" i="18"/>
  <c r="N76" i="18"/>
  <c r="N75" i="18"/>
  <c r="N74" i="18"/>
  <c r="N73" i="18"/>
  <c r="N72" i="18"/>
  <c r="N71" i="18"/>
  <c r="N70" i="18"/>
  <c r="N69" i="18"/>
  <c r="N68" i="18"/>
  <c r="N67" i="18"/>
  <c r="N66" i="18"/>
  <c r="N65" i="18"/>
  <c r="N64" i="18"/>
  <c r="N63" i="18"/>
  <c r="E58" i="18"/>
  <c r="C59" i="18"/>
  <c r="L52" i="18"/>
  <c r="K52" i="18"/>
  <c r="J52" i="18"/>
  <c r="I52" i="18"/>
  <c r="G52" i="18"/>
  <c r="F52" i="18"/>
  <c r="E52" i="18"/>
  <c r="D52" i="18"/>
  <c r="C52" i="18"/>
  <c r="M49" i="18"/>
  <c r="L49" i="18"/>
  <c r="K49" i="18"/>
  <c r="J49" i="18"/>
  <c r="I49" i="18"/>
  <c r="G49" i="18"/>
  <c r="F49" i="18"/>
  <c r="E49" i="18"/>
  <c r="C49" i="18"/>
  <c r="M46" i="18"/>
  <c r="L46" i="18"/>
  <c r="K46" i="18"/>
  <c r="J46" i="18"/>
  <c r="I46" i="18"/>
  <c r="G46" i="18"/>
  <c r="F46" i="18"/>
  <c r="E46" i="18"/>
  <c r="D46" i="18"/>
  <c r="C46" i="18"/>
  <c r="I41" i="18"/>
  <c r="G41" i="18"/>
  <c r="F41" i="18"/>
  <c r="E41" i="18"/>
  <c r="D41" i="18"/>
  <c r="C41" i="18"/>
  <c r="K40" i="18"/>
  <c r="J40" i="18"/>
  <c r="K39" i="18"/>
  <c r="K41" i="18"/>
  <c r="J39" i="18"/>
  <c r="K38" i="18"/>
  <c r="J38" i="18"/>
  <c r="K37" i="18"/>
  <c r="J37" i="18"/>
  <c r="K36" i="18"/>
  <c r="J36" i="18"/>
  <c r="K35" i="18"/>
  <c r="J35" i="18"/>
  <c r="K34" i="18"/>
  <c r="J34" i="18"/>
  <c r="K33" i="18"/>
  <c r="J33" i="18"/>
  <c r="K32" i="18"/>
  <c r="J32" i="18"/>
  <c r="K31" i="18"/>
  <c r="J31" i="18"/>
  <c r="K30" i="18"/>
  <c r="J30" i="18"/>
  <c r="K29" i="18"/>
  <c r="J29" i="18"/>
  <c r="K28" i="18"/>
  <c r="J28" i="18"/>
  <c r="K27" i="18"/>
  <c r="J27" i="18"/>
  <c r="K26" i="18"/>
  <c r="J26" i="18"/>
  <c r="K25" i="18"/>
  <c r="J25" i="18"/>
  <c r="J41" i="18"/>
  <c r="H15" i="18"/>
  <c r="H11" i="18"/>
  <c r="H7" i="18"/>
  <c r="H19" i="18"/>
  <c r="K2" i="18"/>
  <c r="N131" i="17"/>
  <c r="N130" i="17"/>
  <c r="N129" i="17"/>
  <c r="N128" i="17"/>
  <c r="N127" i="17"/>
  <c r="N126" i="17"/>
  <c r="N125" i="17"/>
  <c r="N124" i="17"/>
  <c r="N123" i="17"/>
  <c r="N122" i="17"/>
  <c r="N121" i="17"/>
  <c r="N120" i="17"/>
  <c r="N119" i="17"/>
  <c r="N118" i="17"/>
  <c r="N117" i="17"/>
  <c r="N116" i="17"/>
  <c r="N115" i="17"/>
  <c r="N114" i="17"/>
  <c r="N113" i="17"/>
  <c r="N112" i="17"/>
  <c r="N111" i="17"/>
  <c r="N110" i="17"/>
  <c r="N109" i="17"/>
  <c r="N108" i="17"/>
  <c r="N107" i="17"/>
  <c r="N106" i="17"/>
  <c r="N105" i="17"/>
  <c r="N104" i="17"/>
  <c r="N103" i="17"/>
  <c r="N102" i="17"/>
  <c r="N101" i="17"/>
  <c r="N100" i="17"/>
  <c r="N99" i="17"/>
  <c r="N98" i="17"/>
  <c r="N97" i="17"/>
  <c r="N96" i="17"/>
  <c r="N95" i="17"/>
  <c r="N94" i="17"/>
  <c r="N93" i="17"/>
  <c r="N92" i="17"/>
  <c r="N91" i="17"/>
  <c r="N90" i="17"/>
  <c r="N89" i="17"/>
  <c r="N88" i="17"/>
  <c r="N87" i="17"/>
  <c r="N86" i="17"/>
  <c r="N85" i="17"/>
  <c r="N84" i="17"/>
  <c r="N83" i="17"/>
  <c r="N82" i="17"/>
  <c r="N81" i="17"/>
  <c r="N80" i="17"/>
  <c r="N79" i="17"/>
  <c r="N78" i="17"/>
  <c r="N65" i="17"/>
  <c r="N66" i="17"/>
  <c r="N68" i="17"/>
  <c r="N62" i="17"/>
  <c r="N77" i="17"/>
  <c r="N76" i="17"/>
  <c r="N75" i="17"/>
  <c r="N74" i="17"/>
  <c r="N73" i="17"/>
  <c r="N72" i="17"/>
  <c r="N71" i="17"/>
  <c r="N70" i="17"/>
  <c r="N69" i="17"/>
  <c r="N67" i="17"/>
  <c r="N64" i="17"/>
  <c r="N63" i="17"/>
  <c r="E58" i="17"/>
  <c r="L52" i="17"/>
  <c r="J52" i="17"/>
  <c r="I52" i="17"/>
  <c r="G52" i="17"/>
  <c r="F52" i="17"/>
  <c r="E52" i="17"/>
  <c r="D52" i="17"/>
  <c r="C52" i="17"/>
  <c r="M49" i="17"/>
  <c r="L49" i="17"/>
  <c r="K49" i="17"/>
  <c r="J49" i="17"/>
  <c r="I49" i="17"/>
  <c r="G49" i="17"/>
  <c r="F49" i="17"/>
  <c r="E49" i="17"/>
  <c r="C49" i="17"/>
  <c r="M46" i="17"/>
  <c r="L46" i="17"/>
  <c r="K46" i="17"/>
  <c r="J46" i="17"/>
  <c r="I46" i="17"/>
  <c r="G46" i="17"/>
  <c r="F46" i="17"/>
  <c r="E46" i="17"/>
  <c r="D46" i="17"/>
  <c r="C46" i="17"/>
  <c r="I41" i="17"/>
  <c r="G41" i="17"/>
  <c r="F41" i="17"/>
  <c r="E41" i="17"/>
  <c r="D41" i="17"/>
  <c r="C41" i="17"/>
  <c r="K40" i="17"/>
  <c r="J40" i="17"/>
  <c r="K39" i="17"/>
  <c r="J39" i="17"/>
  <c r="K38" i="17"/>
  <c r="J38" i="17"/>
  <c r="K37" i="17"/>
  <c r="J37" i="17"/>
  <c r="K36" i="17"/>
  <c r="J36" i="17"/>
  <c r="K35" i="17"/>
  <c r="J35" i="17"/>
  <c r="K34" i="17"/>
  <c r="J34" i="17"/>
  <c r="K33" i="17"/>
  <c r="J33" i="17"/>
  <c r="K32" i="17"/>
  <c r="J32" i="17"/>
  <c r="K31" i="17"/>
  <c r="J31" i="17"/>
  <c r="K30" i="17"/>
  <c r="J30" i="17"/>
  <c r="K29" i="17"/>
  <c r="J29" i="17"/>
  <c r="K28" i="17"/>
  <c r="J28" i="17"/>
  <c r="K27" i="17"/>
  <c r="J27" i="17"/>
  <c r="K26" i="17"/>
  <c r="J26" i="17"/>
  <c r="K25" i="17"/>
  <c r="J25" i="17"/>
  <c r="H15" i="17"/>
  <c r="H11" i="17"/>
  <c r="H7" i="17"/>
  <c r="H19" i="17"/>
  <c r="K2" i="17"/>
  <c r="N131" i="16"/>
  <c r="N130" i="16"/>
  <c r="N129" i="16"/>
  <c r="N128" i="16"/>
  <c r="N127" i="16"/>
  <c r="N126" i="16"/>
  <c r="N125" i="16"/>
  <c r="N124" i="16"/>
  <c r="N123" i="16"/>
  <c r="N122" i="16"/>
  <c r="N121" i="16"/>
  <c r="N120" i="16"/>
  <c r="N119" i="16"/>
  <c r="N118" i="16"/>
  <c r="N117" i="16"/>
  <c r="N116" i="16"/>
  <c r="N115" i="16"/>
  <c r="N114" i="16"/>
  <c r="N113" i="16"/>
  <c r="N112" i="16"/>
  <c r="N111" i="16"/>
  <c r="N110" i="16"/>
  <c r="N109" i="16"/>
  <c r="N108" i="16"/>
  <c r="N107" i="16"/>
  <c r="N106" i="16"/>
  <c r="N105" i="16"/>
  <c r="N104" i="16"/>
  <c r="N103" i="16"/>
  <c r="N102" i="16"/>
  <c r="N101" i="16"/>
  <c r="N100" i="16"/>
  <c r="N99" i="16"/>
  <c r="N98" i="16"/>
  <c r="N97" i="16"/>
  <c r="N96" i="16"/>
  <c r="N95" i="16"/>
  <c r="N94" i="16"/>
  <c r="N93" i="16"/>
  <c r="N92" i="16"/>
  <c r="N91" i="16"/>
  <c r="N90" i="16"/>
  <c r="N89" i="16"/>
  <c r="N88" i="16"/>
  <c r="N87" i="16"/>
  <c r="N86" i="16"/>
  <c r="N85" i="16"/>
  <c r="N84" i="16"/>
  <c r="N83" i="16"/>
  <c r="N82" i="16"/>
  <c r="N81" i="16"/>
  <c r="N80" i="16"/>
  <c r="N79" i="16"/>
  <c r="N78" i="16"/>
  <c r="N77" i="16"/>
  <c r="N76" i="16"/>
  <c r="N75" i="16"/>
  <c r="N74" i="16"/>
  <c r="N73" i="16"/>
  <c r="N72" i="16"/>
  <c r="N71" i="16"/>
  <c r="N70" i="16"/>
  <c r="N69" i="16"/>
  <c r="N68" i="16"/>
  <c r="N67" i="16"/>
  <c r="N66" i="16"/>
  <c r="N65" i="16"/>
  <c r="N64" i="16"/>
  <c r="N63" i="16"/>
  <c r="E58" i="16"/>
  <c r="L52" i="16"/>
  <c r="K52" i="16"/>
  <c r="J52" i="16"/>
  <c r="I52" i="16"/>
  <c r="G52" i="16"/>
  <c r="F52" i="16"/>
  <c r="E52" i="16"/>
  <c r="D52" i="16"/>
  <c r="C52" i="16"/>
  <c r="M49" i="16"/>
  <c r="L49" i="16"/>
  <c r="K49" i="16"/>
  <c r="J49" i="16"/>
  <c r="I49" i="16"/>
  <c r="G49" i="16"/>
  <c r="F49" i="16"/>
  <c r="E49" i="16"/>
  <c r="C49" i="16"/>
  <c r="M46" i="16"/>
  <c r="L46" i="16"/>
  <c r="K46" i="16"/>
  <c r="J46" i="16"/>
  <c r="I46" i="16"/>
  <c r="G46" i="16"/>
  <c r="F46" i="16"/>
  <c r="E46" i="16"/>
  <c r="D46" i="16"/>
  <c r="C46" i="16"/>
  <c r="I41" i="16"/>
  <c r="G41" i="16"/>
  <c r="F41" i="16"/>
  <c r="E41" i="16"/>
  <c r="D41" i="16"/>
  <c r="C41" i="16"/>
  <c r="K40" i="16"/>
  <c r="J40" i="16"/>
  <c r="K39" i="16"/>
  <c r="K41" i="16"/>
  <c r="J39" i="16"/>
  <c r="K38" i="16"/>
  <c r="J38" i="16"/>
  <c r="K37" i="16"/>
  <c r="J37" i="16"/>
  <c r="K36" i="16"/>
  <c r="J36" i="16"/>
  <c r="K35" i="16"/>
  <c r="J35" i="16"/>
  <c r="K34" i="16"/>
  <c r="J34" i="16"/>
  <c r="K33" i="16"/>
  <c r="J33" i="16"/>
  <c r="K32" i="16"/>
  <c r="J32" i="16"/>
  <c r="K31" i="16"/>
  <c r="J31" i="16"/>
  <c r="K30" i="16"/>
  <c r="J30" i="16"/>
  <c r="K29" i="16"/>
  <c r="J29" i="16"/>
  <c r="K28" i="16"/>
  <c r="J28" i="16"/>
  <c r="K27" i="16"/>
  <c r="J27" i="16"/>
  <c r="K26" i="16"/>
  <c r="J26" i="16"/>
  <c r="K25" i="16"/>
  <c r="J25" i="16"/>
  <c r="H15" i="16"/>
  <c r="H11" i="16"/>
  <c r="H7" i="16"/>
  <c r="K2" i="16"/>
  <c r="N131" i="15"/>
  <c r="N130" i="15"/>
  <c r="N129" i="15"/>
  <c r="N128" i="15"/>
  <c r="N127" i="15"/>
  <c r="N126" i="15"/>
  <c r="N125" i="15"/>
  <c r="N124" i="15"/>
  <c r="N123" i="15"/>
  <c r="N122" i="15"/>
  <c r="N121" i="15"/>
  <c r="N120" i="15"/>
  <c r="N119" i="15"/>
  <c r="N118" i="15"/>
  <c r="N117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E58" i="15"/>
  <c r="L52" i="15"/>
  <c r="K52" i="15"/>
  <c r="J52" i="15"/>
  <c r="I52" i="15"/>
  <c r="G52" i="15"/>
  <c r="F52" i="15"/>
  <c r="E52" i="15"/>
  <c r="D52" i="15"/>
  <c r="C52" i="15"/>
  <c r="M49" i="15"/>
  <c r="L49" i="15"/>
  <c r="K49" i="15"/>
  <c r="J49" i="15"/>
  <c r="I49" i="15"/>
  <c r="G49" i="15"/>
  <c r="F49" i="15"/>
  <c r="E49" i="15"/>
  <c r="C49" i="15"/>
  <c r="M46" i="15"/>
  <c r="L46" i="15"/>
  <c r="K46" i="15"/>
  <c r="J46" i="15"/>
  <c r="I46" i="15"/>
  <c r="G46" i="15"/>
  <c r="F46" i="15"/>
  <c r="E46" i="15"/>
  <c r="D46" i="15"/>
  <c r="C46" i="15"/>
  <c r="D54" i="15"/>
  <c r="I54" i="16"/>
  <c r="I41" i="15"/>
  <c r="G41" i="15"/>
  <c r="F41" i="15"/>
  <c r="E41" i="15"/>
  <c r="D41" i="15"/>
  <c r="C41" i="15"/>
  <c r="K40" i="15"/>
  <c r="J40" i="15"/>
  <c r="K39" i="15"/>
  <c r="J39" i="15"/>
  <c r="K38" i="15"/>
  <c r="J38" i="15"/>
  <c r="K37" i="15"/>
  <c r="J37" i="15"/>
  <c r="K36" i="15"/>
  <c r="J36" i="15"/>
  <c r="K35" i="15"/>
  <c r="J35" i="15"/>
  <c r="K34" i="15"/>
  <c r="J34" i="15"/>
  <c r="K33" i="15"/>
  <c r="J33" i="15"/>
  <c r="K32" i="15"/>
  <c r="J32" i="15"/>
  <c r="K31" i="15"/>
  <c r="J31" i="15"/>
  <c r="K30" i="15"/>
  <c r="J30" i="15"/>
  <c r="K29" i="15"/>
  <c r="J29" i="15"/>
  <c r="K28" i="15"/>
  <c r="J28" i="15"/>
  <c r="K27" i="15"/>
  <c r="J27" i="15"/>
  <c r="K26" i="15"/>
  <c r="J26" i="15"/>
  <c r="K25" i="15"/>
  <c r="K41" i="15"/>
  <c r="J25" i="15"/>
  <c r="H15" i="15"/>
  <c r="H11" i="15"/>
  <c r="H7" i="15"/>
  <c r="K2" i="15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E58" i="14"/>
  <c r="L52" i="14"/>
  <c r="K52" i="14"/>
  <c r="J52" i="14"/>
  <c r="I52" i="14"/>
  <c r="G52" i="14"/>
  <c r="F52" i="14"/>
  <c r="E52" i="14"/>
  <c r="D52" i="14"/>
  <c r="C52" i="14"/>
  <c r="M49" i="14"/>
  <c r="L49" i="14"/>
  <c r="K49" i="14"/>
  <c r="J49" i="14"/>
  <c r="I49" i="14"/>
  <c r="G49" i="14"/>
  <c r="F49" i="14"/>
  <c r="E49" i="14"/>
  <c r="C49" i="14"/>
  <c r="M46" i="14"/>
  <c r="L46" i="14"/>
  <c r="K46" i="14"/>
  <c r="J46" i="14"/>
  <c r="I46" i="14"/>
  <c r="G46" i="14"/>
  <c r="F46" i="14"/>
  <c r="E46" i="14"/>
  <c r="D46" i="14"/>
  <c r="C46" i="14"/>
  <c r="G41" i="14"/>
  <c r="F41" i="14"/>
  <c r="E41" i="14"/>
  <c r="D41" i="14"/>
  <c r="C41" i="14"/>
  <c r="K40" i="14"/>
  <c r="J40" i="14"/>
  <c r="K39" i="14"/>
  <c r="J39" i="14"/>
  <c r="K38" i="14"/>
  <c r="J38" i="14"/>
  <c r="K37" i="14"/>
  <c r="J37" i="14"/>
  <c r="K36" i="14"/>
  <c r="J36" i="14"/>
  <c r="K35" i="14"/>
  <c r="J35" i="14"/>
  <c r="K34" i="14"/>
  <c r="J34" i="14"/>
  <c r="K33" i="14"/>
  <c r="J33" i="14"/>
  <c r="K32" i="14"/>
  <c r="J32" i="14"/>
  <c r="K31" i="14"/>
  <c r="J31" i="14"/>
  <c r="K30" i="14"/>
  <c r="J30" i="14"/>
  <c r="K29" i="14"/>
  <c r="J29" i="14"/>
  <c r="K28" i="14"/>
  <c r="J28" i="14"/>
  <c r="K27" i="14"/>
  <c r="J27" i="14"/>
  <c r="K26" i="14"/>
  <c r="J26" i="14"/>
  <c r="K25" i="14"/>
  <c r="J25" i="14"/>
  <c r="J41" i="14"/>
  <c r="H15" i="14"/>
  <c r="H11" i="14"/>
  <c r="H7" i="14"/>
  <c r="K2" i="14"/>
  <c r="N131" i="13"/>
  <c r="N130" i="13"/>
  <c r="N129" i="13"/>
  <c r="N128" i="13"/>
  <c r="N127" i="13"/>
  <c r="N126" i="13"/>
  <c r="N125" i="13"/>
  <c r="N124" i="13"/>
  <c r="N123" i="13"/>
  <c r="N122" i="13"/>
  <c r="N121" i="13"/>
  <c r="N120" i="13"/>
  <c r="N119" i="13"/>
  <c r="N118" i="13"/>
  <c r="N117" i="13"/>
  <c r="N116" i="13"/>
  <c r="N115" i="13"/>
  <c r="N114" i="13"/>
  <c r="N113" i="13"/>
  <c r="N112" i="13"/>
  <c r="N111" i="13"/>
  <c r="N110" i="13"/>
  <c r="N109" i="13"/>
  <c r="N108" i="13"/>
  <c r="N107" i="13"/>
  <c r="N106" i="13"/>
  <c r="N105" i="13"/>
  <c r="N104" i="13"/>
  <c r="N103" i="13"/>
  <c r="N102" i="13"/>
  <c r="N101" i="13"/>
  <c r="N100" i="13"/>
  <c r="N99" i="13"/>
  <c r="N98" i="13"/>
  <c r="N97" i="13"/>
  <c r="N96" i="13"/>
  <c r="N95" i="13"/>
  <c r="N94" i="13"/>
  <c r="N93" i="13"/>
  <c r="N92" i="13"/>
  <c r="N91" i="13"/>
  <c r="N90" i="13"/>
  <c r="N89" i="13"/>
  <c r="N88" i="13"/>
  <c r="N87" i="13"/>
  <c r="N86" i="13"/>
  <c r="N85" i="13"/>
  <c r="N84" i="13"/>
  <c r="N83" i="13"/>
  <c r="N82" i="13"/>
  <c r="N81" i="13"/>
  <c r="N80" i="13"/>
  <c r="N79" i="13"/>
  <c r="N78" i="13"/>
  <c r="N77" i="13"/>
  <c r="N76" i="13"/>
  <c r="N62" i="13"/>
  <c r="N75" i="13"/>
  <c r="N74" i="13"/>
  <c r="N73" i="13"/>
  <c r="N72" i="13"/>
  <c r="N71" i="13"/>
  <c r="N70" i="13"/>
  <c r="N69" i="13"/>
  <c r="N68" i="13"/>
  <c r="N67" i="13"/>
  <c r="N66" i="13"/>
  <c r="N65" i="13"/>
  <c r="N64" i="13"/>
  <c r="N63" i="13"/>
  <c r="E58" i="13"/>
  <c r="L52" i="13"/>
  <c r="K52" i="13"/>
  <c r="J52" i="13"/>
  <c r="I52" i="13"/>
  <c r="G52" i="13"/>
  <c r="F52" i="13"/>
  <c r="E52" i="13"/>
  <c r="D52" i="13"/>
  <c r="C52" i="13"/>
  <c r="M49" i="13"/>
  <c r="L49" i="13"/>
  <c r="K49" i="13"/>
  <c r="J49" i="13"/>
  <c r="I49" i="13"/>
  <c r="G49" i="13"/>
  <c r="F49" i="13"/>
  <c r="E49" i="13"/>
  <c r="C49" i="13"/>
  <c r="M46" i="13"/>
  <c r="L46" i="13"/>
  <c r="K46" i="13"/>
  <c r="J46" i="13"/>
  <c r="D54" i="13"/>
  <c r="I54" i="14"/>
  <c r="I46" i="13"/>
  <c r="G46" i="13"/>
  <c r="F46" i="13"/>
  <c r="E46" i="13"/>
  <c r="D46" i="13"/>
  <c r="C46" i="13"/>
  <c r="I41" i="13"/>
  <c r="G41" i="13"/>
  <c r="F41" i="13"/>
  <c r="E41" i="13"/>
  <c r="D41" i="13"/>
  <c r="C41" i="13"/>
  <c r="K40" i="13"/>
  <c r="J40" i="13"/>
  <c r="K39" i="13"/>
  <c r="J39" i="13"/>
  <c r="K38" i="13"/>
  <c r="J38" i="13"/>
  <c r="K37" i="13"/>
  <c r="J37" i="13"/>
  <c r="K36" i="13"/>
  <c r="J36" i="13"/>
  <c r="K35" i="13"/>
  <c r="J35" i="13"/>
  <c r="K34" i="13"/>
  <c r="J34" i="13"/>
  <c r="K33" i="13"/>
  <c r="J33" i="13"/>
  <c r="K32" i="13"/>
  <c r="J32" i="13"/>
  <c r="K31" i="13"/>
  <c r="J31" i="13"/>
  <c r="K30" i="13"/>
  <c r="J30" i="13"/>
  <c r="K29" i="13"/>
  <c r="J29" i="13"/>
  <c r="K28" i="13"/>
  <c r="J28" i="13"/>
  <c r="K27" i="13"/>
  <c r="J27" i="13"/>
  <c r="K26" i="13"/>
  <c r="J26" i="13"/>
  <c r="K25" i="13"/>
  <c r="J25" i="13"/>
  <c r="H15" i="13"/>
  <c r="H11" i="13"/>
  <c r="H19" i="13"/>
  <c r="H7" i="13"/>
  <c r="K2" i="13"/>
  <c r="N131" i="12"/>
  <c r="N130" i="12"/>
  <c r="N129" i="12"/>
  <c r="N128" i="12"/>
  <c r="N127" i="12"/>
  <c r="N126" i="12"/>
  <c r="N125" i="12"/>
  <c r="N124" i="12"/>
  <c r="N123" i="12"/>
  <c r="N122" i="12"/>
  <c r="N121" i="12"/>
  <c r="N120" i="12"/>
  <c r="N119" i="12"/>
  <c r="N118" i="12"/>
  <c r="N117" i="12"/>
  <c r="N116" i="12"/>
  <c r="N115" i="12"/>
  <c r="N114" i="12"/>
  <c r="N113" i="12"/>
  <c r="N112" i="12"/>
  <c r="N111" i="12"/>
  <c r="N110" i="12"/>
  <c r="N109" i="12"/>
  <c r="N108" i="12"/>
  <c r="N107" i="12"/>
  <c r="N106" i="12"/>
  <c r="N105" i="12"/>
  <c r="N104" i="12"/>
  <c r="N103" i="12"/>
  <c r="N102" i="12"/>
  <c r="N101" i="12"/>
  <c r="N100" i="12"/>
  <c r="N99" i="12"/>
  <c r="N98" i="12"/>
  <c r="N97" i="12"/>
  <c r="N96" i="12"/>
  <c r="N95" i="12"/>
  <c r="N94" i="12"/>
  <c r="N93" i="12"/>
  <c r="N92" i="12"/>
  <c r="N91" i="12"/>
  <c r="N90" i="12"/>
  <c r="N89" i="12"/>
  <c r="N88" i="12"/>
  <c r="N87" i="12"/>
  <c r="N86" i="12"/>
  <c r="N85" i="12"/>
  <c r="N84" i="12"/>
  <c r="N83" i="12"/>
  <c r="N82" i="12"/>
  <c r="N81" i="12"/>
  <c r="N80" i="12"/>
  <c r="N79" i="12"/>
  <c r="N78" i="12"/>
  <c r="N77" i="12"/>
  <c r="N76" i="12"/>
  <c r="N75" i="12"/>
  <c r="N74" i="12"/>
  <c r="N73" i="12"/>
  <c r="N72" i="12"/>
  <c r="N71" i="12"/>
  <c r="N70" i="12"/>
  <c r="N69" i="12"/>
  <c r="N68" i="12"/>
  <c r="N67" i="12"/>
  <c r="N66" i="12"/>
  <c r="N65" i="12"/>
  <c r="N64" i="12"/>
  <c r="N63" i="12"/>
  <c r="E58" i="12"/>
  <c r="L52" i="12"/>
  <c r="K52" i="12"/>
  <c r="J52" i="12"/>
  <c r="I52" i="12"/>
  <c r="G52" i="12"/>
  <c r="F52" i="12"/>
  <c r="E52" i="12"/>
  <c r="D52" i="12"/>
  <c r="C52" i="12"/>
  <c r="M49" i="12"/>
  <c r="L49" i="12"/>
  <c r="K49" i="12"/>
  <c r="J49" i="12"/>
  <c r="I49" i="12"/>
  <c r="G49" i="12"/>
  <c r="F49" i="12"/>
  <c r="E49" i="12"/>
  <c r="C49" i="12"/>
  <c r="M46" i="12"/>
  <c r="L46" i="12"/>
  <c r="K46" i="12"/>
  <c r="J46" i="12"/>
  <c r="D54" i="12"/>
  <c r="I54" i="13"/>
  <c r="I46" i="12"/>
  <c r="G46" i="12"/>
  <c r="F46" i="12"/>
  <c r="E46" i="12"/>
  <c r="D46" i="12"/>
  <c r="C46" i="12"/>
  <c r="I41" i="12"/>
  <c r="G41" i="12"/>
  <c r="F41" i="12"/>
  <c r="E41" i="12"/>
  <c r="D41" i="12"/>
  <c r="C41" i="12"/>
  <c r="K40" i="12"/>
  <c r="J40" i="12"/>
  <c r="K39" i="12"/>
  <c r="J39" i="12"/>
  <c r="K38" i="12"/>
  <c r="J38" i="12"/>
  <c r="K37" i="12"/>
  <c r="J37" i="12"/>
  <c r="K36" i="12"/>
  <c r="J36" i="12"/>
  <c r="K35" i="12"/>
  <c r="J35" i="12"/>
  <c r="K34" i="12"/>
  <c r="J34" i="12"/>
  <c r="K33" i="12"/>
  <c r="J33" i="12"/>
  <c r="K32" i="12"/>
  <c r="J32" i="12"/>
  <c r="K31" i="12"/>
  <c r="J31" i="12"/>
  <c r="K30" i="12"/>
  <c r="J30" i="12"/>
  <c r="K29" i="12"/>
  <c r="J29" i="12"/>
  <c r="K28" i="12"/>
  <c r="J28" i="12"/>
  <c r="K27" i="12"/>
  <c r="J27" i="12"/>
  <c r="K26" i="12"/>
  <c r="J26" i="12"/>
  <c r="K25" i="12"/>
  <c r="J25" i="12"/>
  <c r="H15" i="12"/>
  <c r="H11" i="12"/>
  <c r="H7" i="12"/>
  <c r="K2" i="12"/>
  <c r="N131" i="11"/>
  <c r="N130" i="11"/>
  <c r="N129" i="11"/>
  <c r="N128" i="11"/>
  <c r="N127" i="11"/>
  <c r="N126" i="11"/>
  <c r="N125" i="11"/>
  <c r="N124" i="11"/>
  <c r="N123" i="11"/>
  <c r="N122" i="11"/>
  <c r="N121" i="11"/>
  <c r="N120" i="11"/>
  <c r="N119" i="11"/>
  <c r="N118" i="11"/>
  <c r="N117" i="11"/>
  <c r="N116" i="11"/>
  <c r="N115" i="11"/>
  <c r="N114" i="11"/>
  <c r="N113" i="11"/>
  <c r="N112" i="11"/>
  <c r="N111" i="11"/>
  <c r="N110" i="11"/>
  <c r="N109" i="11"/>
  <c r="N108" i="11"/>
  <c r="N107" i="11"/>
  <c r="N106" i="11"/>
  <c r="N105" i="11"/>
  <c r="N104" i="11"/>
  <c r="N103" i="11"/>
  <c r="N102" i="11"/>
  <c r="N101" i="11"/>
  <c r="N100" i="11"/>
  <c r="N99" i="11"/>
  <c r="N98" i="11"/>
  <c r="N97" i="11"/>
  <c r="N96" i="11"/>
  <c r="N95" i="11"/>
  <c r="N94" i="11"/>
  <c r="N93" i="11"/>
  <c r="N92" i="11"/>
  <c r="N91" i="11"/>
  <c r="N90" i="11"/>
  <c r="N89" i="11"/>
  <c r="N88" i="11"/>
  <c r="N87" i="11"/>
  <c r="N86" i="11"/>
  <c r="N85" i="11"/>
  <c r="N84" i="11"/>
  <c r="N83" i="11"/>
  <c r="N82" i="11"/>
  <c r="N81" i="11"/>
  <c r="N80" i="11"/>
  <c r="N79" i="11"/>
  <c r="N78" i="11"/>
  <c r="N77" i="11"/>
  <c r="N76" i="11"/>
  <c r="N75" i="11"/>
  <c r="N74" i="11"/>
  <c r="N73" i="11"/>
  <c r="N62" i="11"/>
  <c r="N72" i="11"/>
  <c r="N71" i="11"/>
  <c r="N70" i="11"/>
  <c r="N69" i="11"/>
  <c r="N68" i="11"/>
  <c r="N67" i="11"/>
  <c r="N66" i="11"/>
  <c r="N65" i="11"/>
  <c r="N64" i="11"/>
  <c r="N63" i="11"/>
  <c r="E58" i="11"/>
  <c r="L52" i="11"/>
  <c r="K52" i="11"/>
  <c r="J52" i="11"/>
  <c r="I52" i="11"/>
  <c r="G52" i="11"/>
  <c r="F52" i="11"/>
  <c r="E52" i="11"/>
  <c r="D52" i="11"/>
  <c r="C52" i="11"/>
  <c r="M49" i="11"/>
  <c r="L49" i="11"/>
  <c r="K49" i="11"/>
  <c r="J49" i="11"/>
  <c r="I49" i="11"/>
  <c r="G49" i="11"/>
  <c r="F49" i="11"/>
  <c r="E49" i="11"/>
  <c r="C49" i="11"/>
  <c r="M46" i="11"/>
  <c r="L46" i="11"/>
  <c r="K46" i="11"/>
  <c r="J46" i="11"/>
  <c r="D54" i="11"/>
  <c r="I54" i="12"/>
  <c r="I46" i="11"/>
  <c r="G46" i="11"/>
  <c r="F46" i="11"/>
  <c r="E46" i="11"/>
  <c r="D46" i="11"/>
  <c r="C46" i="11"/>
  <c r="I41" i="11"/>
  <c r="G41" i="11"/>
  <c r="F41" i="11"/>
  <c r="E41" i="11"/>
  <c r="D41" i="11"/>
  <c r="C41" i="11"/>
  <c r="K40" i="11"/>
  <c r="J40" i="11"/>
  <c r="K39" i="11"/>
  <c r="J39" i="11"/>
  <c r="K38" i="11"/>
  <c r="J38" i="11"/>
  <c r="K37" i="11"/>
  <c r="J37" i="11"/>
  <c r="K36" i="11"/>
  <c r="J36" i="11"/>
  <c r="K35" i="11"/>
  <c r="J35" i="11"/>
  <c r="K34" i="11"/>
  <c r="J34" i="11"/>
  <c r="K33" i="11"/>
  <c r="J33" i="11"/>
  <c r="K32" i="11"/>
  <c r="J32" i="11"/>
  <c r="K31" i="11"/>
  <c r="J31" i="11"/>
  <c r="K30" i="11"/>
  <c r="J30" i="11"/>
  <c r="K29" i="11"/>
  <c r="J29" i="11"/>
  <c r="K28" i="11"/>
  <c r="J28" i="11"/>
  <c r="K27" i="11"/>
  <c r="J27" i="11"/>
  <c r="K26" i="11"/>
  <c r="J26" i="11"/>
  <c r="J41" i="11"/>
  <c r="K25" i="11"/>
  <c r="K41" i="11"/>
  <c r="J25" i="11"/>
  <c r="H15" i="11"/>
  <c r="H11" i="11"/>
  <c r="H7" i="11"/>
  <c r="H19" i="11"/>
  <c r="N59" i="11"/>
  <c r="K2" i="11"/>
  <c r="N131" i="10"/>
  <c r="N130" i="10"/>
  <c r="N129" i="10"/>
  <c r="N128" i="10"/>
  <c r="N127" i="10"/>
  <c r="N126" i="10"/>
  <c r="N125" i="10"/>
  <c r="N124" i="10"/>
  <c r="N123" i="10"/>
  <c r="N122" i="10"/>
  <c r="N121" i="10"/>
  <c r="N120" i="10"/>
  <c r="N119" i="10"/>
  <c r="N118" i="10"/>
  <c r="N117" i="10"/>
  <c r="N116" i="10"/>
  <c r="N115" i="10"/>
  <c r="N114" i="10"/>
  <c r="N113" i="10"/>
  <c r="N112" i="10"/>
  <c r="N111" i="10"/>
  <c r="N110" i="10"/>
  <c r="N109" i="10"/>
  <c r="N108" i="10"/>
  <c r="N107" i="10"/>
  <c r="N106" i="10"/>
  <c r="N105" i="10"/>
  <c r="N104" i="10"/>
  <c r="N103" i="10"/>
  <c r="N102" i="10"/>
  <c r="N101" i="10"/>
  <c r="N100" i="10"/>
  <c r="N99" i="10"/>
  <c r="N98" i="10"/>
  <c r="N97" i="10"/>
  <c r="N96" i="10"/>
  <c r="N95" i="10"/>
  <c r="N94" i="10"/>
  <c r="N93" i="10"/>
  <c r="N92" i="10"/>
  <c r="N91" i="10"/>
  <c r="N90" i="10"/>
  <c r="N89" i="10"/>
  <c r="N88" i="10"/>
  <c r="N87" i="10"/>
  <c r="N86" i="10"/>
  <c r="N85" i="10"/>
  <c r="N84" i="10"/>
  <c r="N83" i="10"/>
  <c r="N82" i="10"/>
  <c r="N81" i="10"/>
  <c r="N80" i="10"/>
  <c r="N79" i="10"/>
  <c r="N78" i="10"/>
  <c r="N77" i="10"/>
  <c r="N76" i="10"/>
  <c r="N75" i="10"/>
  <c r="N74" i="10"/>
  <c r="N73" i="10"/>
  <c r="N72" i="10"/>
  <c r="N70" i="10"/>
  <c r="N69" i="10"/>
  <c r="N68" i="10"/>
  <c r="N67" i="10"/>
  <c r="N66" i="10"/>
  <c r="N65" i="10"/>
  <c r="N64" i="10"/>
  <c r="N63" i="10"/>
  <c r="E58" i="10"/>
  <c r="L52" i="10"/>
  <c r="K52" i="10"/>
  <c r="J52" i="10"/>
  <c r="I52" i="10"/>
  <c r="G52" i="10"/>
  <c r="F52" i="10"/>
  <c r="E52" i="10"/>
  <c r="D52" i="10"/>
  <c r="C52" i="10"/>
  <c r="M49" i="10"/>
  <c r="L49" i="10"/>
  <c r="K49" i="10"/>
  <c r="J49" i="10"/>
  <c r="I49" i="10"/>
  <c r="G49" i="10"/>
  <c r="F49" i="10"/>
  <c r="E49" i="10"/>
  <c r="C49" i="10"/>
  <c r="M46" i="10"/>
  <c r="L46" i="10"/>
  <c r="K46" i="10"/>
  <c r="J46" i="10"/>
  <c r="I46" i="10"/>
  <c r="G46" i="10"/>
  <c r="F46" i="10"/>
  <c r="E46" i="10"/>
  <c r="D46" i="10"/>
  <c r="C46" i="10"/>
  <c r="I41" i="10"/>
  <c r="G41" i="10"/>
  <c r="F41" i="10"/>
  <c r="E41" i="10"/>
  <c r="D41" i="10"/>
  <c r="C41" i="10"/>
  <c r="K40" i="10"/>
  <c r="J40" i="10"/>
  <c r="K39" i="10"/>
  <c r="J39" i="10"/>
  <c r="K38" i="10"/>
  <c r="J38" i="10"/>
  <c r="K37" i="10"/>
  <c r="J37" i="10"/>
  <c r="K36" i="10"/>
  <c r="J36" i="10"/>
  <c r="K35" i="10"/>
  <c r="J35" i="10"/>
  <c r="K34" i="10"/>
  <c r="J34" i="10"/>
  <c r="K33" i="10"/>
  <c r="J33" i="10"/>
  <c r="K32" i="10"/>
  <c r="J32" i="10"/>
  <c r="K31" i="10"/>
  <c r="J31" i="10"/>
  <c r="K30" i="10"/>
  <c r="J30" i="10"/>
  <c r="K29" i="10"/>
  <c r="J29" i="10"/>
  <c r="K28" i="10"/>
  <c r="J28" i="10"/>
  <c r="K27" i="10"/>
  <c r="J27" i="10"/>
  <c r="K26" i="10"/>
  <c r="J26" i="10"/>
  <c r="K25" i="10"/>
  <c r="J25" i="10"/>
  <c r="H15" i="10"/>
  <c r="H11" i="10"/>
  <c r="H7" i="10"/>
  <c r="K2" i="10"/>
  <c r="N131" i="9"/>
  <c r="N130" i="9"/>
  <c r="N129" i="9"/>
  <c r="N128" i="9"/>
  <c r="N127" i="9"/>
  <c r="N126" i="9"/>
  <c r="N125" i="9"/>
  <c r="N124" i="9"/>
  <c r="N123" i="9"/>
  <c r="N122" i="9"/>
  <c r="N121" i="9"/>
  <c r="N120" i="9"/>
  <c r="N119" i="9"/>
  <c r="N118" i="9"/>
  <c r="N117" i="9"/>
  <c r="N116" i="9"/>
  <c r="N115" i="9"/>
  <c r="N114" i="9"/>
  <c r="N113" i="9"/>
  <c r="N112" i="9"/>
  <c r="N111" i="9"/>
  <c r="N110" i="9"/>
  <c r="N109" i="9"/>
  <c r="N108" i="9"/>
  <c r="N107" i="9"/>
  <c r="N106" i="9"/>
  <c r="N105" i="9"/>
  <c r="N104" i="9"/>
  <c r="N103" i="9"/>
  <c r="N102" i="9"/>
  <c r="N101" i="9"/>
  <c r="N100" i="9"/>
  <c r="N99" i="9"/>
  <c r="N98" i="9"/>
  <c r="N97" i="9"/>
  <c r="N96" i="9"/>
  <c r="N95" i="9"/>
  <c r="N94" i="9"/>
  <c r="N93" i="9"/>
  <c r="N92" i="9"/>
  <c r="N91" i="9"/>
  <c r="N90" i="9"/>
  <c r="N89" i="9"/>
  <c r="N88" i="9"/>
  <c r="N87" i="9"/>
  <c r="N86" i="9"/>
  <c r="N85" i="9"/>
  <c r="N84" i="9"/>
  <c r="N83" i="9"/>
  <c r="N82" i="9"/>
  <c r="N81" i="9"/>
  <c r="N80" i="9"/>
  <c r="N79" i="9"/>
  <c r="N78" i="9"/>
  <c r="N77" i="9"/>
  <c r="N76" i="9"/>
  <c r="N75" i="9"/>
  <c r="N74" i="9"/>
  <c r="N73" i="9"/>
  <c r="N72" i="9"/>
  <c r="N71" i="9"/>
  <c r="N70" i="9"/>
  <c r="N69" i="9"/>
  <c r="N68" i="9"/>
  <c r="N67" i="9"/>
  <c r="N66" i="9"/>
  <c r="N65" i="9"/>
  <c r="N64" i="9"/>
  <c r="N63" i="9"/>
  <c r="E58" i="9"/>
  <c r="H7" i="9"/>
  <c r="L52" i="9"/>
  <c r="K52" i="9"/>
  <c r="J52" i="9"/>
  <c r="I52" i="9"/>
  <c r="G52" i="9"/>
  <c r="F52" i="9"/>
  <c r="E52" i="9"/>
  <c r="D52" i="9"/>
  <c r="C52" i="9"/>
  <c r="M49" i="9"/>
  <c r="L49" i="9"/>
  <c r="K49" i="9"/>
  <c r="J49" i="9"/>
  <c r="I49" i="9"/>
  <c r="G49" i="9"/>
  <c r="F49" i="9"/>
  <c r="E49" i="9"/>
  <c r="C49" i="9"/>
  <c r="M46" i="9"/>
  <c r="L46" i="9"/>
  <c r="K46" i="9"/>
  <c r="J46" i="9"/>
  <c r="I46" i="9"/>
  <c r="G46" i="9"/>
  <c r="F46" i="9"/>
  <c r="E46" i="9"/>
  <c r="D46" i="9"/>
  <c r="C46" i="9"/>
  <c r="I41" i="9"/>
  <c r="G41" i="9"/>
  <c r="F41" i="9"/>
  <c r="E41" i="9"/>
  <c r="D41" i="9"/>
  <c r="C41" i="9"/>
  <c r="K40" i="9"/>
  <c r="J40" i="9"/>
  <c r="K39" i="9"/>
  <c r="J39" i="9"/>
  <c r="K38" i="9"/>
  <c r="J38" i="9"/>
  <c r="K37" i="9"/>
  <c r="J37" i="9"/>
  <c r="K36" i="9"/>
  <c r="J36" i="9"/>
  <c r="K35" i="9"/>
  <c r="J35" i="9"/>
  <c r="K34" i="9"/>
  <c r="J34" i="9"/>
  <c r="K33" i="9"/>
  <c r="J33" i="9"/>
  <c r="K32" i="9"/>
  <c r="J32" i="9"/>
  <c r="K31" i="9"/>
  <c r="J31" i="9"/>
  <c r="K30" i="9"/>
  <c r="J30" i="9"/>
  <c r="K29" i="9"/>
  <c r="J29" i="9"/>
  <c r="K28" i="9"/>
  <c r="J28" i="9"/>
  <c r="K27" i="9"/>
  <c r="J27" i="9"/>
  <c r="K26" i="9"/>
  <c r="J26" i="9"/>
  <c r="K25" i="9"/>
  <c r="J25" i="9"/>
  <c r="H15" i="9"/>
  <c r="H11" i="9"/>
  <c r="K2" i="9"/>
  <c r="N131" i="8"/>
  <c r="N130" i="8"/>
  <c r="N129" i="8"/>
  <c r="N128" i="8"/>
  <c r="N127" i="8"/>
  <c r="N126" i="8"/>
  <c r="N125" i="8"/>
  <c r="N124" i="8"/>
  <c r="N123" i="8"/>
  <c r="N122" i="8"/>
  <c r="N121" i="8"/>
  <c r="N120" i="8"/>
  <c r="N119" i="8"/>
  <c r="N118" i="8"/>
  <c r="N117" i="8"/>
  <c r="N116" i="8"/>
  <c r="N115" i="8"/>
  <c r="N114" i="8"/>
  <c r="N113" i="8"/>
  <c r="N112" i="8"/>
  <c r="N111" i="8"/>
  <c r="N110" i="8"/>
  <c r="N109" i="8"/>
  <c r="N108" i="8"/>
  <c r="N107" i="8"/>
  <c r="N106" i="8"/>
  <c r="N105" i="8"/>
  <c r="N104" i="8"/>
  <c r="N103" i="8"/>
  <c r="N102" i="8"/>
  <c r="N101" i="8"/>
  <c r="N100" i="8"/>
  <c r="N99" i="8"/>
  <c r="N98" i="8"/>
  <c r="N97" i="8"/>
  <c r="N96" i="8"/>
  <c r="N95" i="8"/>
  <c r="N94" i="8"/>
  <c r="N93" i="8"/>
  <c r="N92" i="8"/>
  <c r="N91" i="8"/>
  <c r="N90" i="8"/>
  <c r="N89" i="8"/>
  <c r="N88" i="8"/>
  <c r="N87" i="8"/>
  <c r="N86" i="8"/>
  <c r="N85" i="8"/>
  <c r="N84" i="8"/>
  <c r="N83" i="8"/>
  <c r="N82" i="8"/>
  <c r="N81" i="8"/>
  <c r="N80" i="8"/>
  <c r="N79" i="8"/>
  <c r="N78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64" i="8"/>
  <c r="N63" i="8"/>
  <c r="E58" i="8"/>
  <c r="L52" i="8"/>
  <c r="K52" i="8"/>
  <c r="J52" i="8"/>
  <c r="I52" i="8"/>
  <c r="G52" i="8"/>
  <c r="F52" i="8"/>
  <c r="E52" i="8"/>
  <c r="D52" i="8"/>
  <c r="C52" i="8"/>
  <c r="M49" i="8"/>
  <c r="L49" i="8"/>
  <c r="K49" i="8"/>
  <c r="J49" i="8"/>
  <c r="I49" i="8"/>
  <c r="G49" i="8"/>
  <c r="F49" i="8"/>
  <c r="E49" i="8"/>
  <c r="C49" i="8"/>
  <c r="M46" i="8"/>
  <c r="L46" i="8"/>
  <c r="K46" i="8"/>
  <c r="J46" i="8"/>
  <c r="I46" i="8"/>
  <c r="G46" i="8"/>
  <c r="F46" i="8"/>
  <c r="E46" i="8"/>
  <c r="D46" i="8"/>
  <c r="C46" i="8"/>
  <c r="I41" i="8"/>
  <c r="G41" i="8"/>
  <c r="F41" i="8"/>
  <c r="E41" i="8"/>
  <c r="D41" i="8"/>
  <c r="C41" i="8"/>
  <c r="K40" i="8"/>
  <c r="J40" i="8"/>
  <c r="K39" i="8"/>
  <c r="J39" i="8"/>
  <c r="K38" i="8"/>
  <c r="K41" i="8"/>
  <c r="J38" i="8"/>
  <c r="K37" i="8"/>
  <c r="J37" i="8"/>
  <c r="K36" i="8"/>
  <c r="J36" i="8"/>
  <c r="K35" i="8"/>
  <c r="J35" i="8"/>
  <c r="K34" i="8"/>
  <c r="J34" i="8"/>
  <c r="K33" i="8"/>
  <c r="J33" i="8"/>
  <c r="K32" i="8"/>
  <c r="J32" i="8"/>
  <c r="K31" i="8"/>
  <c r="J31" i="8"/>
  <c r="K30" i="8"/>
  <c r="J30" i="8"/>
  <c r="K29" i="8"/>
  <c r="J29" i="8"/>
  <c r="K28" i="8"/>
  <c r="J28" i="8"/>
  <c r="K27" i="8"/>
  <c r="J27" i="8"/>
  <c r="K26" i="8"/>
  <c r="J26" i="8"/>
  <c r="K25" i="8"/>
  <c r="J25" i="8"/>
  <c r="H15" i="8"/>
  <c r="H11" i="8"/>
  <c r="H7" i="8"/>
  <c r="K2" i="8"/>
  <c r="N131" i="7"/>
  <c r="N130" i="7"/>
  <c r="N129" i="7"/>
  <c r="N128" i="7"/>
  <c r="N127" i="7"/>
  <c r="N126" i="7"/>
  <c r="N125" i="7"/>
  <c r="N124" i="7"/>
  <c r="N123" i="7"/>
  <c r="N122" i="7"/>
  <c r="N121" i="7"/>
  <c r="N120" i="7"/>
  <c r="N119" i="7"/>
  <c r="N118" i="7"/>
  <c r="N117" i="7"/>
  <c r="N116" i="7"/>
  <c r="N115" i="7"/>
  <c r="N114" i="7"/>
  <c r="N113" i="7"/>
  <c r="N112" i="7"/>
  <c r="N111" i="7"/>
  <c r="N110" i="7"/>
  <c r="N109" i="7"/>
  <c r="N108" i="7"/>
  <c r="N107" i="7"/>
  <c r="N106" i="7"/>
  <c r="N105" i="7"/>
  <c r="N104" i="7"/>
  <c r="N103" i="7"/>
  <c r="N102" i="7"/>
  <c r="N101" i="7"/>
  <c r="N100" i="7"/>
  <c r="N99" i="7"/>
  <c r="N98" i="7"/>
  <c r="N97" i="7"/>
  <c r="N96" i="7"/>
  <c r="N95" i="7"/>
  <c r="N94" i="7"/>
  <c r="N93" i="7"/>
  <c r="N92" i="7"/>
  <c r="N91" i="7"/>
  <c r="N90" i="7"/>
  <c r="N89" i="7"/>
  <c r="N88" i="7"/>
  <c r="N87" i="7"/>
  <c r="N86" i="7"/>
  <c r="N85" i="7"/>
  <c r="N84" i="7"/>
  <c r="N83" i="7"/>
  <c r="N82" i="7"/>
  <c r="N81" i="7"/>
  <c r="N80" i="7"/>
  <c r="N79" i="7"/>
  <c r="N78" i="7"/>
  <c r="N77" i="7"/>
  <c r="N76" i="7"/>
  <c r="N75" i="7"/>
  <c r="N74" i="7"/>
  <c r="N73" i="7"/>
  <c r="N72" i="7"/>
  <c r="N71" i="7"/>
  <c r="N70" i="7"/>
  <c r="N69" i="7"/>
  <c r="N68" i="7"/>
  <c r="N67" i="7"/>
  <c r="N66" i="7"/>
  <c r="N65" i="7"/>
  <c r="N64" i="7"/>
  <c r="N63" i="7"/>
  <c r="E58" i="7"/>
  <c r="C59" i="7"/>
  <c r="L52" i="7"/>
  <c r="K52" i="7"/>
  <c r="J52" i="7"/>
  <c r="I52" i="7"/>
  <c r="G52" i="7"/>
  <c r="F52" i="7"/>
  <c r="E52" i="7"/>
  <c r="D52" i="7"/>
  <c r="C52" i="7"/>
  <c r="M49" i="7"/>
  <c r="L49" i="7"/>
  <c r="K49" i="7"/>
  <c r="J49" i="7"/>
  <c r="I49" i="7"/>
  <c r="G49" i="7"/>
  <c r="F49" i="7"/>
  <c r="E49" i="7"/>
  <c r="C49" i="7"/>
  <c r="M46" i="7"/>
  <c r="L46" i="7"/>
  <c r="K46" i="7"/>
  <c r="J46" i="7"/>
  <c r="I46" i="7"/>
  <c r="G46" i="7"/>
  <c r="F46" i="7"/>
  <c r="E46" i="7"/>
  <c r="D46" i="7"/>
  <c r="C46" i="7"/>
  <c r="I41" i="7"/>
  <c r="G41" i="7"/>
  <c r="F41" i="7"/>
  <c r="E41" i="7"/>
  <c r="D41" i="7"/>
  <c r="C41" i="7"/>
  <c r="K40" i="7"/>
  <c r="J40" i="7"/>
  <c r="K39" i="7"/>
  <c r="J39" i="7"/>
  <c r="K38" i="7"/>
  <c r="J38" i="7"/>
  <c r="K37" i="7"/>
  <c r="J37" i="7"/>
  <c r="K36" i="7"/>
  <c r="J36" i="7"/>
  <c r="K35" i="7"/>
  <c r="J35" i="7"/>
  <c r="K34" i="7"/>
  <c r="J34" i="7"/>
  <c r="K33" i="7"/>
  <c r="J33" i="7"/>
  <c r="K32" i="7"/>
  <c r="J32" i="7"/>
  <c r="K31" i="7"/>
  <c r="J31" i="7"/>
  <c r="K30" i="7"/>
  <c r="J30" i="7"/>
  <c r="K29" i="7"/>
  <c r="J29" i="7"/>
  <c r="K28" i="7"/>
  <c r="J28" i="7"/>
  <c r="K27" i="7"/>
  <c r="J27" i="7"/>
  <c r="K26" i="7"/>
  <c r="J26" i="7"/>
  <c r="K25" i="7"/>
  <c r="J25" i="7"/>
  <c r="H15" i="7"/>
  <c r="H11" i="7"/>
  <c r="H7" i="7"/>
  <c r="H19" i="7"/>
  <c r="H59" i="7"/>
  <c r="K2" i="7"/>
  <c r="H59" i="17"/>
  <c r="L59" i="17"/>
  <c r="H59" i="24"/>
  <c r="L59" i="24"/>
  <c r="J6" i="7"/>
  <c r="L59" i="7"/>
  <c r="H19" i="14"/>
  <c r="C59" i="14"/>
  <c r="D54" i="14"/>
  <c r="I54" i="15"/>
  <c r="H19" i="16"/>
  <c r="J41" i="20"/>
  <c r="K41" i="24"/>
  <c r="N62" i="25"/>
  <c r="J41" i="26"/>
  <c r="D54" i="26"/>
  <c r="I54" i="27"/>
  <c r="J41" i="27"/>
  <c r="H19" i="29"/>
  <c r="N62" i="33"/>
  <c r="H19" i="35"/>
  <c r="M59" i="35"/>
  <c r="J41" i="17"/>
  <c r="H19" i="20"/>
  <c r="J6" i="20"/>
  <c r="D54" i="20"/>
  <c r="I54" i="21"/>
  <c r="H19" i="22"/>
  <c r="H59" i="22"/>
  <c r="J41" i="23"/>
  <c r="N62" i="23"/>
  <c r="C59" i="24"/>
  <c r="H19" i="26"/>
  <c r="D54" i="29"/>
  <c r="I54" i="30"/>
  <c r="J41" i="33"/>
  <c r="N62" i="34"/>
  <c r="D54" i="35"/>
  <c r="I54" i="36"/>
  <c r="K41" i="36"/>
  <c r="K41" i="14"/>
  <c r="D54" i="16"/>
  <c r="I54" i="17"/>
  <c r="K41" i="17"/>
  <c r="D54" i="22"/>
  <c r="I54" i="23"/>
  <c r="K41" i="23"/>
  <c r="N62" i="27"/>
  <c r="J41" i="32"/>
  <c r="N62" i="35"/>
  <c r="C59" i="36"/>
  <c r="D54" i="7"/>
  <c r="I54" i="8"/>
  <c r="J41" i="10"/>
  <c r="J41" i="16"/>
  <c r="N62" i="16"/>
  <c r="D54" i="19"/>
  <c r="I54" i="20"/>
  <c r="K41" i="20"/>
  <c r="J41" i="25"/>
  <c r="D54" i="25"/>
  <c r="I54" i="26"/>
  <c r="K41" i="27"/>
  <c r="N62" i="28"/>
  <c r="J41" i="29"/>
  <c r="N62" i="29"/>
  <c r="J41" i="35"/>
  <c r="N62" i="36"/>
  <c r="N62" i="22"/>
  <c r="K41" i="13"/>
  <c r="H19" i="15"/>
  <c r="C59" i="15"/>
  <c r="C59" i="16"/>
  <c r="J41" i="19"/>
  <c r="N62" i="20"/>
  <c r="K41" i="22"/>
  <c r="J41" i="24"/>
  <c r="D54" i="24"/>
  <c r="I54" i="25"/>
  <c r="N62" i="24"/>
  <c r="K41" i="28"/>
  <c r="C59" i="29"/>
  <c r="H19" i="34"/>
  <c r="C59" i="34"/>
  <c r="D54" i="34"/>
  <c r="I54" i="35"/>
  <c r="J41" i="28"/>
  <c r="J41" i="7"/>
  <c r="K41" i="7"/>
  <c r="N62" i="7"/>
  <c r="D54" i="9"/>
  <c r="I54" i="10"/>
  <c r="K41" i="10"/>
  <c r="J41" i="15"/>
  <c r="N62" i="15"/>
  <c r="D54" i="21"/>
  <c r="I54" i="22"/>
  <c r="H19" i="23"/>
  <c r="C59" i="23"/>
  <c r="K41" i="25"/>
  <c r="I54" i="28"/>
  <c r="D54" i="17"/>
  <c r="I54" i="18"/>
  <c r="N62" i="18"/>
  <c r="N62" i="19"/>
  <c r="N62" i="21"/>
  <c r="D54" i="23"/>
  <c r="I54" i="24"/>
  <c r="C59" i="25"/>
  <c r="N62" i="26"/>
  <c r="N62" i="30"/>
  <c r="H59" i="36"/>
  <c r="L59" i="36"/>
  <c r="M59" i="36"/>
  <c r="J6" i="36"/>
  <c r="L59" i="34"/>
  <c r="H59" i="31"/>
  <c r="H59" i="29"/>
  <c r="M59" i="29"/>
  <c r="J6" i="29"/>
  <c r="L59" i="29"/>
  <c r="L59" i="28"/>
  <c r="J6" i="28"/>
  <c r="M59" i="28"/>
  <c r="C59" i="28"/>
  <c r="C59" i="26"/>
  <c r="H59" i="26"/>
  <c r="L59" i="26"/>
  <c r="M59" i="26"/>
  <c r="J6" i="26"/>
  <c r="H59" i="25"/>
  <c r="L59" i="25"/>
  <c r="M59" i="25"/>
  <c r="J6" i="25"/>
  <c r="J6" i="24"/>
  <c r="M59" i="24"/>
  <c r="H59" i="23"/>
  <c r="M59" i="23"/>
  <c r="J6" i="23"/>
  <c r="L59" i="23"/>
  <c r="C59" i="22"/>
  <c r="H59" i="21"/>
  <c r="C59" i="21"/>
  <c r="L59" i="21"/>
  <c r="M59" i="21"/>
  <c r="J6" i="21"/>
  <c r="C59" i="20"/>
  <c r="M59" i="20"/>
  <c r="L59" i="19"/>
  <c r="J6" i="19"/>
  <c r="M59" i="19"/>
  <c r="C59" i="19"/>
  <c r="H59" i="18"/>
  <c r="M59" i="18"/>
  <c r="J6" i="18"/>
  <c r="L59" i="18"/>
  <c r="J6" i="17"/>
  <c r="M59" i="17"/>
  <c r="C59" i="17"/>
  <c r="H59" i="16"/>
  <c r="J6" i="16"/>
  <c r="L59" i="16"/>
  <c r="M59" i="16"/>
  <c r="H59" i="15"/>
  <c r="M59" i="15"/>
  <c r="J6" i="15"/>
  <c r="L59" i="15"/>
  <c r="H59" i="14"/>
  <c r="J6" i="14"/>
  <c r="M59" i="7"/>
  <c r="M59" i="14"/>
  <c r="L59" i="20"/>
  <c r="J6" i="34"/>
  <c r="H59" i="35"/>
  <c r="L59" i="14"/>
  <c r="H59" i="20"/>
  <c r="M59" i="34"/>
  <c r="H59" i="34"/>
  <c r="L59" i="35"/>
  <c r="C59" i="35"/>
  <c r="J6" i="35"/>
  <c r="K45" i="2"/>
  <c r="K46" i="2"/>
  <c r="K49" i="2"/>
  <c r="K48" i="2"/>
  <c r="K47" i="2"/>
  <c r="D49" i="2"/>
  <c r="D48" i="2"/>
  <c r="D47" i="2"/>
  <c r="D46" i="2"/>
  <c r="D45" i="2"/>
  <c r="V65" i="2"/>
  <c r="V64" i="2"/>
  <c r="V63" i="2"/>
  <c r="V62" i="2"/>
  <c r="V61" i="2"/>
  <c r="V60" i="2"/>
  <c r="V59" i="2"/>
  <c r="C56" i="2"/>
  <c r="AK60" i="4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8" i="2"/>
  <c r="K60" i="4"/>
  <c r="X60" i="4"/>
  <c r="AX60" i="4"/>
  <c r="AM2" i="4"/>
  <c r="AM30" i="4"/>
  <c r="AZ2" i="4"/>
  <c r="AZ30" i="4"/>
  <c r="V46" i="2"/>
  <c r="V47" i="2"/>
  <c r="V48" i="2"/>
  <c r="V49" i="2"/>
  <c r="V45" i="2"/>
  <c r="J5" i="2"/>
  <c r="E5" i="2"/>
  <c r="K49" i="3"/>
  <c r="D49" i="3"/>
  <c r="C51" i="3"/>
  <c r="K48" i="3"/>
  <c r="D48" i="3"/>
  <c r="K47" i="3"/>
  <c r="D47" i="3"/>
  <c r="K46" i="3"/>
  <c r="D46" i="3"/>
  <c r="K45" i="3"/>
  <c r="D45" i="3"/>
  <c r="K39" i="6"/>
  <c r="K38" i="6"/>
  <c r="S46" i="3"/>
  <c r="S47" i="3"/>
  <c r="S48" i="3"/>
  <c r="S49" i="3"/>
  <c r="S45" i="3"/>
  <c r="D51" i="3"/>
  <c r="AA38" i="3"/>
  <c r="AA37" i="3"/>
  <c r="AA36" i="3"/>
  <c r="AA35" i="3"/>
  <c r="AA34" i="3"/>
  <c r="AA33" i="3"/>
  <c r="AA32" i="3"/>
  <c r="AA31" i="3"/>
  <c r="AA30" i="3"/>
  <c r="AA29" i="3"/>
  <c r="AA28" i="3"/>
  <c r="AA27" i="3"/>
  <c r="AA26" i="3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U5" i="3"/>
  <c r="U33" i="3"/>
  <c r="X4" i="3"/>
  <c r="X5" i="3"/>
  <c r="X10" i="3"/>
  <c r="H4" i="3"/>
  <c r="X26" i="3"/>
  <c r="X34" i="3"/>
  <c r="X13" i="3"/>
  <c r="X32" i="3"/>
  <c r="X8" i="3"/>
  <c r="X49" i="3"/>
  <c r="X46" i="3"/>
  <c r="X48" i="3"/>
  <c r="X47" i="3"/>
  <c r="X45" i="3"/>
  <c r="X18" i="3"/>
  <c r="U17" i="3"/>
  <c r="U25" i="3"/>
  <c r="U12" i="3"/>
  <c r="U31" i="3"/>
  <c r="F45" i="3"/>
  <c r="F46" i="3"/>
  <c r="U46" i="3"/>
  <c r="U9" i="3"/>
  <c r="K51" i="3"/>
  <c r="U20" i="3"/>
  <c r="X21" i="3"/>
  <c r="U28" i="3"/>
  <c r="X29" i="3"/>
  <c r="U36" i="3"/>
  <c r="X37" i="3"/>
  <c r="F48" i="3"/>
  <c r="U48" i="3"/>
  <c r="U14" i="3"/>
  <c r="X15" i="3"/>
  <c r="U22" i="3"/>
  <c r="X23" i="3"/>
  <c r="U30" i="3"/>
  <c r="X31" i="3"/>
  <c r="U38" i="3"/>
  <c r="U11" i="3"/>
  <c r="X12" i="3"/>
  <c r="U19" i="3"/>
  <c r="X20" i="3"/>
  <c r="U27" i="3"/>
  <c r="X28" i="3"/>
  <c r="U35" i="3"/>
  <c r="X36" i="3"/>
  <c r="U8" i="3"/>
  <c r="X9" i="3"/>
  <c r="U16" i="3"/>
  <c r="X17" i="3"/>
  <c r="U24" i="3"/>
  <c r="X25" i="3"/>
  <c r="U32" i="3"/>
  <c r="X33" i="3"/>
  <c r="F47" i="3"/>
  <c r="U47" i="3"/>
  <c r="F49" i="3"/>
  <c r="U49" i="3"/>
  <c r="U13" i="3"/>
  <c r="X14" i="3"/>
  <c r="U21" i="3"/>
  <c r="X22" i="3"/>
  <c r="U29" i="3"/>
  <c r="X30" i="3"/>
  <c r="U37" i="3"/>
  <c r="X38" i="3"/>
  <c r="U10" i="3"/>
  <c r="X11" i="3"/>
  <c r="U18" i="3"/>
  <c r="X19" i="3"/>
  <c r="U26" i="3"/>
  <c r="X27" i="3"/>
  <c r="U34" i="3"/>
  <c r="X35" i="3"/>
  <c r="U15" i="3"/>
  <c r="X16" i="3"/>
  <c r="U23" i="3"/>
  <c r="X24" i="3"/>
  <c r="C51" i="2"/>
  <c r="X5" i="2"/>
  <c r="X62" i="2"/>
  <c r="X65" i="2"/>
  <c r="AA65" i="2"/>
  <c r="X59" i="2"/>
  <c r="X64" i="2"/>
  <c r="AA64" i="2"/>
  <c r="X61" i="2"/>
  <c r="F47" i="2"/>
  <c r="M60" i="4"/>
  <c r="X60" i="2"/>
  <c r="X63" i="2"/>
  <c r="AA63" i="2"/>
  <c r="M30" i="4"/>
  <c r="F45" i="2"/>
  <c r="X45" i="2"/>
  <c r="AA45" i="2"/>
  <c r="F49" i="2"/>
  <c r="U45" i="3"/>
  <c r="F51" i="3"/>
  <c r="AA4" i="2"/>
  <c r="AA5" i="2"/>
  <c r="AD5" i="2"/>
  <c r="AM60" i="4"/>
  <c r="AZ60" i="4"/>
  <c r="Z30" i="4"/>
  <c r="AA59" i="2"/>
  <c r="AA8" i="2"/>
  <c r="J4" i="2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G41" i="6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8" i="2"/>
  <c r="AA11" i="2"/>
  <c r="D51" i="2"/>
  <c r="AA34" i="2"/>
  <c r="AA26" i="2"/>
  <c r="AA18" i="2"/>
  <c r="AA10" i="2"/>
  <c r="AA33" i="2"/>
  <c r="AA25" i="2"/>
  <c r="AA17" i="2"/>
  <c r="AA9" i="2"/>
  <c r="AA32" i="2"/>
  <c r="AA24" i="2"/>
  <c r="AA16" i="2"/>
  <c r="AA23" i="2"/>
  <c r="AA15" i="2"/>
  <c r="AA30" i="2"/>
  <c r="AA14" i="2"/>
  <c r="AA37" i="2"/>
  <c r="AA29" i="2"/>
  <c r="AA13" i="2"/>
  <c r="AA36" i="2"/>
  <c r="AA28" i="2"/>
  <c r="AA20" i="2"/>
  <c r="AA12" i="2"/>
  <c r="AA31" i="2"/>
  <c r="AA38" i="2"/>
  <c r="AA22" i="2"/>
  <c r="AA21" i="2"/>
  <c r="AA35" i="2"/>
  <c r="AA27" i="2"/>
  <c r="AA19" i="2"/>
  <c r="X13" i="2"/>
  <c r="X49" i="2"/>
  <c r="AA49" i="2"/>
  <c r="F46" i="2"/>
  <c r="X46" i="2"/>
  <c r="AA46" i="2"/>
  <c r="X47" i="2"/>
  <c r="AA47" i="2"/>
  <c r="F48" i="2"/>
  <c r="X48" i="2"/>
  <c r="AA48" i="2"/>
  <c r="X19" i="2"/>
  <c r="X33" i="2"/>
  <c r="X31" i="2"/>
  <c r="X26" i="2"/>
  <c r="X18" i="2"/>
  <c r="X28" i="2"/>
  <c r="X17" i="2"/>
  <c r="X27" i="2"/>
  <c r="X8" i="2"/>
  <c r="X36" i="2"/>
  <c r="X11" i="2"/>
  <c r="X15" i="2"/>
  <c r="X12" i="2"/>
  <c r="X25" i="2"/>
  <c r="X35" i="2"/>
  <c r="X23" i="2"/>
  <c r="X10" i="2"/>
  <c r="X34" i="2"/>
  <c r="X20" i="2"/>
  <c r="X9" i="2"/>
  <c r="X32" i="2"/>
  <c r="X24" i="2"/>
  <c r="X16" i="2"/>
  <c r="X38" i="2"/>
  <c r="X30" i="2"/>
  <c r="X22" i="2"/>
  <c r="X14" i="2"/>
  <c r="X37" i="2"/>
  <c r="X29" i="2"/>
  <c r="X21" i="2"/>
  <c r="C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H15" i="6"/>
  <c r="H11" i="6"/>
  <c r="H7" i="6"/>
  <c r="AA61" i="2"/>
  <c r="AA60" i="2"/>
  <c r="AA62" i="2"/>
  <c r="H19" i="6"/>
  <c r="M59" i="6"/>
  <c r="F51" i="2"/>
  <c r="Z60" i="4"/>
  <c r="H59" i="6"/>
  <c r="E58" i="6"/>
  <c r="G52" i="6"/>
  <c r="G49" i="6"/>
  <c r="G46" i="6"/>
  <c r="K35" i="6"/>
  <c r="K25" i="6"/>
  <c r="K40" i="6"/>
  <c r="L52" i="6"/>
  <c r="K52" i="6"/>
  <c r="J52" i="6"/>
  <c r="I52" i="6"/>
  <c r="F52" i="6"/>
  <c r="E52" i="6"/>
  <c r="D52" i="6"/>
  <c r="C52" i="6"/>
  <c r="M49" i="6"/>
  <c r="L49" i="6"/>
  <c r="K49" i="6"/>
  <c r="J49" i="6"/>
  <c r="I49" i="6"/>
  <c r="F49" i="6"/>
  <c r="E49" i="6"/>
  <c r="C49" i="6"/>
  <c r="M46" i="6"/>
  <c r="L46" i="6"/>
  <c r="K46" i="6"/>
  <c r="J46" i="6"/>
  <c r="I46" i="6"/>
  <c r="F46" i="6"/>
  <c r="E46" i="6"/>
  <c r="D46" i="6"/>
  <c r="C46" i="6"/>
  <c r="I41" i="6"/>
  <c r="F41" i="6"/>
  <c r="E41" i="6"/>
  <c r="D41" i="6"/>
  <c r="K37" i="6"/>
  <c r="K36" i="6"/>
  <c r="K34" i="6"/>
  <c r="K33" i="6"/>
  <c r="K32" i="6"/>
  <c r="K31" i="6"/>
  <c r="K30" i="6"/>
  <c r="K29" i="6"/>
  <c r="K28" i="6"/>
  <c r="K27" i="6"/>
  <c r="K26" i="6"/>
  <c r="K41" i="6"/>
  <c r="D54" i="6"/>
  <c r="I54" i="7"/>
  <c r="J41" i="6"/>
  <c r="L59" i="6"/>
  <c r="C59" i="6"/>
  <c r="J6" i="6"/>
  <c r="D54" i="8"/>
  <c r="H19" i="8"/>
  <c r="J41" i="8"/>
  <c r="N62" i="8"/>
  <c r="M59" i="8"/>
  <c r="C59" i="8"/>
  <c r="H59" i="8"/>
  <c r="J6" i="8"/>
  <c r="I54" i="9"/>
  <c r="L59" i="8"/>
  <c r="H59" i="13"/>
  <c r="C59" i="13"/>
  <c r="J6" i="13"/>
  <c r="M59" i="13"/>
  <c r="L59" i="13"/>
  <c r="J41" i="13"/>
  <c r="H19" i="12"/>
  <c r="C59" i="12"/>
  <c r="K41" i="12"/>
  <c r="J41" i="12"/>
  <c r="N62" i="12"/>
  <c r="AL15" i="41"/>
  <c r="AF12" i="41"/>
  <c r="AC11" i="41"/>
  <c r="AF8" i="41"/>
  <c r="Z15" i="41"/>
  <c r="Q12" i="41"/>
  <c r="N11" i="41"/>
  <c r="AJ12" i="41"/>
  <c r="E9" i="41"/>
  <c r="T9" i="41"/>
  <c r="AH9" i="41"/>
  <c r="AN11" i="41"/>
  <c r="Q13" i="41"/>
  <c r="AL14" i="41"/>
  <c r="T14" i="41"/>
  <c r="AN14" i="41"/>
  <c r="W15" i="41"/>
  <c r="AJ17" i="41"/>
  <c r="K17" i="41"/>
  <c r="AC17" i="41"/>
  <c r="AN17" i="41"/>
  <c r="K18" i="41"/>
  <c r="AH18" i="41"/>
  <c r="K19" i="41"/>
  <c r="T12" i="41"/>
  <c r="N15" i="41"/>
  <c r="E12" i="41"/>
  <c r="Z12" i="41"/>
  <c r="H9" i="41"/>
  <c r="W9" i="41"/>
  <c r="AL9" i="41"/>
  <c r="AN15" i="41"/>
  <c r="AH15" i="41"/>
  <c r="Q17" i="41"/>
  <c r="AF17" i="41"/>
  <c r="AL18" i="41"/>
  <c r="T18" i="41"/>
  <c r="AN18" i="41"/>
  <c r="W18" i="41"/>
  <c r="Q9" i="41"/>
  <c r="H18" i="41"/>
  <c r="L59" i="11"/>
  <c r="H59" i="11"/>
  <c r="M59" i="11"/>
  <c r="C59" i="11"/>
  <c r="J6" i="11"/>
  <c r="D54" i="10"/>
  <c r="I54" i="11"/>
  <c r="N62" i="10"/>
  <c r="H19" i="10"/>
  <c r="L59" i="10"/>
  <c r="N62" i="9"/>
  <c r="H19" i="9"/>
  <c r="K41" i="9"/>
  <c r="J41" i="9"/>
  <c r="H59" i="12"/>
  <c r="L58" i="12"/>
  <c r="J6" i="12"/>
  <c r="J6" i="10"/>
  <c r="C59" i="10"/>
  <c r="H59" i="10"/>
  <c r="M59" i="10"/>
  <c r="C59" i="9"/>
  <c r="L59" i="9"/>
  <c r="H59" i="9"/>
  <c r="J6" i="9"/>
  <c r="M59" i="9"/>
  <c r="L59" i="12"/>
  <c r="M58" i="12"/>
  <c r="M59" i="12"/>
  <c r="K41" i="26"/>
  <c r="C59" i="27"/>
  <c r="H59" i="27"/>
  <c r="J6" i="27"/>
  <c r="L59" i="27"/>
  <c r="M59" i="27"/>
  <c r="L59" i="22"/>
  <c r="J6" i="22"/>
  <c r="M59" i="22"/>
  <c r="K41" i="19"/>
  <c r="D54" i="18"/>
  <c r="I54" i="19"/>
  <c r="K51" i="2"/>
  <c r="D54" i="33"/>
  <c r="K41" i="30"/>
  <c r="K41" i="32"/>
  <c r="C59" i="32"/>
  <c r="H59" i="32"/>
  <c r="L59" i="32"/>
  <c r="M59" i="32"/>
  <c r="J6" i="32"/>
  <c r="C59" i="30"/>
  <c r="H59" i="30"/>
  <c r="J6" i="30"/>
  <c r="M59" i="30"/>
  <c r="L59" i="30"/>
  <c r="H59" i="33"/>
  <c r="C59" i="33"/>
  <c r="M59" i="33"/>
  <c r="L59" i="33"/>
  <c r="J6" i="33"/>
  <c r="C59" i="31"/>
  <c r="J6" i="31"/>
  <c r="M59" i="31"/>
  <c r="I54" i="34"/>
  <c r="L18" i="2"/>
  <c r="C13" i="3"/>
  <c r="F26" i="3"/>
  <c r="E31" i="3"/>
  <c r="L19" i="2"/>
  <c r="F22" i="2"/>
  <c r="B16" i="42"/>
  <c r="C20" i="3"/>
  <c r="M37" i="3"/>
  <c r="O34" i="3"/>
  <c r="E26" i="42"/>
  <c r="O10" i="2"/>
  <c r="G19" i="3"/>
  <c r="K33" i="2"/>
  <c r="H15" i="2"/>
  <c r="F34" i="3"/>
  <c r="B24" i="42"/>
  <c r="H10" i="2"/>
  <c r="F22" i="3"/>
  <c r="K9" i="2"/>
  <c r="J32" i="3"/>
  <c r="D6" i="42"/>
  <c r="S34" i="2"/>
  <c r="O13" i="3"/>
  <c r="H35" i="2"/>
  <c r="I37" i="3"/>
  <c r="I17" i="2"/>
  <c r="T27" i="2"/>
  <c r="M9" i="3"/>
  <c r="C28" i="3"/>
  <c r="O23" i="2"/>
  <c r="I33" i="3"/>
  <c r="L37" i="3"/>
  <c r="T31" i="2"/>
  <c r="F27" i="3"/>
  <c r="D15" i="42"/>
  <c r="P15" i="3"/>
  <c r="E17" i="3"/>
  <c r="J18" i="3"/>
  <c r="C10" i="42"/>
  <c r="E20" i="3"/>
  <c r="G21" i="3"/>
  <c r="B18" i="42"/>
  <c r="I20" i="3"/>
  <c r="D12" i="2"/>
  <c r="I28" i="3"/>
  <c r="G31" i="3"/>
  <c r="C15" i="42"/>
  <c r="F13" i="42"/>
  <c r="P10" i="3"/>
  <c r="P14" i="3"/>
  <c r="S10" i="2"/>
  <c r="Q8" i="2"/>
  <c r="O25" i="3"/>
  <c r="D10" i="2"/>
  <c r="L24" i="3"/>
  <c r="F23" i="2"/>
  <c r="O38" i="3"/>
  <c r="I33" i="2"/>
  <c r="E36" i="3"/>
  <c r="N25" i="3"/>
  <c r="H36" i="2"/>
  <c r="Q21" i="2"/>
  <c r="I9" i="3"/>
  <c r="I30" i="2"/>
  <c r="C18" i="3"/>
  <c r="K25" i="3"/>
  <c r="B19" i="42"/>
  <c r="E19" i="3"/>
  <c r="Q37" i="2"/>
  <c r="S12" i="2"/>
  <c r="D35" i="2"/>
  <c r="N16" i="3"/>
  <c r="H16" i="2"/>
  <c r="E26" i="3"/>
  <c r="F32" i="3"/>
  <c r="D16" i="42"/>
  <c r="D7" i="42"/>
  <c r="M34" i="3"/>
  <c r="T25" i="2"/>
  <c r="I10" i="3"/>
  <c r="G25" i="3"/>
  <c r="F18" i="2"/>
  <c r="D22" i="42"/>
  <c r="K31" i="2"/>
  <c r="K34" i="2"/>
  <c r="O29" i="2"/>
  <c r="O20" i="3"/>
  <c r="S28" i="2"/>
  <c r="O24" i="2"/>
  <c r="L30" i="3"/>
  <c r="I20" i="2"/>
  <c r="F12" i="3"/>
  <c r="S17" i="2"/>
  <c r="C32" i="42"/>
  <c r="E23" i="3"/>
  <c r="H23" i="2"/>
  <c r="F24" i="2"/>
  <c r="L31" i="3"/>
  <c r="P31" i="3"/>
  <c r="F10" i="3"/>
  <c r="N14" i="3"/>
  <c r="P36" i="3"/>
  <c r="G17" i="3"/>
  <c r="G16" i="3"/>
  <c r="D4" i="42"/>
  <c r="C35" i="3"/>
  <c r="E14" i="42"/>
  <c r="P20" i="3"/>
  <c r="G37" i="3"/>
  <c r="P33" i="3"/>
  <c r="L22" i="2"/>
  <c r="O20" i="2"/>
  <c r="L27" i="2"/>
  <c r="P13" i="3"/>
  <c r="P29" i="3"/>
  <c r="T11" i="2"/>
  <c r="I30" i="3"/>
  <c r="B31" i="42"/>
  <c r="H30" i="2"/>
  <c r="B32" i="42"/>
  <c r="N37" i="3"/>
  <c r="C22" i="3"/>
  <c r="D5" i="42"/>
  <c r="Q35" i="2"/>
  <c r="S22" i="2"/>
  <c r="C16" i="42"/>
  <c r="I11" i="3"/>
  <c r="F23" i="3"/>
  <c r="F30" i="3"/>
  <c r="D20" i="2"/>
  <c r="H38" i="2"/>
  <c r="I16" i="3"/>
  <c r="N35" i="3"/>
  <c r="K25" i="2"/>
  <c r="P21" i="3"/>
  <c r="D31" i="42"/>
  <c r="C9" i="3"/>
  <c r="I27" i="3"/>
  <c r="D11" i="2"/>
  <c r="K10" i="2"/>
  <c r="N13" i="3"/>
  <c r="H12" i="2"/>
  <c r="K21" i="3"/>
  <c r="E22" i="3"/>
  <c r="T21" i="2"/>
  <c r="E27" i="3"/>
  <c r="O12" i="2"/>
  <c r="B3" i="42"/>
  <c r="L33" i="2"/>
  <c r="G18" i="3"/>
  <c r="M14" i="3"/>
  <c r="F29" i="3"/>
  <c r="Q18" i="2"/>
  <c r="B28" i="42"/>
  <c r="S14" i="2"/>
  <c r="O32" i="3"/>
  <c r="G32" i="3"/>
  <c r="D24" i="42"/>
  <c r="I37" i="2"/>
  <c r="O27" i="2"/>
  <c r="I12" i="2"/>
  <c r="K20" i="2"/>
  <c r="K15" i="2"/>
  <c r="S38" i="2"/>
  <c r="L13" i="3"/>
  <c r="J21" i="3"/>
  <c r="L27" i="3"/>
  <c r="T38" i="2"/>
  <c r="C31" i="42"/>
  <c r="M13" i="3"/>
  <c r="C11" i="42"/>
  <c r="F23" i="42"/>
  <c r="I18" i="3"/>
  <c r="M17" i="3"/>
  <c r="C17" i="42"/>
  <c r="O36" i="2"/>
  <c r="S16" i="2"/>
  <c r="Q38" i="2"/>
  <c r="I21" i="3"/>
  <c r="O17" i="2"/>
  <c r="B30" i="42"/>
  <c r="M19" i="3"/>
  <c r="D30" i="42"/>
  <c r="T33" i="2"/>
  <c r="K32" i="3"/>
  <c r="I24" i="3"/>
  <c r="J24" i="3"/>
  <c r="B4" i="42"/>
  <c r="H27" i="2"/>
  <c r="C31" i="3"/>
  <c r="E20" i="42"/>
  <c r="P37" i="3"/>
  <c r="K14" i="3"/>
  <c r="E28" i="42"/>
  <c r="K10" i="3"/>
  <c r="C6" i="42"/>
  <c r="E33" i="3"/>
  <c r="E21" i="42"/>
  <c r="T19" i="2"/>
  <c r="L11" i="2"/>
  <c r="C5" i="42"/>
  <c r="O30" i="3"/>
  <c r="J28" i="3"/>
  <c r="S18" i="2"/>
  <c r="M18" i="3"/>
  <c r="L15" i="2"/>
  <c r="I8" i="3"/>
  <c r="I14" i="3"/>
  <c r="J17" i="3"/>
  <c r="J31" i="3"/>
  <c r="S9" i="2"/>
  <c r="D37" i="2"/>
  <c r="C25" i="3"/>
  <c r="S31" i="2"/>
  <c r="C11" i="3"/>
  <c r="M38" i="3"/>
  <c r="F33" i="2"/>
  <c r="F25" i="2"/>
  <c r="E19" i="42"/>
  <c r="H21" i="2"/>
  <c r="G24" i="3"/>
  <c r="K9" i="3"/>
  <c r="L35" i="2"/>
  <c r="N26" i="3"/>
  <c r="E13" i="42"/>
  <c r="D23" i="42"/>
  <c r="H20" i="2"/>
  <c r="D27" i="2"/>
  <c r="F21" i="3"/>
  <c r="I13" i="2"/>
  <c r="I28" i="2"/>
  <c r="E34" i="3"/>
  <c r="F30" i="2"/>
  <c r="T13" i="2"/>
  <c r="Q17" i="2"/>
  <c r="L34" i="2"/>
  <c r="L16" i="2"/>
  <c r="F19" i="42"/>
  <c r="N29" i="3"/>
  <c r="F21" i="2"/>
  <c r="Q9" i="2"/>
  <c r="F33" i="3"/>
  <c r="K13" i="2"/>
  <c r="O18" i="3"/>
  <c r="E10" i="42"/>
  <c r="C33" i="42"/>
  <c r="G36" i="3"/>
  <c r="S25" i="2"/>
  <c r="Q33" i="2"/>
  <c r="K23" i="3"/>
  <c r="S37" i="2"/>
  <c r="E6" i="42"/>
  <c r="P18" i="3"/>
  <c r="L35" i="3"/>
  <c r="C26" i="42"/>
  <c r="H11" i="2"/>
  <c r="O33" i="2"/>
  <c r="C8" i="3"/>
  <c r="F7" i="42"/>
  <c r="P26" i="3"/>
  <c r="E35" i="3"/>
  <c r="D28" i="42"/>
  <c r="O23" i="3"/>
  <c r="E30" i="42"/>
  <c r="F12" i="2"/>
  <c r="F13" i="2"/>
  <c r="I36" i="3"/>
  <c r="F8" i="42"/>
  <c r="F11" i="2"/>
  <c r="I34" i="2"/>
  <c r="S23" i="2"/>
  <c r="Q15" i="2"/>
  <c r="F10" i="2"/>
  <c r="E5" i="42"/>
  <c r="B33" i="42"/>
  <c r="C20" i="42"/>
  <c r="Q30" i="2"/>
  <c r="E30" i="3"/>
  <c r="L19" i="3"/>
  <c r="T29" i="2"/>
  <c r="K11" i="2"/>
  <c r="Q25" i="2"/>
  <c r="Q13" i="2"/>
  <c r="J25" i="3"/>
  <c r="C25" i="42"/>
  <c r="D33" i="2"/>
  <c r="F14" i="3"/>
  <c r="I29" i="3"/>
  <c r="S27" i="2"/>
  <c r="I35" i="2"/>
  <c r="B22" i="42"/>
  <c r="P38" i="3"/>
  <c r="K31" i="3"/>
  <c r="J27" i="3"/>
  <c r="G8" i="3"/>
  <c r="I22" i="3"/>
  <c r="L28" i="2"/>
  <c r="G28" i="3"/>
  <c r="M30" i="3"/>
  <c r="E12" i="42"/>
  <c r="C7" i="42"/>
  <c r="K32" i="2"/>
  <c r="K29" i="2"/>
  <c r="F17" i="42"/>
  <c r="F20" i="2"/>
  <c r="O26" i="2"/>
  <c r="H29" i="2"/>
  <c r="E21" i="3"/>
  <c r="D32" i="42"/>
  <c r="M15" i="3"/>
  <c r="O10" i="3"/>
  <c r="O36" i="3"/>
  <c r="G14" i="3"/>
  <c r="Q22" i="2"/>
  <c r="T23" i="2"/>
  <c r="L10" i="2"/>
  <c r="N20" i="3"/>
  <c r="C13" i="42"/>
  <c r="O22" i="2"/>
  <c r="O16" i="2"/>
  <c r="D10" i="42"/>
  <c r="F6" i="42"/>
  <c r="K18" i="3"/>
  <c r="F24" i="42"/>
  <c r="J15" i="3"/>
  <c r="L37" i="2"/>
  <c r="P17" i="3"/>
  <c r="G38" i="3"/>
  <c r="F11" i="3"/>
  <c r="D33" i="42"/>
  <c r="M25" i="3"/>
  <c r="D32" i="2"/>
  <c r="D18" i="42"/>
  <c r="I32" i="2"/>
  <c r="L25" i="2"/>
  <c r="S13" i="2"/>
  <c r="O31" i="2"/>
  <c r="S19" i="2"/>
  <c r="G33" i="3"/>
  <c r="L16" i="3"/>
  <c r="O19" i="3"/>
  <c r="E8" i="3"/>
  <c r="K12" i="3"/>
  <c r="B12" i="42"/>
  <c r="K22" i="2"/>
  <c r="F8" i="2"/>
  <c r="N30" i="3"/>
  <c r="O37" i="3"/>
  <c r="F32" i="2"/>
  <c r="C14" i="3"/>
  <c r="E38" i="3"/>
  <c r="F36" i="2"/>
  <c r="I36" i="2"/>
  <c r="K12" i="2"/>
  <c r="I15" i="3"/>
  <c r="C29" i="3"/>
  <c r="I13" i="3"/>
  <c r="E16" i="42"/>
  <c r="C23" i="3"/>
  <c r="F14" i="42"/>
  <c r="T9" i="2"/>
  <c r="P22" i="3"/>
  <c r="E16" i="3"/>
  <c r="D25" i="2"/>
  <c r="B15" i="42"/>
  <c r="C24" i="42"/>
  <c r="N18" i="3"/>
  <c r="B25" i="42"/>
  <c r="B21" i="42"/>
  <c r="F19" i="3"/>
  <c r="J9" i="3"/>
  <c r="D19" i="42"/>
  <c r="I16" i="2"/>
  <c r="Q28" i="2"/>
  <c r="I23" i="2"/>
  <c r="I25" i="2"/>
  <c r="E27" i="42"/>
  <c r="I21" i="2"/>
  <c r="Q34" i="2"/>
  <c r="K34" i="3"/>
  <c r="L12" i="3"/>
  <c r="B23" i="42"/>
  <c r="D20" i="42"/>
  <c r="J8" i="3"/>
  <c r="I19" i="3"/>
  <c r="L32" i="3"/>
  <c r="I25" i="3"/>
  <c r="J20" i="3"/>
  <c r="S20" i="2"/>
  <c r="I38" i="3"/>
  <c r="I14" i="2"/>
  <c r="Q19" i="2"/>
  <c r="F15" i="42"/>
  <c r="L36" i="2"/>
  <c r="F35" i="2"/>
  <c r="D12" i="42"/>
  <c r="F25" i="3"/>
  <c r="C21" i="42"/>
  <c r="T18" i="2"/>
  <c r="M22" i="3"/>
  <c r="C32" i="3"/>
  <c r="H8" i="2"/>
  <c r="K29" i="3"/>
  <c r="K36" i="2"/>
  <c r="T30" i="2"/>
  <c r="K26" i="3"/>
  <c r="O26" i="3"/>
  <c r="H28" i="2"/>
  <c r="L10" i="3"/>
  <c r="F16" i="42"/>
  <c r="S8" i="2"/>
  <c r="N19" i="3"/>
  <c r="H9" i="2"/>
  <c r="L32" i="2"/>
  <c r="F29" i="42"/>
  <c r="B26" i="42"/>
  <c r="K17" i="2"/>
  <c r="G20" i="3"/>
  <c r="K26" i="2"/>
  <c r="S29" i="2"/>
  <c r="F28" i="2"/>
  <c r="J16" i="3"/>
  <c r="I23" i="3"/>
  <c r="J35" i="3"/>
  <c r="H19" i="2"/>
  <c r="L9" i="3"/>
  <c r="F12" i="42"/>
  <c r="T34" i="2"/>
  <c r="T10" i="2"/>
  <c r="F10" i="42"/>
  <c r="K36" i="3"/>
  <c r="E15" i="3"/>
  <c r="M8" i="3"/>
  <c r="T22" i="2"/>
  <c r="F3" i="42"/>
  <c r="E10" i="3"/>
  <c r="B8" i="42"/>
  <c r="K20" i="3"/>
  <c r="C22" i="42"/>
  <c r="F26" i="42"/>
  <c r="C30" i="3"/>
  <c r="K35" i="3"/>
  <c r="I22" i="2"/>
  <c r="T28" i="2"/>
  <c r="D22" i="2"/>
  <c r="B10" i="42"/>
  <c r="P28" i="3"/>
  <c r="D17" i="2"/>
  <c r="K17" i="3"/>
  <c r="E29" i="3"/>
  <c r="K19" i="2"/>
  <c r="D8" i="2"/>
  <c r="O13" i="2"/>
  <c r="C26" i="3"/>
  <c r="M26" i="3"/>
  <c r="L11" i="3"/>
  <c r="K38" i="3"/>
  <c r="L8" i="2"/>
  <c r="F14" i="2"/>
  <c r="H17" i="2"/>
  <c r="T37" i="2"/>
  <c r="L25" i="3"/>
  <c r="F27" i="42"/>
  <c r="C23" i="42"/>
  <c r="F36" i="3"/>
  <c r="J13" i="3"/>
  <c r="D25" i="42"/>
  <c r="O25" i="2"/>
  <c r="E13" i="3"/>
  <c r="D30" i="2"/>
  <c r="G13" i="3"/>
  <c r="K19" i="3"/>
  <c r="D13" i="2"/>
  <c r="N21" i="3"/>
  <c r="D13" i="42"/>
  <c r="I12" i="3"/>
  <c r="K27" i="3"/>
  <c r="I38" i="2"/>
  <c r="F26" i="2"/>
  <c r="E25" i="3"/>
  <c r="E9" i="3"/>
  <c r="I11" i="2"/>
  <c r="B29" i="42"/>
  <c r="F20" i="42"/>
  <c r="F31" i="3"/>
  <c r="T8" i="2"/>
  <c r="D9" i="42"/>
  <c r="S24" i="2"/>
  <c r="L14" i="3"/>
  <c r="K21" i="2"/>
  <c r="J37" i="3"/>
  <c r="J11" i="3"/>
  <c r="L36" i="3"/>
  <c r="L9" i="2"/>
  <c r="N9" i="3"/>
  <c r="P27" i="3"/>
  <c r="K14" i="2"/>
  <c r="L22" i="3"/>
  <c r="G35" i="3"/>
  <c r="O37" i="2"/>
  <c r="E17" i="42"/>
  <c r="S36" i="2"/>
  <c r="I17" i="3"/>
  <c r="Q16" i="2"/>
  <c r="O21" i="3"/>
  <c r="M24" i="3"/>
  <c r="F13" i="3"/>
  <c r="T24" i="2"/>
  <c r="C18" i="42"/>
  <c r="E11" i="3"/>
  <c r="G22" i="3"/>
  <c r="L17" i="3"/>
  <c r="C33" i="3"/>
  <c r="L15" i="3"/>
  <c r="E14" i="3"/>
  <c r="E22" i="42"/>
  <c r="Q29" i="2"/>
  <c r="P19" i="3"/>
  <c r="D18" i="2"/>
  <c r="P16" i="3"/>
  <c r="S30" i="2"/>
  <c r="D14" i="42"/>
  <c r="K37" i="3"/>
  <c r="L17" i="2"/>
  <c r="D28" i="2"/>
  <c r="G9" i="3"/>
  <c r="I26" i="2"/>
  <c r="O14" i="3"/>
  <c r="L20" i="2"/>
  <c r="C14" i="42"/>
  <c r="H37" i="2"/>
  <c r="L28" i="3"/>
  <c r="K16" i="2"/>
  <c r="D29" i="2"/>
  <c r="H34" i="2"/>
  <c r="D14" i="2"/>
  <c r="E32" i="42"/>
  <c r="E4" i="42"/>
  <c r="L13" i="2"/>
  <c r="F21" i="42"/>
  <c r="F19" i="2"/>
  <c r="T20" i="2"/>
  <c r="K30" i="2"/>
  <c r="E9" i="42"/>
  <c r="K28" i="2"/>
  <c r="O15" i="3"/>
  <c r="N28" i="3"/>
  <c r="B14" i="42"/>
  <c r="F25" i="42"/>
  <c r="E28" i="3"/>
  <c r="I15" i="2"/>
  <c r="E31" i="42"/>
  <c r="C27" i="3"/>
  <c r="N22" i="3"/>
  <c r="M35" i="3"/>
  <c r="Q14" i="2"/>
  <c r="O22" i="3"/>
  <c r="N17" i="3"/>
  <c r="T32" i="2"/>
  <c r="P30" i="3"/>
  <c r="O11" i="2"/>
  <c r="G29" i="3"/>
  <c r="B9" i="42"/>
  <c r="J36" i="3"/>
  <c r="L23" i="3"/>
  <c r="Q11" i="2"/>
  <c r="F17" i="2"/>
  <c r="G26" i="3"/>
  <c r="D21" i="2"/>
  <c r="E3" i="42"/>
  <c r="M16" i="3"/>
  <c r="K33" i="3"/>
  <c r="S32" i="2"/>
  <c r="K15" i="3"/>
  <c r="M27" i="3"/>
  <c r="I27" i="2"/>
  <c r="P8" i="3"/>
  <c r="H18" i="2"/>
  <c r="C27" i="42"/>
  <c r="C21" i="3"/>
  <c r="N33" i="3"/>
  <c r="K24" i="2"/>
  <c r="M36" i="3"/>
  <c r="F5" i="42"/>
  <c r="P24" i="3"/>
  <c r="B27" i="42"/>
  <c r="P11" i="3"/>
  <c r="J23" i="3"/>
  <c r="F22" i="42"/>
  <c r="F31" i="2"/>
  <c r="F9" i="2"/>
  <c r="D29" i="42"/>
  <c r="O12" i="3"/>
  <c r="D26" i="2"/>
  <c r="F11" i="42"/>
  <c r="S15" i="2"/>
  <c r="N31" i="3"/>
  <c r="F18" i="3"/>
  <c r="H22" i="2"/>
  <c r="B7" i="42"/>
  <c r="C24" i="3"/>
  <c r="O8" i="3"/>
  <c r="I26" i="3"/>
  <c r="L33" i="3"/>
  <c r="O9" i="2"/>
  <c r="M28" i="3"/>
  <c r="D36" i="2"/>
  <c r="D11" i="42"/>
  <c r="H33" i="2"/>
  <c r="H25" i="2"/>
  <c r="F15" i="2"/>
  <c r="E24" i="3"/>
  <c r="O29" i="3"/>
  <c r="E8" i="42"/>
  <c r="L31" i="2"/>
  <c r="Q27" i="2"/>
  <c r="E25" i="42"/>
  <c r="O16" i="3"/>
  <c r="K27" i="2"/>
  <c r="E7" i="42"/>
  <c r="Q36" i="2"/>
  <c r="L38" i="3"/>
  <c r="E18" i="3"/>
  <c r="E24" i="42"/>
  <c r="F8" i="3"/>
  <c r="G23" i="3"/>
  <c r="L24" i="2"/>
  <c r="J22" i="3"/>
  <c r="J30" i="3"/>
  <c r="G30" i="3"/>
  <c r="E32" i="3"/>
  <c r="P25" i="3"/>
  <c r="F9" i="3"/>
  <c r="I35" i="3"/>
  <c r="D8" i="42"/>
  <c r="C12" i="42"/>
  <c r="G15" i="3"/>
  <c r="L29" i="2"/>
  <c r="F37" i="3"/>
  <c r="Q24" i="2"/>
  <c r="Q31" i="2"/>
  <c r="M33" i="3"/>
  <c r="L12" i="2"/>
  <c r="K18" i="2"/>
  <c r="M12" i="3"/>
  <c r="M32" i="3"/>
  <c r="N8" i="3"/>
  <c r="H24" i="2"/>
  <c r="M10" i="3"/>
  <c r="K16" i="3"/>
  <c r="F34" i="2"/>
  <c r="K35" i="2"/>
  <c r="C34" i="3"/>
  <c r="F20" i="3"/>
  <c r="L30" i="2"/>
  <c r="F29" i="2"/>
  <c r="F35" i="3"/>
  <c r="D38" i="2"/>
  <c r="J19" i="3"/>
  <c r="I31" i="2"/>
  <c r="O34" i="2"/>
  <c r="L14" i="2"/>
  <c r="O38" i="2"/>
  <c r="N32" i="3"/>
  <c r="P23" i="3"/>
  <c r="T15" i="2"/>
  <c r="O24" i="3"/>
  <c r="I9" i="2"/>
  <c r="N23" i="3"/>
  <c r="T16" i="2"/>
  <c r="D24" i="2"/>
  <c r="G27" i="3"/>
  <c r="K28" i="3"/>
  <c r="S11" i="2"/>
  <c r="J38" i="3"/>
  <c r="K37" i="2"/>
  <c r="I31" i="3"/>
  <c r="O14" i="2"/>
  <c r="D3" i="42"/>
  <c r="B13" i="42"/>
  <c r="C12" i="3"/>
  <c r="C16" i="3"/>
  <c r="I29" i="2"/>
  <c r="D15" i="2"/>
  <c r="D26" i="42"/>
  <c r="M29" i="3"/>
  <c r="O15" i="2"/>
  <c r="Q26" i="2"/>
  <c r="T17" i="2"/>
  <c r="F31" i="42"/>
  <c r="E11" i="42"/>
  <c r="I34" i="3"/>
  <c r="P34" i="3"/>
  <c r="F28" i="3"/>
  <c r="E33" i="42"/>
  <c r="H14" i="2"/>
  <c r="N36" i="3"/>
  <c r="L20" i="3"/>
  <c r="N24" i="3"/>
  <c r="O31" i="3"/>
  <c r="I8" i="2"/>
  <c r="L21" i="3"/>
  <c r="S26" i="2"/>
  <c r="F4" i="42"/>
  <c r="C15" i="3"/>
  <c r="F15" i="3"/>
  <c r="T26" i="2"/>
  <c r="C4" i="42"/>
  <c r="D23" i="2"/>
  <c r="F9" i="42"/>
  <c r="G11" i="3"/>
  <c r="F17" i="3"/>
  <c r="D16" i="2"/>
  <c r="E29" i="42"/>
  <c r="O30" i="2"/>
  <c r="H32" i="2"/>
  <c r="I32" i="3"/>
  <c r="F16" i="2"/>
  <c r="O35" i="3"/>
  <c r="M20" i="3"/>
  <c r="L26" i="3"/>
  <c r="O32" i="2"/>
  <c r="L26" i="2"/>
  <c r="G34" i="3"/>
  <c r="F32" i="42"/>
  <c r="P12" i="3"/>
  <c r="I19" i="2"/>
  <c r="O11" i="3"/>
  <c r="N38" i="3"/>
  <c r="J34" i="3"/>
  <c r="D34" i="2"/>
  <c r="K24" i="3"/>
  <c r="L29" i="3"/>
  <c r="K30" i="3"/>
  <c r="H26" i="2"/>
  <c r="K11" i="3"/>
  <c r="T35" i="2"/>
  <c r="C37" i="3"/>
  <c r="F30" i="42"/>
  <c r="L8" i="3"/>
  <c r="P9" i="3"/>
  <c r="D31" i="2"/>
  <c r="C19" i="42"/>
  <c r="D17" i="42"/>
  <c r="O17" i="3"/>
  <c r="K22" i="3"/>
  <c r="I18" i="2"/>
  <c r="F37" i="2"/>
  <c r="D27" i="42"/>
  <c r="S33" i="2"/>
  <c r="Q10" i="2"/>
  <c r="J26" i="3"/>
  <c r="S35" i="2"/>
  <c r="C3" i="42"/>
  <c r="C38" i="3"/>
  <c r="S21" i="2"/>
  <c r="C36" i="3"/>
  <c r="Q32" i="2"/>
  <c r="K23" i="2"/>
  <c r="P35" i="3"/>
  <c r="C9" i="42"/>
  <c r="H31" i="2"/>
  <c r="L34" i="3"/>
  <c r="E15" i="42"/>
  <c r="L18" i="3"/>
  <c r="N27" i="3"/>
  <c r="B20" i="42"/>
  <c r="K8" i="3"/>
  <c r="D9" i="2"/>
  <c r="N15" i="3"/>
  <c r="K8" i="2"/>
  <c r="B5" i="42"/>
  <c r="N12" i="3"/>
  <c r="C30" i="42"/>
  <c r="O35" i="2"/>
  <c r="F28" i="42"/>
  <c r="N10" i="3"/>
  <c r="Q20" i="2"/>
  <c r="M23" i="3"/>
  <c r="K13" i="3"/>
  <c r="E12" i="3"/>
  <c r="J29" i="3"/>
  <c r="H13" i="2"/>
  <c r="O18" i="2"/>
  <c r="C28" i="42"/>
  <c r="F24" i="3"/>
  <c r="J14" i="3"/>
  <c r="O27" i="3"/>
  <c r="M21" i="3"/>
  <c r="M11" i="3"/>
  <c r="D19" i="2"/>
  <c r="O9" i="3"/>
  <c r="F33" i="42"/>
  <c r="O28" i="3"/>
  <c r="F27" i="2"/>
  <c r="N11" i="3"/>
  <c r="J10" i="3"/>
  <c r="J33" i="3"/>
  <c r="G12" i="3"/>
  <c r="E18" i="42"/>
  <c r="E23" i="42"/>
  <c r="C29" i="42"/>
  <c r="O28" i="2"/>
  <c r="B11" i="42"/>
  <c r="C17" i="3"/>
  <c r="O8" i="2"/>
  <c r="F38" i="2"/>
  <c r="C10" i="3"/>
  <c r="P32" i="3"/>
  <c r="Q12" i="2"/>
  <c r="I24" i="2"/>
  <c r="B6" i="42"/>
  <c r="M31" i="3"/>
  <c r="O21" i="2"/>
  <c r="F16" i="3"/>
  <c r="E37" i="3"/>
  <c r="F38" i="3"/>
  <c r="J12" i="3"/>
  <c r="I10" i="2"/>
  <c r="T12" i="2"/>
  <c r="T14" i="2"/>
  <c r="D21" i="42"/>
  <c r="O19" i="2"/>
  <c r="L38" i="2"/>
  <c r="T36" i="2"/>
  <c r="C19" i="3"/>
  <c r="Q23" i="2"/>
  <c r="B17" i="42"/>
  <c r="C8" i="42"/>
  <c r="G10" i="3"/>
  <c r="N34" i="3"/>
  <c r="L23" i="2"/>
  <c r="F18" i="42"/>
  <c r="L21" i="2"/>
  <c r="O33" i="3"/>
  <c r="N34" i="2" l="1"/>
  <c r="G34" i="2"/>
  <c r="G25" i="42"/>
  <c r="G11" i="42"/>
  <c r="I5" i="2"/>
  <c r="I4" i="2"/>
  <c r="P33" i="2"/>
  <c r="Z33" i="3"/>
  <c r="AB33" i="3" s="1"/>
  <c r="W34" i="3"/>
  <c r="Y34" i="3" s="1"/>
  <c r="R36" i="2"/>
  <c r="W32" i="2"/>
  <c r="Y32" i="2" s="1"/>
  <c r="C63" i="2"/>
  <c r="W63" i="2" s="1"/>
  <c r="Y63" i="2" s="1"/>
  <c r="M47" i="2"/>
  <c r="Z22" i="3"/>
  <c r="AB22" i="3" s="1"/>
  <c r="H47" i="2"/>
  <c r="W29" i="2"/>
  <c r="Y29" i="2" s="1"/>
  <c r="G47" i="3"/>
  <c r="W18" i="3"/>
  <c r="Y18" i="3" s="1"/>
  <c r="G9" i="42"/>
  <c r="K23" i="42"/>
  <c r="K24" i="42" s="1"/>
  <c r="T24" i="3"/>
  <c r="V24" i="3" s="1"/>
  <c r="P19" i="2"/>
  <c r="Z37" i="3"/>
  <c r="AB37" i="3" s="1"/>
  <c r="H16" i="42"/>
  <c r="H17" i="42" s="1"/>
  <c r="G10" i="42"/>
  <c r="G32" i="42"/>
  <c r="T36" i="3"/>
  <c r="V36" i="3" s="1"/>
  <c r="Z11" i="3"/>
  <c r="AB11" i="3" s="1"/>
  <c r="G33" i="42"/>
  <c r="N8" i="2"/>
  <c r="AC8" i="2" s="1"/>
  <c r="AE8" i="2" s="1"/>
  <c r="G8" i="2"/>
  <c r="F4" i="2"/>
  <c r="F5" i="2"/>
  <c r="Z15" i="3"/>
  <c r="AB15" i="3" s="1"/>
  <c r="G28" i="2"/>
  <c r="N28" i="2"/>
  <c r="AC28" i="2" s="1"/>
  <c r="AE28" i="2" s="1"/>
  <c r="R29" i="2"/>
  <c r="G30" i="2"/>
  <c r="N30" i="2"/>
  <c r="AC30" i="2" s="1"/>
  <c r="AE30" i="2" s="1"/>
  <c r="W20" i="3"/>
  <c r="Y20" i="3" s="1"/>
  <c r="K4" i="2"/>
  <c r="K5" i="2"/>
  <c r="G46" i="3"/>
  <c r="W11" i="3"/>
  <c r="Y11" i="3" s="1"/>
  <c r="I48" i="3"/>
  <c r="G20" i="2"/>
  <c r="N20" i="2"/>
  <c r="AC20" i="2" s="1"/>
  <c r="AE20" i="2" s="1"/>
  <c r="G4" i="42"/>
  <c r="W15" i="3"/>
  <c r="Y15" i="3" s="1"/>
  <c r="Z20" i="3"/>
  <c r="AB20" i="3" s="1"/>
  <c r="E48" i="2"/>
  <c r="W30" i="2"/>
  <c r="Y30" i="2" s="1"/>
  <c r="P24" i="2"/>
  <c r="P15" i="2"/>
  <c r="G6" i="42"/>
  <c r="Q5" i="2"/>
  <c r="Q4" i="2"/>
  <c r="R8" i="2"/>
  <c r="W22" i="3"/>
  <c r="Y22" i="3" s="1"/>
  <c r="L4" i="2"/>
  <c r="L5" i="2"/>
  <c r="G18" i="42"/>
  <c r="W37" i="3"/>
  <c r="Y37" i="3" s="1"/>
  <c r="P20" i="2"/>
  <c r="R31" i="2"/>
  <c r="N32" i="2"/>
  <c r="G32" i="2"/>
  <c r="P25" i="2"/>
  <c r="J45" i="2"/>
  <c r="H46" i="2"/>
  <c r="P11" i="2"/>
  <c r="P22" i="2"/>
  <c r="T23" i="3"/>
  <c r="V23" i="3" s="1"/>
  <c r="Z27" i="3"/>
  <c r="AB27" i="3" s="1"/>
  <c r="I4" i="3"/>
  <c r="I5" i="3"/>
  <c r="T28" i="3"/>
  <c r="V28" i="3" s="1"/>
  <c r="W27" i="2"/>
  <c r="Y27" i="2" s="1"/>
  <c r="W10" i="3"/>
  <c r="Y10" i="3" s="1"/>
  <c r="W24" i="2"/>
  <c r="Y24" i="2" s="1"/>
  <c r="G12" i="2"/>
  <c r="N12" i="2"/>
  <c r="AC12" i="2" s="1"/>
  <c r="AE12" i="2" s="1"/>
  <c r="I45" i="3"/>
  <c r="G5" i="3"/>
  <c r="G4" i="3"/>
  <c r="R16" i="2"/>
  <c r="H5" i="2"/>
  <c r="H4" i="2"/>
  <c r="I47" i="2"/>
  <c r="P10" i="2"/>
  <c r="N38" i="2"/>
  <c r="AC38" i="2" s="1"/>
  <c r="AE38" i="2" s="1"/>
  <c r="G38" i="2"/>
  <c r="G48" i="3"/>
  <c r="W25" i="3"/>
  <c r="Y25" i="3" s="1"/>
  <c r="J9" i="42"/>
  <c r="J10" i="42" s="1"/>
  <c r="E45" i="2"/>
  <c r="W9" i="2"/>
  <c r="Y9" i="2" s="1"/>
  <c r="W11" i="2"/>
  <c r="Y11" i="2" s="1"/>
  <c r="R12" i="2"/>
  <c r="P12" i="2"/>
  <c r="T14" i="3"/>
  <c r="V14" i="3" s="1"/>
  <c r="W33" i="2"/>
  <c r="Y33" i="2" s="1"/>
  <c r="C64" i="2"/>
  <c r="W64" i="2" s="1"/>
  <c r="Y64" i="2" s="1"/>
  <c r="J45" i="3"/>
  <c r="P4" i="3"/>
  <c r="T12" i="3"/>
  <c r="V12" i="3" s="1"/>
  <c r="P30" i="2"/>
  <c r="T17" i="3"/>
  <c r="V17" i="3" s="1"/>
  <c r="T20" i="3"/>
  <c r="V20" i="3" s="1"/>
  <c r="R13" i="2"/>
  <c r="W30" i="3"/>
  <c r="Y30" i="3" s="1"/>
  <c r="Z35" i="3"/>
  <c r="AB35" i="3" s="1"/>
  <c r="T22" i="3"/>
  <c r="V22" i="3" s="1"/>
  <c r="Z8" i="3"/>
  <c r="AB8" i="3" s="1"/>
  <c r="J5" i="3"/>
  <c r="G7" i="42"/>
  <c r="J46" i="2"/>
  <c r="N10" i="2"/>
  <c r="AC10" i="2" s="1"/>
  <c r="AE10" i="2" s="1"/>
  <c r="G10" i="2"/>
  <c r="W18" i="2"/>
  <c r="Y18" i="2" s="1"/>
  <c r="Z19" i="3"/>
  <c r="AB19" i="3" s="1"/>
  <c r="C60" i="2"/>
  <c r="W60" i="2" s="1"/>
  <c r="Y60" i="2" s="1"/>
  <c r="W36" i="2"/>
  <c r="Y36" i="2" s="1"/>
  <c r="W21" i="3"/>
  <c r="Y21" i="3" s="1"/>
  <c r="T34" i="3"/>
  <c r="V34" i="3" s="1"/>
  <c r="N9" i="2"/>
  <c r="AC9" i="2" s="1"/>
  <c r="AE9" i="2" s="1"/>
  <c r="G9" i="2"/>
  <c r="Z32" i="3"/>
  <c r="AB32" i="3" s="1"/>
  <c r="W28" i="3"/>
  <c r="Y28" i="3" s="1"/>
  <c r="N13" i="2"/>
  <c r="AC13" i="2" s="1"/>
  <c r="AE13" i="2" s="1"/>
  <c r="G13" i="2"/>
  <c r="Z21" i="3"/>
  <c r="AB21" i="3" s="1"/>
  <c r="G15" i="42"/>
  <c r="F4" i="3"/>
  <c r="F5" i="3"/>
  <c r="H45" i="3"/>
  <c r="R18" i="2"/>
  <c r="D4" i="2"/>
  <c r="D6" i="2" s="1"/>
  <c r="W8" i="2"/>
  <c r="Y8" i="2" s="1"/>
  <c r="D5" i="2"/>
  <c r="E46" i="2"/>
  <c r="W16" i="2"/>
  <c r="Y16" i="2" s="1"/>
  <c r="T9" i="3"/>
  <c r="V9" i="3" s="1"/>
  <c r="W22" i="2"/>
  <c r="Y22" i="2" s="1"/>
  <c r="G26" i="42"/>
  <c r="R9" i="2"/>
  <c r="C62" i="2"/>
  <c r="W62" i="2" s="1"/>
  <c r="Y62" i="2" s="1"/>
  <c r="W31" i="2"/>
  <c r="Y31" i="2" s="1"/>
  <c r="P35" i="2"/>
  <c r="T33" i="3"/>
  <c r="V33" i="3" s="1"/>
  <c r="R37" i="2"/>
  <c r="L49" i="3"/>
  <c r="I9" i="42"/>
  <c r="I10" i="42" s="1"/>
  <c r="N5" i="3"/>
  <c r="L47" i="3"/>
  <c r="I46" i="3"/>
  <c r="W14" i="2"/>
  <c r="Y14" i="2" s="1"/>
  <c r="G36" i="2"/>
  <c r="N36" i="2"/>
  <c r="I48" i="2"/>
  <c r="I16" i="42"/>
  <c r="I17" i="42" s="1"/>
  <c r="T21" i="3"/>
  <c r="V21" i="3" s="1"/>
  <c r="Z36" i="3"/>
  <c r="AB36" i="3" s="1"/>
  <c r="M46" i="2"/>
  <c r="I47" i="3"/>
  <c r="T38" i="3"/>
  <c r="V38" i="3" s="1"/>
  <c r="Z17" i="3"/>
  <c r="AB17" i="3" s="1"/>
  <c r="G26" i="2"/>
  <c r="N26" i="2"/>
  <c r="AC26" i="2" s="1"/>
  <c r="AE26" i="2" s="1"/>
  <c r="O4" i="3"/>
  <c r="C59" i="2"/>
  <c r="W35" i="2"/>
  <c r="Y35" i="2" s="1"/>
  <c r="E48" i="3"/>
  <c r="T48" i="3" s="1"/>
  <c r="V48" i="3" s="1"/>
  <c r="T25" i="3"/>
  <c r="V25" i="3" s="1"/>
  <c r="Z30" i="3"/>
  <c r="AB30" i="3" s="1"/>
  <c r="Z29" i="3"/>
  <c r="AB29" i="3" s="1"/>
  <c r="R25" i="2"/>
  <c r="W32" i="3"/>
  <c r="Y32" i="3" s="1"/>
  <c r="G49" i="3"/>
  <c r="P21" i="2"/>
  <c r="P17" i="2"/>
  <c r="Z13" i="3"/>
  <c r="AB13" i="3" s="1"/>
  <c r="W34" i="2"/>
  <c r="Y34" i="2" s="1"/>
  <c r="C65" i="2"/>
  <c r="W65" i="2" s="1"/>
  <c r="Y65" i="2" s="1"/>
  <c r="G16" i="2"/>
  <c r="N16" i="2"/>
  <c r="AC16" i="2" s="1"/>
  <c r="AE16" i="2" s="1"/>
  <c r="W13" i="2"/>
  <c r="Y13" i="2" s="1"/>
  <c r="N22" i="2"/>
  <c r="AC22" i="2" s="1"/>
  <c r="AE22" i="2" s="1"/>
  <c r="G22" i="2"/>
  <c r="J47" i="2"/>
  <c r="J46" i="3"/>
  <c r="T29" i="3"/>
  <c r="V29" i="3" s="1"/>
  <c r="P38" i="2"/>
  <c r="T4" i="2"/>
  <c r="T5" i="2"/>
  <c r="W19" i="2"/>
  <c r="Y19" i="2" s="1"/>
  <c r="G29" i="2"/>
  <c r="N29" i="2"/>
  <c r="AC29" i="2" s="1"/>
  <c r="AE29" i="2" s="1"/>
  <c r="G12" i="42"/>
  <c r="J48" i="3"/>
  <c r="Z16" i="3"/>
  <c r="AB16" i="3" s="1"/>
  <c r="J47" i="3"/>
  <c r="P8" i="2"/>
  <c r="O5" i="2"/>
  <c r="O4" i="2"/>
  <c r="P26" i="2"/>
  <c r="P29" i="2"/>
  <c r="T10" i="3"/>
  <c r="V10" i="3" s="1"/>
  <c r="T30" i="3"/>
  <c r="V30" i="3" s="1"/>
  <c r="W38" i="3"/>
  <c r="Y38" i="3" s="1"/>
  <c r="R19" i="2"/>
  <c r="R26" i="2"/>
  <c r="R24" i="2"/>
  <c r="G21" i="42"/>
  <c r="G37" i="2"/>
  <c r="N37" i="2"/>
  <c r="N33" i="2"/>
  <c r="G33" i="2"/>
  <c r="G17" i="42"/>
  <c r="H23" i="42"/>
  <c r="H24" i="42" s="1"/>
  <c r="Z14" i="3"/>
  <c r="AB14" i="3" s="1"/>
  <c r="P14" i="2"/>
  <c r="W16" i="3"/>
  <c r="Y16" i="3" s="1"/>
  <c r="G15" i="2"/>
  <c r="N15" i="2"/>
  <c r="AC15" i="2" s="1"/>
  <c r="AE15" i="2" s="1"/>
  <c r="N14" i="2"/>
  <c r="AC14" i="2" s="1"/>
  <c r="AE14" i="2" s="1"/>
  <c r="G14" i="2"/>
  <c r="G13" i="42"/>
  <c r="R14" i="2"/>
  <c r="G19" i="42"/>
  <c r="P16" i="2"/>
  <c r="W28" i="2"/>
  <c r="Y28" i="2" s="1"/>
  <c r="G31" i="42"/>
  <c r="H45" i="2"/>
  <c r="Z25" i="3"/>
  <c r="AB25" i="3" s="1"/>
  <c r="Z26" i="3"/>
  <c r="AB26" i="3" s="1"/>
  <c r="T26" i="3"/>
  <c r="V26" i="3" s="1"/>
  <c r="R11" i="2"/>
  <c r="I46" i="2"/>
  <c r="M5" i="3"/>
  <c r="W17" i="3"/>
  <c r="Y17" i="3" s="1"/>
  <c r="Z9" i="3"/>
  <c r="AB9" i="3" s="1"/>
  <c r="W15" i="2"/>
  <c r="Y15" i="2" s="1"/>
  <c r="J49" i="2"/>
  <c r="G3" i="42"/>
  <c r="H9" i="42"/>
  <c r="H10" i="42" s="1"/>
  <c r="C5" i="3"/>
  <c r="E45" i="3"/>
  <c r="C4" i="3"/>
  <c r="T8" i="3"/>
  <c r="V8" i="3" s="1"/>
  <c r="S4" i="2"/>
  <c r="S5" i="2"/>
  <c r="W12" i="3"/>
  <c r="Y12" i="3" s="1"/>
  <c r="C61" i="2"/>
  <c r="W61" i="2" s="1"/>
  <c r="Y61" i="2" s="1"/>
  <c r="E49" i="2"/>
  <c r="W37" i="2"/>
  <c r="Y37" i="2" s="1"/>
  <c r="G8" i="42"/>
  <c r="W35" i="3"/>
  <c r="Y35" i="3" s="1"/>
  <c r="W36" i="3"/>
  <c r="Y36" i="3" s="1"/>
  <c r="W23" i="3"/>
  <c r="Y23" i="3" s="1"/>
  <c r="G27" i="42"/>
  <c r="H49" i="2"/>
  <c r="Z38" i="3"/>
  <c r="AB38" i="3" s="1"/>
  <c r="R10" i="2"/>
  <c r="G31" i="2"/>
  <c r="N31" i="2"/>
  <c r="I23" i="42"/>
  <c r="I24" i="42" s="1"/>
  <c r="W13" i="3"/>
  <c r="Y13" i="3" s="1"/>
  <c r="Z34" i="3"/>
  <c r="AB34" i="3" s="1"/>
  <c r="W29" i="3"/>
  <c r="Y29" i="3" s="1"/>
  <c r="R38" i="2"/>
  <c r="R33" i="2"/>
  <c r="N27" i="2"/>
  <c r="AC27" i="2" s="1"/>
  <c r="AE27" i="2" s="1"/>
  <c r="G27" i="2"/>
  <c r="N11" i="2"/>
  <c r="AC11" i="2" s="1"/>
  <c r="AE11" i="2" s="1"/>
  <c r="G11" i="2"/>
  <c r="Z31" i="3"/>
  <c r="AB31" i="3" s="1"/>
  <c r="N17" i="2"/>
  <c r="AC17" i="2" s="1"/>
  <c r="AE17" i="2" s="1"/>
  <c r="G17" i="2"/>
  <c r="T27" i="3"/>
  <c r="V27" i="3" s="1"/>
  <c r="T35" i="3"/>
  <c r="V35" i="3" s="1"/>
  <c r="G25" i="2"/>
  <c r="N25" i="2"/>
  <c r="AC25" i="2" s="1"/>
  <c r="AE25" i="2" s="1"/>
  <c r="W33" i="3"/>
  <c r="Y33" i="3" s="1"/>
  <c r="K9" i="42"/>
  <c r="K10" i="42" s="1"/>
  <c r="L5" i="3"/>
  <c r="N35" i="2"/>
  <c r="G35" i="2"/>
  <c r="R32" i="2"/>
  <c r="R17" i="2"/>
  <c r="W38" i="2"/>
  <c r="Y38" i="2" s="1"/>
  <c r="K16" i="42"/>
  <c r="K17" i="42" s="1"/>
  <c r="W14" i="3"/>
  <c r="Y14" i="3" s="1"/>
  <c r="R20" i="2"/>
  <c r="N18" i="2"/>
  <c r="AC18" i="2" s="1"/>
  <c r="AE18" i="2" s="1"/>
  <c r="G18" i="2"/>
  <c r="L23" i="42"/>
  <c r="L24" i="42" s="1"/>
  <c r="W12" i="2"/>
  <c r="Y12" i="2" s="1"/>
  <c r="Z24" i="3"/>
  <c r="AB24" i="3" s="1"/>
  <c r="T15" i="3"/>
  <c r="V15" i="3" s="1"/>
  <c r="G28" i="42"/>
  <c r="R27" i="2"/>
  <c r="R22" i="2"/>
  <c r="I49" i="2"/>
  <c r="H47" i="3"/>
  <c r="G21" i="2"/>
  <c r="N21" i="2"/>
  <c r="AC21" i="2" s="1"/>
  <c r="AE21" i="2" s="1"/>
  <c r="I49" i="3"/>
  <c r="Z28" i="3"/>
  <c r="AB28" i="3" s="1"/>
  <c r="W21" i="2"/>
  <c r="Y21" i="2" s="1"/>
  <c r="G23" i="42"/>
  <c r="T37" i="3"/>
  <c r="V37" i="3" s="1"/>
  <c r="W20" i="2"/>
  <c r="Y20" i="2" s="1"/>
  <c r="G14" i="42"/>
  <c r="G23" i="2"/>
  <c r="N23" i="2"/>
  <c r="AC23" i="2" s="1"/>
  <c r="AE23" i="2" s="1"/>
  <c r="W26" i="3"/>
  <c r="Y26" i="3" s="1"/>
  <c r="N19" i="2"/>
  <c r="AC19" i="2" s="1"/>
  <c r="AE19" i="2" s="1"/>
  <c r="G19" i="2"/>
  <c r="R21" i="2"/>
  <c r="M45" i="2"/>
  <c r="R34" i="2"/>
  <c r="G45" i="3"/>
  <c r="W8" i="3"/>
  <c r="Y8" i="3" s="1"/>
  <c r="E4" i="3"/>
  <c r="E5" i="3"/>
  <c r="P9" i="2"/>
  <c r="E47" i="3"/>
  <c r="T47" i="3" s="1"/>
  <c r="V47" i="3" s="1"/>
  <c r="T18" i="3"/>
  <c r="V18" i="3" s="1"/>
  <c r="H48" i="2"/>
  <c r="R28" i="2"/>
  <c r="L9" i="42"/>
  <c r="L10" i="42" s="1"/>
  <c r="W23" i="2"/>
  <c r="Y23" i="2" s="1"/>
  <c r="E47" i="2"/>
  <c r="P23" i="2"/>
  <c r="J48" i="2"/>
  <c r="W27" i="3"/>
  <c r="Y27" i="3" s="1"/>
  <c r="P32" i="2"/>
  <c r="W31" i="3"/>
  <c r="Y31" i="3" s="1"/>
  <c r="G30" i="42"/>
  <c r="Z10" i="3"/>
  <c r="AB10" i="3" s="1"/>
  <c r="E46" i="3"/>
  <c r="T46" i="3" s="1"/>
  <c r="V46" i="3" s="1"/>
  <c r="T11" i="3"/>
  <c r="V11" i="3" s="1"/>
  <c r="J23" i="42"/>
  <c r="J24" i="42" s="1"/>
  <c r="P13" i="2"/>
  <c r="T13" i="3"/>
  <c r="V13" i="3" s="1"/>
  <c r="R35" i="2"/>
  <c r="G16" i="42"/>
  <c r="E49" i="3"/>
  <c r="T49" i="3" s="1"/>
  <c r="V49" i="3" s="1"/>
  <c r="T32" i="3"/>
  <c r="V32" i="3" s="1"/>
  <c r="N24" i="2"/>
  <c r="AC24" i="2" s="1"/>
  <c r="AE24" i="2" s="1"/>
  <c r="G24" i="2"/>
  <c r="R30" i="2"/>
  <c r="T16" i="3"/>
  <c r="V16" i="3" s="1"/>
  <c r="P36" i="2"/>
  <c r="W26" i="2"/>
  <c r="Y26" i="2" s="1"/>
  <c r="L45" i="3"/>
  <c r="P31" i="2"/>
  <c r="R15" i="2"/>
  <c r="G20" i="42"/>
  <c r="P18" i="2"/>
  <c r="L46" i="3"/>
  <c r="P34" i="2"/>
  <c r="P37" i="2"/>
  <c r="G24" i="42"/>
  <c r="H49" i="3"/>
  <c r="W9" i="3"/>
  <c r="Y9" i="3" s="1"/>
  <c r="P28" i="2"/>
  <c r="W10" i="2"/>
  <c r="Y10" i="2" s="1"/>
  <c r="H46" i="3"/>
  <c r="L48" i="3"/>
  <c r="T31" i="3"/>
  <c r="V31" i="3" s="1"/>
  <c r="H48" i="3"/>
  <c r="W25" i="2"/>
  <c r="Y25" i="2" s="1"/>
  <c r="R23" i="2"/>
  <c r="M48" i="2"/>
  <c r="Z23" i="3"/>
  <c r="AB23" i="3" s="1"/>
  <c r="T19" i="3"/>
  <c r="V19" i="3" s="1"/>
  <c r="Z18" i="3"/>
  <c r="AB18" i="3" s="1"/>
  <c r="J16" i="42"/>
  <c r="J17" i="42" s="1"/>
  <c r="I45" i="2"/>
  <c r="P27" i="2"/>
  <c r="Z12" i="3"/>
  <c r="AB12" i="3" s="1"/>
  <c r="G29" i="42"/>
  <c r="G5" i="42"/>
  <c r="W24" i="3"/>
  <c r="Y24" i="3" s="1"/>
  <c r="L16" i="42"/>
  <c r="L17" i="42" s="1"/>
  <c r="W19" i="3"/>
  <c r="Y19" i="3" s="1"/>
  <c r="G22" i="42"/>
  <c r="K4" i="3"/>
  <c r="K5" i="3"/>
  <c r="W17" i="2"/>
  <c r="Y17" i="2" s="1"/>
  <c r="M49" i="2"/>
  <c r="J49" i="3"/>
  <c r="M49" i="3" l="1"/>
  <c r="N4" i="2"/>
  <c r="H51" i="3"/>
  <c r="F61" i="2"/>
  <c r="AC61" i="2" s="1"/>
  <c r="AE61" i="2" s="1"/>
  <c r="AC37" i="2"/>
  <c r="AE37" i="2" s="1"/>
  <c r="E51" i="2"/>
  <c r="L51" i="2" s="1"/>
  <c r="L45" i="2"/>
  <c r="AF45" i="2" s="1"/>
  <c r="AH45" i="2" s="1"/>
  <c r="W45" i="2"/>
  <c r="Y45" i="2" s="1"/>
  <c r="M19" i="2"/>
  <c r="AF19" i="2" s="1"/>
  <c r="AH19" i="2" s="1"/>
  <c r="L6" i="17"/>
  <c r="Z19" i="2"/>
  <c r="AB19" i="2" s="1"/>
  <c r="F59" i="2"/>
  <c r="AC59" i="2" s="1"/>
  <c r="AE59" i="2" s="1"/>
  <c r="AC35" i="2"/>
  <c r="AE35" i="2" s="1"/>
  <c r="L6" i="15"/>
  <c r="Z17" i="2"/>
  <c r="AB17" i="2" s="1"/>
  <c r="M17" i="2"/>
  <c r="AF17" i="2" s="1"/>
  <c r="AH17" i="2" s="1"/>
  <c r="W49" i="2"/>
  <c r="Y49" i="2" s="1"/>
  <c r="L49" i="2"/>
  <c r="AF49" i="2" s="1"/>
  <c r="AH49" i="2" s="1"/>
  <c r="L6" i="35"/>
  <c r="Z37" i="2"/>
  <c r="AB37" i="2" s="1"/>
  <c r="D61" i="2"/>
  <c r="Z61" i="2" s="1"/>
  <c r="AB61" i="2" s="1"/>
  <c r="G49" i="2"/>
  <c r="N49" i="2" s="1"/>
  <c r="M37" i="2"/>
  <c r="AC36" i="2"/>
  <c r="AE36" i="2" s="1"/>
  <c r="F60" i="2"/>
  <c r="AC60" i="2" s="1"/>
  <c r="AE60" i="2" s="1"/>
  <c r="M9" i="2"/>
  <c r="AF9" i="2" s="1"/>
  <c r="AH9" i="2" s="1"/>
  <c r="Z9" i="2"/>
  <c r="AB9" i="2" s="1"/>
  <c r="G45" i="2"/>
  <c r="N45" i="2" s="1"/>
  <c r="L6" i="7"/>
  <c r="L6" i="8"/>
  <c r="M10" i="2"/>
  <c r="AF10" i="2" s="1"/>
  <c r="AH10" i="2" s="1"/>
  <c r="Z10" i="2"/>
  <c r="AB10" i="2" s="1"/>
  <c r="L6" i="6"/>
  <c r="G5" i="2"/>
  <c r="M5" i="2" s="1"/>
  <c r="M8" i="2"/>
  <c r="AF8" i="2" s="1"/>
  <c r="AH8" i="2" s="1"/>
  <c r="Z8" i="2"/>
  <c r="AB8" i="2" s="1"/>
  <c r="G4" i="2"/>
  <c r="L6" i="16"/>
  <c r="M18" i="2"/>
  <c r="AF18" i="2" s="1"/>
  <c r="AH18" i="2" s="1"/>
  <c r="Z18" i="2"/>
  <c r="AB18" i="2" s="1"/>
  <c r="G34" i="42"/>
  <c r="M29" i="2"/>
  <c r="AF29" i="2" s="1"/>
  <c r="AH29" i="2" s="1"/>
  <c r="Z29" i="2"/>
  <c r="AB29" i="2" s="1"/>
  <c r="L6" i="27"/>
  <c r="L6" i="20"/>
  <c r="Z22" i="2"/>
  <c r="AB22" i="2" s="1"/>
  <c r="M22" i="2"/>
  <c r="AF22" i="2" s="1"/>
  <c r="AH22" i="2" s="1"/>
  <c r="L46" i="2"/>
  <c r="AF46" i="2" s="1"/>
  <c r="AH46" i="2" s="1"/>
  <c r="W46" i="2"/>
  <c r="Y46" i="2" s="1"/>
  <c r="N48" i="3"/>
  <c r="W48" i="3"/>
  <c r="Y48" i="3" s="1"/>
  <c r="J51" i="2"/>
  <c r="Z30" i="2"/>
  <c r="AB30" i="2" s="1"/>
  <c r="M30" i="2"/>
  <c r="AF30" i="2" s="1"/>
  <c r="AH30" i="2" s="1"/>
  <c r="L6" i="28"/>
  <c r="G48" i="2"/>
  <c r="I51" i="2"/>
  <c r="M45" i="3"/>
  <c r="L51" i="3"/>
  <c r="L6" i="9"/>
  <c r="M11" i="2"/>
  <c r="AF11" i="2" s="1"/>
  <c r="AH11" i="2" s="1"/>
  <c r="Z11" i="2"/>
  <c r="AB11" i="2" s="1"/>
  <c r="M38" i="2"/>
  <c r="AF38" i="2" s="1"/>
  <c r="AH38" i="2" s="1"/>
  <c r="Z38" i="2"/>
  <c r="AB38" i="2" s="1"/>
  <c r="L6" i="36"/>
  <c r="Z24" i="2"/>
  <c r="AB24" i="2" s="1"/>
  <c r="L6" i="22"/>
  <c r="M24" i="2"/>
  <c r="AF24" i="2" s="1"/>
  <c r="AH24" i="2" s="1"/>
  <c r="M48" i="3"/>
  <c r="P4" i="2"/>
  <c r="P5" i="2"/>
  <c r="N49" i="3"/>
  <c r="W49" i="3"/>
  <c r="Y49" i="3" s="1"/>
  <c r="W59" i="2"/>
  <c r="Y59" i="2" s="1"/>
  <c r="C67" i="2"/>
  <c r="C68" i="2" s="1"/>
  <c r="M47" i="3"/>
  <c r="Z13" i="2"/>
  <c r="AB13" i="2" s="1"/>
  <c r="M13" i="2"/>
  <c r="AF13" i="2" s="1"/>
  <c r="AH13" i="2" s="1"/>
  <c r="L6" i="11"/>
  <c r="I51" i="3"/>
  <c r="M32" i="2"/>
  <c r="L6" i="30"/>
  <c r="Z32" i="2"/>
  <c r="AB32" i="2" s="1"/>
  <c r="D63" i="2"/>
  <c r="Z63" i="2" s="1"/>
  <c r="AB63" i="2" s="1"/>
  <c r="W48" i="2"/>
  <c r="Y48" i="2" s="1"/>
  <c r="L48" i="2"/>
  <c r="AF48" i="2" s="1"/>
  <c r="AH48" i="2" s="1"/>
  <c r="N46" i="3"/>
  <c r="W46" i="3"/>
  <c r="Y46" i="3" s="1"/>
  <c r="L6" i="26"/>
  <c r="Z28" i="2"/>
  <c r="AB28" i="2" s="1"/>
  <c r="M28" i="2"/>
  <c r="AF28" i="2" s="1"/>
  <c r="AH28" i="2" s="1"/>
  <c r="W47" i="2"/>
  <c r="Y47" i="2" s="1"/>
  <c r="L47" i="2"/>
  <c r="AF47" i="2" s="1"/>
  <c r="AH47" i="2" s="1"/>
  <c r="Z36" i="2"/>
  <c r="AB36" i="2" s="1"/>
  <c r="D60" i="2"/>
  <c r="Z60" i="2" s="1"/>
  <c r="AB60" i="2" s="1"/>
  <c r="M36" i="2"/>
  <c r="L6" i="34"/>
  <c r="Z23" i="2"/>
  <c r="AB23" i="2" s="1"/>
  <c r="L6" i="21"/>
  <c r="M23" i="2"/>
  <c r="AF23" i="2" s="1"/>
  <c r="AH23" i="2" s="1"/>
  <c r="G47" i="2"/>
  <c r="N47" i="2" s="1"/>
  <c r="Z14" i="2"/>
  <c r="AB14" i="2" s="1"/>
  <c r="L6" i="12"/>
  <c r="M14" i="2"/>
  <c r="AF14" i="2" s="1"/>
  <c r="AH14" i="2" s="1"/>
  <c r="Z21" i="2"/>
  <c r="AB21" i="2" s="1"/>
  <c r="L6" i="19"/>
  <c r="M21" i="2"/>
  <c r="AF21" i="2" s="1"/>
  <c r="AH21" i="2" s="1"/>
  <c r="L6" i="23"/>
  <c r="Z25" i="2"/>
  <c r="AB25" i="2" s="1"/>
  <c r="M25" i="2"/>
  <c r="AF25" i="2" s="1"/>
  <c r="AH25" i="2" s="1"/>
  <c r="L6" i="25"/>
  <c r="Z27" i="2"/>
  <c r="AB27" i="2" s="1"/>
  <c r="M27" i="2"/>
  <c r="AF27" i="2" s="1"/>
  <c r="AH27" i="2" s="1"/>
  <c r="F62" i="2"/>
  <c r="AC62" i="2" s="1"/>
  <c r="AE62" i="2" s="1"/>
  <c r="AC31" i="2"/>
  <c r="AE31" i="2" s="1"/>
  <c r="H51" i="2"/>
  <c r="M33" i="2"/>
  <c r="D64" i="2"/>
  <c r="Z64" i="2" s="1"/>
  <c r="AB64" i="2" s="1"/>
  <c r="L6" i="31"/>
  <c r="Z33" i="2"/>
  <c r="AB33" i="2" s="1"/>
  <c r="F63" i="2"/>
  <c r="AC63" i="2" s="1"/>
  <c r="AE63" i="2" s="1"/>
  <c r="AC32" i="2"/>
  <c r="AE32" i="2" s="1"/>
  <c r="R4" i="2"/>
  <c r="R5" i="2"/>
  <c r="M34" i="2"/>
  <c r="L6" i="32"/>
  <c r="D65" i="2"/>
  <c r="Z65" i="2" s="1"/>
  <c r="AB65" i="2" s="1"/>
  <c r="Z34" i="2"/>
  <c r="AB34" i="2" s="1"/>
  <c r="L6" i="33"/>
  <c r="M35" i="2"/>
  <c r="D59" i="2"/>
  <c r="Z35" i="2"/>
  <c r="AB35" i="2" s="1"/>
  <c r="E51" i="3"/>
  <c r="T45" i="3"/>
  <c r="V45" i="3" s="1"/>
  <c r="L6" i="13"/>
  <c r="M15" i="2"/>
  <c r="AF15" i="2" s="1"/>
  <c r="AH15" i="2" s="1"/>
  <c r="Z15" i="2"/>
  <c r="AB15" i="2" s="1"/>
  <c r="Z26" i="2"/>
  <c r="AB26" i="2" s="1"/>
  <c r="M26" i="2"/>
  <c r="AF26" i="2" s="1"/>
  <c r="AH26" i="2" s="1"/>
  <c r="L6" i="24"/>
  <c r="J51" i="3"/>
  <c r="Z20" i="2"/>
  <c r="AB20" i="2" s="1"/>
  <c r="L6" i="18"/>
  <c r="M20" i="2"/>
  <c r="AF20" i="2" s="1"/>
  <c r="AH20" i="2" s="1"/>
  <c r="W45" i="3"/>
  <c r="Y45" i="3" s="1"/>
  <c r="G51" i="3"/>
  <c r="N45" i="3"/>
  <c r="M46" i="3"/>
  <c r="M51" i="2"/>
  <c r="Z31" i="2"/>
  <c r="AB31" i="2" s="1"/>
  <c r="L6" i="29"/>
  <c r="M31" i="2"/>
  <c r="D62" i="2"/>
  <c r="Z62" i="2" s="1"/>
  <c r="AB62" i="2" s="1"/>
  <c r="AC33" i="2"/>
  <c r="AE33" i="2" s="1"/>
  <c r="F64" i="2"/>
  <c r="AC64" i="2" s="1"/>
  <c r="AE64" i="2" s="1"/>
  <c r="M16" i="2"/>
  <c r="AF16" i="2" s="1"/>
  <c r="AH16" i="2" s="1"/>
  <c r="Z16" i="2"/>
  <c r="AB16" i="2" s="1"/>
  <c r="G46" i="2"/>
  <c r="N46" i="2" s="1"/>
  <c r="L6" i="14"/>
  <c r="L6" i="10"/>
  <c r="M12" i="2"/>
  <c r="AF12" i="2" s="1"/>
  <c r="AH12" i="2" s="1"/>
  <c r="Z12" i="2"/>
  <c r="AB12" i="2" s="1"/>
  <c r="N5" i="2"/>
  <c r="W47" i="3"/>
  <c r="Y47" i="3" s="1"/>
  <c r="N47" i="3"/>
  <c r="AC34" i="2"/>
  <c r="AE34" i="2" s="1"/>
  <c r="F65" i="2"/>
  <c r="AC65" i="2" s="1"/>
  <c r="AE65" i="2" s="1"/>
  <c r="O49" i="3" l="1"/>
  <c r="O48" i="3"/>
  <c r="AC46" i="2"/>
  <c r="AE46" i="2" s="1"/>
  <c r="AC47" i="2"/>
  <c r="AE47" i="2" s="1"/>
  <c r="Z48" i="2"/>
  <c r="AB48" i="2" s="1"/>
  <c r="O48" i="2"/>
  <c r="AC49" i="2"/>
  <c r="AE49" i="2" s="1"/>
  <c r="O47" i="3"/>
  <c r="E61" i="2"/>
  <c r="AF61" i="2" s="1"/>
  <c r="AH61" i="2" s="1"/>
  <c r="AF37" i="2"/>
  <c r="AH37" i="2" s="1"/>
  <c r="AF33" i="2"/>
  <c r="AH33" i="2" s="1"/>
  <c r="E64" i="2"/>
  <c r="AF64" i="2" s="1"/>
  <c r="AH64" i="2" s="1"/>
  <c r="D67" i="2"/>
  <c r="Z59" i="2"/>
  <c r="AB59" i="2" s="1"/>
  <c r="N48" i="2"/>
  <c r="Z49" i="2"/>
  <c r="AB49" i="2" s="1"/>
  <c r="O49" i="2"/>
  <c r="P49" i="2" s="1"/>
  <c r="AC45" i="2"/>
  <c r="AE45" i="2" s="1"/>
  <c r="Z47" i="2"/>
  <c r="AB47" i="2" s="1"/>
  <c r="O47" i="2"/>
  <c r="P47" i="2" s="1"/>
  <c r="O46" i="3"/>
  <c r="AF31" i="2"/>
  <c r="AH31" i="2" s="1"/>
  <c r="E62" i="2"/>
  <c r="AF62" i="2" s="1"/>
  <c r="AH62" i="2" s="1"/>
  <c r="G55" i="3"/>
  <c r="E55" i="3"/>
  <c r="E57" i="3"/>
  <c r="D57" i="3"/>
  <c r="D55" i="3"/>
  <c r="N51" i="3"/>
  <c r="AF35" i="2"/>
  <c r="AH35" i="2" s="1"/>
  <c r="E59" i="2"/>
  <c r="AF59" i="2" s="1"/>
  <c r="AH59" i="2" s="1"/>
  <c r="M51" i="3"/>
  <c r="M4" i="2"/>
  <c r="G6" i="2"/>
  <c r="G2" i="2" s="1"/>
  <c r="AF34" i="2"/>
  <c r="AH34" i="2" s="1"/>
  <c r="E65" i="2"/>
  <c r="AF65" i="2" s="1"/>
  <c r="AH65" i="2" s="1"/>
  <c r="AF32" i="2"/>
  <c r="AH32" i="2" s="1"/>
  <c r="E63" i="2"/>
  <c r="AF63" i="2" s="1"/>
  <c r="AH63" i="2" s="1"/>
  <c r="O45" i="3"/>
  <c r="O45" i="2"/>
  <c r="P45" i="2" s="1"/>
  <c r="Z45" i="2"/>
  <c r="AB45" i="2" s="1"/>
  <c r="G51" i="2"/>
  <c r="O51" i="2" s="1"/>
  <c r="Z46" i="2"/>
  <c r="AB46" i="2" s="1"/>
  <c r="O46" i="2"/>
  <c r="P46" i="2" s="1"/>
  <c r="E60" i="2"/>
  <c r="AF60" i="2" s="1"/>
  <c r="AH60" i="2" s="1"/>
  <c r="AF36" i="2"/>
  <c r="AH36" i="2" s="1"/>
  <c r="F67" i="2" l="1"/>
  <c r="F68" i="2"/>
  <c r="N51" i="2"/>
  <c r="P51" i="2" s="1"/>
  <c r="O51" i="3"/>
  <c r="AC48" i="2"/>
  <c r="AE48" i="2" s="1"/>
  <c r="P48" i="2"/>
</calcChain>
</file>

<file path=xl/sharedStrings.xml><?xml version="1.0" encoding="utf-8"?>
<sst xmlns="http://schemas.openxmlformats.org/spreadsheetml/2006/main" count="8771" uniqueCount="1447">
  <si>
    <t>Level 1</t>
  </si>
  <si>
    <t>Level 2</t>
  </si>
  <si>
    <t>Shift</t>
  </si>
  <si>
    <t>Area</t>
  </si>
  <si>
    <t>Machine</t>
  </si>
  <si>
    <t>Melt affected</t>
  </si>
  <si>
    <t>A</t>
  </si>
  <si>
    <t>RawSugarPit</t>
  </si>
  <si>
    <t>Belt conveyor</t>
  </si>
  <si>
    <t>Yes</t>
  </si>
  <si>
    <t>B</t>
  </si>
  <si>
    <t>Affination</t>
  </si>
  <si>
    <t>Bucket elevator</t>
  </si>
  <si>
    <t>No</t>
  </si>
  <si>
    <t>C</t>
  </si>
  <si>
    <t>Clarification</t>
  </si>
  <si>
    <t>Lump separator</t>
  </si>
  <si>
    <t>D</t>
  </si>
  <si>
    <t>Boiling</t>
  </si>
  <si>
    <t>Weigher</t>
  </si>
  <si>
    <t>CuringLine1</t>
  </si>
  <si>
    <t>Affination molasses buffer pump</t>
  </si>
  <si>
    <t>07:00 - 15:00</t>
  </si>
  <si>
    <t>CuringLine2</t>
  </si>
  <si>
    <t>Affination molasses preheater pump</t>
  </si>
  <si>
    <t>15:00 - 23:00</t>
  </si>
  <si>
    <t>CuringLine3</t>
  </si>
  <si>
    <t>Affination molasses supply tank</t>
  </si>
  <si>
    <t>23:00 - 07:00</t>
  </si>
  <si>
    <t>CuringLine4</t>
  </si>
  <si>
    <t>Affination molasses tank</t>
  </si>
  <si>
    <t>LGH</t>
  </si>
  <si>
    <t>Affination molasses transfer pump</t>
  </si>
  <si>
    <t>LiquidSugar</t>
  </si>
  <si>
    <t>Centrifugal pump raw liquor buffer</t>
  </si>
  <si>
    <t>Magma mixer</t>
  </si>
  <si>
    <t>Melters</t>
  </si>
  <si>
    <t>Preheater tank</t>
  </si>
  <si>
    <t>Premingler</t>
  </si>
  <si>
    <t>Raw liqour transfer pump</t>
  </si>
  <si>
    <t>Raw liquor tank</t>
  </si>
  <si>
    <t>Screw conveyor</t>
  </si>
  <si>
    <t>Supply mixer</t>
  </si>
  <si>
    <t>TSK</t>
  </si>
  <si>
    <t>Vibrating screener</t>
  </si>
  <si>
    <t>Vibrator sieve</t>
  </si>
  <si>
    <t>Agitator mud tanks</t>
  </si>
  <si>
    <t xml:space="preserve">Carbonator </t>
  </si>
  <si>
    <t>Carbonator  liquor Tank</t>
  </si>
  <si>
    <t>Carbonator liquor pump</t>
  </si>
  <si>
    <t>Catridge filters</t>
  </si>
  <si>
    <t>Clear liquor tank</t>
  </si>
  <si>
    <t>Clear liquor tank centrifugal pump</t>
  </si>
  <si>
    <t>Filtered sweet water tank</t>
  </si>
  <si>
    <t>Fine liqour tank</t>
  </si>
  <si>
    <t>Fine liquor tank centrifugal pump</t>
  </si>
  <si>
    <t>First refined tank</t>
  </si>
  <si>
    <t>First refined tank centrifugal pump</t>
  </si>
  <si>
    <t>Lime pump</t>
  </si>
  <si>
    <t>Mud pump</t>
  </si>
  <si>
    <t xml:space="preserve">Primary IER Column </t>
  </si>
  <si>
    <t>Primary IER pump</t>
  </si>
  <si>
    <t>Primary rotary filters</t>
  </si>
  <si>
    <t>R&amp;B Filter Press</t>
  </si>
  <si>
    <t>Salt pump</t>
  </si>
  <si>
    <t>Second refined tank</t>
  </si>
  <si>
    <t>Second refined tank centrifugal pump</t>
  </si>
  <si>
    <t>Secondary IER Column</t>
  </si>
  <si>
    <t>Secondary IER pump</t>
  </si>
  <si>
    <t>Secondary rotary filters</t>
  </si>
  <si>
    <t>Sweet water service tank</t>
  </si>
  <si>
    <t>Sweet water storage tank</t>
  </si>
  <si>
    <t>1st effect evaporator - centrifugal pump</t>
  </si>
  <si>
    <t>2nd effect evaporator - centrifugal pump</t>
  </si>
  <si>
    <t>C1 molasses sieves</t>
  </si>
  <si>
    <t>C1 molasses tank</t>
  </si>
  <si>
    <t>C2 molasses sieves</t>
  </si>
  <si>
    <t>C2 molasses tank</t>
  </si>
  <si>
    <t>CB molasses sieves</t>
  </si>
  <si>
    <t>CB molasses tank</t>
  </si>
  <si>
    <t>Cooling tower pumps</t>
  </si>
  <si>
    <t>Cooling towers</t>
  </si>
  <si>
    <t>Crystallizers</t>
  </si>
  <si>
    <t>D1 molasses tank</t>
  </si>
  <si>
    <t>Evaporator feed centrifugal pump</t>
  </si>
  <si>
    <t>IG molasses sieves</t>
  </si>
  <si>
    <t>Plate evaporators</t>
  </si>
  <si>
    <t>Press tank pumps</t>
  </si>
  <si>
    <t>S1 molasses tank</t>
  </si>
  <si>
    <t>S2 molasses sieves</t>
  </si>
  <si>
    <t>S2 molasses tank</t>
  </si>
  <si>
    <t>Vacuum pans</t>
  </si>
  <si>
    <t>Vacuum pumps</t>
  </si>
  <si>
    <t>Bin 12</t>
  </si>
  <si>
    <t>Bin 13</t>
  </si>
  <si>
    <t>Bin 15</t>
  </si>
  <si>
    <t>Dry bucket elevator</t>
  </si>
  <si>
    <t>Dryer</t>
  </si>
  <si>
    <t xml:space="preserve">Infeed </t>
  </si>
  <si>
    <t>Lump separator (after dryer)</t>
  </si>
  <si>
    <t>Lump separator (before dryer)</t>
  </si>
  <si>
    <t>Roberg 1</t>
  </si>
  <si>
    <t>Roberg 2</t>
  </si>
  <si>
    <t>Rotex sieve no. 1</t>
  </si>
  <si>
    <t>Rotex sieve no. 2</t>
  </si>
  <si>
    <t>Supply mixer Line 1</t>
  </si>
  <si>
    <t>TSK no.1</t>
  </si>
  <si>
    <t>TSK no.2</t>
  </si>
  <si>
    <t>TSK no.3</t>
  </si>
  <si>
    <t>TSK no.4</t>
  </si>
  <si>
    <t>Vimec 1</t>
  </si>
  <si>
    <t>Vimec 2</t>
  </si>
  <si>
    <t>Wet bucket elevator</t>
  </si>
  <si>
    <t>Bin 10</t>
  </si>
  <si>
    <t>Bin 3</t>
  </si>
  <si>
    <t>Bin 4</t>
  </si>
  <si>
    <t>Bin 5</t>
  </si>
  <si>
    <t>Bin 9</t>
  </si>
  <si>
    <t>Rotex sieve no. 3</t>
  </si>
  <si>
    <t>Rotex sieve no. 4</t>
  </si>
  <si>
    <t>Supply mixer Line 2</t>
  </si>
  <si>
    <t>Bin 8</t>
  </si>
  <si>
    <t>Manifold</t>
  </si>
  <si>
    <t>Rotex sieve</t>
  </si>
  <si>
    <t>Supply mixer Line 3</t>
  </si>
  <si>
    <t>Blower</t>
  </si>
  <si>
    <t>Chiller</t>
  </si>
  <si>
    <t>Bin 14</t>
  </si>
  <si>
    <t>Bin 16</t>
  </si>
  <si>
    <t>Bin 17</t>
  </si>
  <si>
    <t>Bin 18</t>
  </si>
  <si>
    <t>Bin 19</t>
  </si>
  <si>
    <t>Bin 20</t>
  </si>
  <si>
    <t>Bin 21</t>
  </si>
  <si>
    <t>Infeed screw conveyor 1</t>
  </si>
  <si>
    <t>Infeed screw conveyor 2</t>
  </si>
  <si>
    <t>Line 4 lump separator</t>
  </si>
  <si>
    <t>Rotex sieve no. 5</t>
  </si>
  <si>
    <t>Rotex sieve no. 6</t>
  </si>
  <si>
    <t>Rotex sieve no. 7 (spare)</t>
  </si>
  <si>
    <t>Supply mixer Line 4</t>
  </si>
  <si>
    <t>TSK no.5</t>
  </si>
  <si>
    <t>Vimec 1 (Grashopper)</t>
  </si>
  <si>
    <t xml:space="preserve">Blower </t>
  </si>
  <si>
    <t>BMA</t>
  </si>
  <si>
    <t>Broadbent</t>
  </si>
  <si>
    <t>CB L/P molasses tank</t>
  </si>
  <si>
    <t>CB L/P molasses tank pump</t>
  </si>
  <si>
    <t>Crop liquor tank</t>
  </si>
  <si>
    <t>Crystallizer</t>
  </si>
  <si>
    <t>D1 molasses pump</t>
  </si>
  <si>
    <t>D2 molasses tank</t>
  </si>
  <si>
    <t>D2 molasses tank pump</t>
  </si>
  <si>
    <t>E magma Pre-mingler</t>
  </si>
  <si>
    <t>E molasses pump</t>
  </si>
  <si>
    <t>E molasses tank</t>
  </si>
  <si>
    <t>E-magma bottom tank pump</t>
  </si>
  <si>
    <t>E-magma mingler</t>
  </si>
  <si>
    <t>E-magma top tank</t>
  </si>
  <si>
    <t xml:space="preserve">Grasshopper </t>
  </si>
  <si>
    <t>L/P seed tank</t>
  </si>
  <si>
    <t>LG seed tank</t>
  </si>
  <si>
    <t>Mix L/P molasses tank</t>
  </si>
  <si>
    <t>Mix molasses tank</t>
  </si>
  <si>
    <t>S3 molasses tank</t>
  </si>
  <si>
    <t xml:space="preserve">Screw conveyor </t>
  </si>
  <si>
    <t>Sub-mixer</t>
  </si>
  <si>
    <t>Sweco sieve</t>
  </si>
  <si>
    <t>Sweet water tank</t>
  </si>
  <si>
    <t xml:space="preserve">Vacuum Pan </t>
  </si>
  <si>
    <t>Vertical crystallizer</t>
  </si>
  <si>
    <t>1st Filtration</t>
  </si>
  <si>
    <t>2nd Filtration</t>
  </si>
  <si>
    <t>Alfa laval heater</t>
  </si>
  <si>
    <t>Heat exchanger (cooler)</t>
  </si>
  <si>
    <t>Liquid sugar filter bags</t>
  </si>
  <si>
    <t>Liquid sugar storage tank 1</t>
  </si>
  <si>
    <t>Liquid sugar storage tank 2</t>
  </si>
  <si>
    <t>Liquid sugar storage tank 3</t>
  </si>
  <si>
    <t>Liquid sugar storage tank 4</t>
  </si>
  <si>
    <t>Liquid sugar storage tank 5</t>
  </si>
  <si>
    <t>Liquid sugar strainers</t>
  </si>
  <si>
    <t>Water filtration filters</t>
  </si>
  <si>
    <t>Water storage tank</t>
  </si>
  <si>
    <t>DAILY SUMMARY REPORT</t>
  </si>
  <si>
    <t>MTD</t>
  </si>
  <si>
    <t>Monthly target</t>
  </si>
  <si>
    <t>Ave. MTD</t>
  </si>
  <si>
    <t>Per day</t>
  </si>
  <si>
    <t>Days</t>
  </si>
  <si>
    <t>Melting (MT)</t>
  </si>
  <si>
    <t>Raw Sugar (WB)</t>
  </si>
  <si>
    <t>Total Packed (MT) includes Bulk &amp; Liquid</t>
  </si>
  <si>
    <t>Bulk (MT)</t>
  </si>
  <si>
    <t>Liquid (MT)</t>
  </si>
  <si>
    <t>WH stock for liquid melt</t>
  </si>
  <si>
    <t>Steam (Mt)</t>
  </si>
  <si>
    <t>Total steam / MT</t>
  </si>
  <si>
    <t>Mmbtu</t>
  </si>
  <si>
    <t>Mmbtu/MT</t>
  </si>
  <si>
    <t>Water/MT</t>
  </si>
  <si>
    <t>Electricity (kWH/MT)</t>
  </si>
  <si>
    <t>Bin Balance (Mt)</t>
  </si>
  <si>
    <t>Residues (before remelt) MT</t>
  </si>
  <si>
    <t>Target</t>
  </si>
  <si>
    <t>Target missed</t>
  </si>
  <si>
    <t>Packing (MT)</t>
  </si>
  <si>
    <t>Total steam usage (Steam/MT)</t>
  </si>
  <si>
    <t>WEEKLY SUMMARY REPORT</t>
  </si>
  <si>
    <t>Week</t>
  </si>
  <si>
    <t>No. of days</t>
  </si>
  <si>
    <t>Raw Sugar WB</t>
  </si>
  <si>
    <t>Melting</t>
  </si>
  <si>
    <t>Melting Target</t>
  </si>
  <si>
    <t>Packed</t>
  </si>
  <si>
    <t>Bulk</t>
  </si>
  <si>
    <t>Liquid</t>
  </si>
  <si>
    <t>Residues</t>
  </si>
  <si>
    <t>Bin Balance</t>
  </si>
  <si>
    <t>Prod Yield %</t>
  </si>
  <si>
    <t>FTQ %</t>
  </si>
  <si>
    <t>Waste %</t>
  </si>
  <si>
    <t>Production Yield%</t>
  </si>
  <si>
    <t>WK 44</t>
  </si>
  <si>
    <t>WK 45</t>
  </si>
  <si>
    <t>WK 46</t>
  </si>
  <si>
    <t>WK 47</t>
  </si>
  <si>
    <t>WK 48</t>
  </si>
  <si>
    <t xml:space="preserve">MTD Nov </t>
  </si>
  <si>
    <t>Yield WB</t>
  </si>
  <si>
    <t>Yield Hopper</t>
  </si>
  <si>
    <t>WEEKLY MELTING TREND (MT)</t>
  </si>
  <si>
    <t>WEEKLY PACKING TREND (MT)</t>
  </si>
  <si>
    <t>WEEKLY FINAL YIELD% TREND (MT)</t>
  </si>
  <si>
    <t>WEEKLY PACKING YIELD% TREND (MT)</t>
  </si>
  <si>
    <t>DAILY MELTING TREND (MT)</t>
  </si>
  <si>
    <t>DAILY PACKING TREND (MT)</t>
  </si>
  <si>
    <t>DAILY FINAL YIELD% TREND (MT)</t>
  </si>
  <si>
    <t>DAILY PACKING YIELD% TREND (MT)</t>
  </si>
  <si>
    <t>DAILY MELT SUMMARY BY WEEK (MT)</t>
  </si>
  <si>
    <t>DAILY PACK SUMMARY BY WEEK (MT)</t>
  </si>
  <si>
    <t>CSR Daily Production Performance Report</t>
  </si>
  <si>
    <t xml:space="preserve">Date: </t>
  </si>
  <si>
    <t>September</t>
  </si>
  <si>
    <t xml:space="preserve">Time </t>
  </si>
  <si>
    <t xml:space="preserve">Melting </t>
  </si>
  <si>
    <t>Carb Flow Rate</t>
  </si>
  <si>
    <t>Total Melt (tons)</t>
  </si>
  <si>
    <t>Today's melt</t>
  </si>
  <si>
    <t>Today's pack</t>
  </si>
  <si>
    <t>Old Line</t>
  </si>
  <si>
    <t>New Line</t>
  </si>
  <si>
    <t>hrs</t>
  </si>
  <si>
    <t>tons</t>
  </si>
  <si>
    <r>
      <t>m</t>
    </r>
    <r>
      <rPr>
        <b/>
        <sz val="11"/>
        <rFont val="Calibri"/>
        <family val="2"/>
      </rPr>
      <t>³</t>
    </r>
    <r>
      <rPr>
        <b/>
        <sz val="11"/>
        <rFont val="Arial"/>
        <family val="2"/>
      </rPr>
      <t xml:space="preserve"> / hr</t>
    </r>
  </si>
  <si>
    <t>Morning</t>
  </si>
  <si>
    <t>0900</t>
  </si>
  <si>
    <t>1100</t>
  </si>
  <si>
    <t>1300</t>
  </si>
  <si>
    <t>Total Residues (tons)</t>
  </si>
  <si>
    <t>1500</t>
  </si>
  <si>
    <t>Afternoon</t>
  </si>
  <si>
    <t>1700</t>
  </si>
  <si>
    <t>1900</t>
  </si>
  <si>
    <t>2100</t>
  </si>
  <si>
    <t>2300</t>
  </si>
  <si>
    <t xml:space="preserve">MTD Summary </t>
  </si>
  <si>
    <t>Night</t>
  </si>
  <si>
    <t>0100</t>
  </si>
  <si>
    <t>0300</t>
  </si>
  <si>
    <t>MTD Trendings</t>
  </si>
  <si>
    <t>0500</t>
  </si>
  <si>
    <t>0700</t>
  </si>
  <si>
    <t>Total</t>
  </si>
  <si>
    <t>No.of Strikes and Packing Outputs</t>
  </si>
  <si>
    <t>Total
 strikes</t>
  </si>
  <si>
    <t>Totak packing output (tons)</t>
  </si>
  <si>
    <t>Lines</t>
  </si>
  <si>
    <t>Strikes</t>
  </si>
  <si>
    <t>Packing output (tons)</t>
  </si>
  <si>
    <t>IG</t>
  </si>
  <si>
    <t>C1</t>
  </si>
  <si>
    <t>A1</t>
  </si>
  <si>
    <t>C2</t>
  </si>
  <si>
    <t>S1 / S3 ('R')</t>
  </si>
  <si>
    <t>CB</t>
  </si>
  <si>
    <t>D1</t>
  </si>
  <si>
    <t>D2</t>
  </si>
  <si>
    <t>SB</t>
  </si>
  <si>
    <t>E</t>
  </si>
  <si>
    <t>GP</t>
  </si>
  <si>
    <t>Caster</t>
  </si>
  <si>
    <t>Icing</t>
  </si>
  <si>
    <t>Bulk Tanker</t>
  </si>
  <si>
    <t>Liquid sugar</t>
  </si>
  <si>
    <t>SPCG Sugar</t>
  </si>
  <si>
    <t>Bin Levels and Weights</t>
  </si>
  <si>
    <t>Bin</t>
  </si>
  <si>
    <t>%</t>
  </si>
  <si>
    <t>Tons</t>
  </si>
  <si>
    <t>11A</t>
  </si>
  <si>
    <t>11B</t>
  </si>
  <si>
    <t>CASTER 1</t>
  </si>
  <si>
    <t>CASTER 2</t>
  </si>
  <si>
    <t>M.Bin 1</t>
  </si>
  <si>
    <t>M.Bin 2</t>
  </si>
  <si>
    <t>M.Bin 3</t>
  </si>
  <si>
    <t>M.Bin 4</t>
  </si>
  <si>
    <t>Total daily bin weight:</t>
  </si>
  <si>
    <t>Yesterday's daily bin weight</t>
  </si>
  <si>
    <t>Energy and Utilities (by Eng - Utilities)</t>
  </si>
  <si>
    <t>Electricity (kWh)</t>
  </si>
  <si>
    <t>CSR</t>
  </si>
  <si>
    <t>TNB</t>
  </si>
  <si>
    <t>Water (m³)</t>
  </si>
  <si>
    <t>River</t>
  </si>
  <si>
    <t>Syabas</t>
  </si>
  <si>
    <t>Natural Gas &amp; Steam
(mmBTU , tons)</t>
  </si>
  <si>
    <t>Total boilers</t>
  </si>
  <si>
    <t>Total steam</t>
  </si>
  <si>
    <t>(kWh / ton)</t>
  </si>
  <si>
    <t>(m³/ ton)</t>
  </si>
  <si>
    <t>mmBTU/ton , steam/ton</t>
  </si>
  <si>
    <t>Downtime Report</t>
  </si>
  <si>
    <t>Total Hrs</t>
  </si>
  <si>
    <t>Time</t>
  </si>
  <si>
    <t>Machine/Equipment</t>
  </si>
  <si>
    <t>Issues</t>
  </si>
  <si>
    <t>From</t>
  </si>
  <si>
    <t>To</t>
  </si>
  <si>
    <t>Melt affected?</t>
  </si>
  <si>
    <t>Chute block</t>
  </si>
  <si>
    <t>C1 moll full</t>
  </si>
  <si>
    <t>Moll full</t>
  </si>
  <si>
    <t>Stop to repair hot water pipe</t>
  </si>
  <si>
    <t>C2 moll full</t>
  </si>
  <si>
    <t>C1 moll sieve no.1 replace motor by workshop</t>
  </si>
  <si>
    <t>Rl transfer to buffer tank pump no.3 service by w/shop</t>
  </si>
  <si>
    <t>mol full</t>
  </si>
  <si>
    <t>yes</t>
  </si>
  <si>
    <t>tsk no2 atuator valve problem</t>
  </si>
  <si>
    <t>tsk no1 valve jammed</t>
  </si>
  <si>
    <t>Prepared by:</t>
  </si>
  <si>
    <t>SS</t>
  </si>
  <si>
    <t>zubir</t>
  </si>
  <si>
    <t>shahrul/yusri</t>
  </si>
  <si>
    <t>ASS</t>
  </si>
  <si>
    <t>Azli</t>
  </si>
  <si>
    <t>Product Sugar Colour and Dirt Test Result</t>
  </si>
  <si>
    <t>Code No.</t>
  </si>
  <si>
    <t>Type</t>
  </si>
  <si>
    <t>Colour</t>
  </si>
  <si>
    <t>Dirt Test</t>
  </si>
  <si>
    <t>C01P20MC</t>
  </si>
  <si>
    <t>SPIC 25 D/L</t>
  </si>
  <si>
    <t>OK</t>
  </si>
  <si>
    <t>C01P20M3</t>
  </si>
  <si>
    <t>LOA1</t>
  </si>
  <si>
    <t>C29O20M21</t>
  </si>
  <si>
    <t>LOA11T(N)</t>
  </si>
  <si>
    <t>C29O20M41</t>
  </si>
  <si>
    <t>LOIG1T(MDD)</t>
  </si>
  <si>
    <t>C01P20M1</t>
  </si>
  <si>
    <t>LOC11TR</t>
  </si>
  <si>
    <t>C01P20MSB</t>
  </si>
  <si>
    <t>LOSB</t>
  </si>
  <si>
    <t>C01P20M2</t>
  </si>
  <si>
    <t>LOC1</t>
  </si>
  <si>
    <t>C27O20A21</t>
  </si>
  <si>
    <t>C29O20M2</t>
  </si>
  <si>
    <t>C31O20M1</t>
  </si>
  <si>
    <t>C01P20MH6</t>
  </si>
  <si>
    <t>SPCG</t>
  </si>
  <si>
    <t>C01P20MH3</t>
  </si>
  <si>
    <t>SPFG</t>
  </si>
  <si>
    <t>C01P20M4</t>
  </si>
  <si>
    <t>1+3</t>
  </si>
  <si>
    <t>C01P20N1</t>
  </si>
  <si>
    <t>9+10</t>
  </si>
  <si>
    <t>C01P20N2</t>
  </si>
  <si>
    <t>C01P20N4</t>
  </si>
  <si>
    <t>C29O20N21</t>
  </si>
  <si>
    <t>LOA1 1TN</t>
  </si>
  <si>
    <t>C01P20NH2</t>
  </si>
  <si>
    <t>SPCG COUSE FIELD</t>
  </si>
  <si>
    <t>LOCX 1T</t>
  </si>
  <si>
    <t>Motor oil pump w/out</t>
  </si>
  <si>
    <t>Replace accuator valve no.1</t>
  </si>
  <si>
    <t>IG moll full</t>
  </si>
  <si>
    <t>Pump no.1 tripped. Replace pump no.2</t>
  </si>
  <si>
    <t>R &amp; B no.2 plate shifter cannot operate</t>
  </si>
  <si>
    <t>TSK jammed</t>
  </si>
  <si>
    <t>Plate no.1 feed pump no.2 jammed</t>
  </si>
  <si>
    <t>Lim CC</t>
  </si>
  <si>
    <t>azli</t>
  </si>
  <si>
    <t>Radi</t>
  </si>
  <si>
    <t>C02P20MCB</t>
  </si>
  <si>
    <t>C30O20M21</t>
  </si>
  <si>
    <t>C30O20M41</t>
  </si>
  <si>
    <t>C02P20M3</t>
  </si>
  <si>
    <t>C02P20M4</t>
  </si>
  <si>
    <t>C02P20M1</t>
  </si>
  <si>
    <t>C02P20M2</t>
  </si>
  <si>
    <t>LOCB</t>
  </si>
  <si>
    <t>C02P20MH3</t>
  </si>
  <si>
    <t>C02P20AH1</t>
  </si>
  <si>
    <t>2+3</t>
  </si>
  <si>
    <t>C02P20A1</t>
  </si>
  <si>
    <t>C02P20A2</t>
  </si>
  <si>
    <t>C02P20A3</t>
  </si>
  <si>
    <t>C02P20A4</t>
  </si>
  <si>
    <t>EXA1</t>
  </si>
  <si>
    <t>C30020A21</t>
  </si>
  <si>
    <t>LOA1 1T(N)</t>
  </si>
  <si>
    <t>C30020A41</t>
  </si>
  <si>
    <t>LOIG 1T(MDD)</t>
  </si>
  <si>
    <t>C02P20N1</t>
  </si>
  <si>
    <t>C02P20N2</t>
  </si>
  <si>
    <t>C30O20N21</t>
  </si>
  <si>
    <t>C02P20N4</t>
  </si>
  <si>
    <t>C30O20N41</t>
  </si>
  <si>
    <t>C02P20NH3</t>
  </si>
  <si>
    <t>78/76 F</t>
  </si>
  <si>
    <t>LINE ONE STOP DUE TO DRYER PROBLEM</t>
  </si>
  <si>
    <t>LINE ONE RUN 2 SET TSK SEND TO LUMP</t>
  </si>
  <si>
    <t xml:space="preserve">AFF TSK NO#3 ELECTRICAL FAULT CHECK BY </t>
  </si>
  <si>
    <t>POWER</t>
  </si>
  <si>
    <t>STOP TO ROUTINE SERVICE</t>
  </si>
  <si>
    <t>Line 1 curing stop due dryer repair</t>
  </si>
  <si>
    <t>Line 1 TSK run 2 set</t>
  </si>
  <si>
    <t>Line 4 screw conveyor tripped</t>
  </si>
  <si>
    <t xml:space="preserve">IG mol full </t>
  </si>
  <si>
    <t xml:space="preserve">V.pan 8 boil water due clear harden sugar </t>
  </si>
  <si>
    <t>tsk no3 masse valve jammed</t>
  </si>
  <si>
    <t>23;:30</t>
  </si>
  <si>
    <t>cryst no5 valve jammed</t>
  </si>
  <si>
    <t>Lim Cc</t>
  </si>
  <si>
    <t>shshrul/yusri</t>
  </si>
  <si>
    <t>ZAIPU</t>
  </si>
  <si>
    <t>C03P20M2</t>
  </si>
  <si>
    <t>C03P20MA</t>
  </si>
  <si>
    <t>SPIC25D/L</t>
  </si>
  <si>
    <t>C03P20M3</t>
  </si>
  <si>
    <t>88F</t>
  </si>
  <si>
    <t>C03P20M4</t>
  </si>
  <si>
    <t>C31O20M41</t>
  </si>
  <si>
    <t>LOIG1TMDD</t>
  </si>
  <si>
    <t>LOCA900</t>
  </si>
  <si>
    <t>71F</t>
  </si>
  <si>
    <t>61F</t>
  </si>
  <si>
    <t>C03P20MSB</t>
  </si>
  <si>
    <t>C03P20M1</t>
  </si>
  <si>
    <t>C31O20M21</t>
  </si>
  <si>
    <t>C03P20A1</t>
  </si>
  <si>
    <t>C03P20A2</t>
  </si>
  <si>
    <t>C03P20A3</t>
  </si>
  <si>
    <t>LOCA</t>
  </si>
  <si>
    <t>C03P20A4</t>
  </si>
  <si>
    <t>C03P20ACB</t>
  </si>
  <si>
    <t>C03P20AH1</t>
  </si>
  <si>
    <t>C31020A21</t>
  </si>
  <si>
    <t>C31020A41</t>
  </si>
  <si>
    <t>night</t>
  </si>
  <si>
    <t>C03P20N2</t>
  </si>
  <si>
    <t>C03P20NH3</t>
  </si>
  <si>
    <t>127/123 F</t>
  </si>
  <si>
    <t>C31O20N21</t>
  </si>
  <si>
    <t>C03P20N4</t>
  </si>
  <si>
    <t>C31O20N41</t>
  </si>
  <si>
    <t>11[A]</t>
  </si>
  <si>
    <t>LOCB N</t>
  </si>
  <si>
    <t>C03P20N1</t>
  </si>
  <si>
    <t>63/61 F</t>
  </si>
  <si>
    <t xml:space="preserve">          </t>
  </si>
  <si>
    <t xml:space="preserve">L2 VIMEC NO#2 MOTOR BELT W/OUT REPLACE </t>
  </si>
  <si>
    <t>BY WOKSHOP</t>
  </si>
  <si>
    <t>TSK NO#2 MOL LEAKING FROM CHAMBER STOP</t>
  </si>
  <si>
    <t>TO CHECK BY WOKSHOP</t>
  </si>
  <si>
    <t>L3 MANIFOLD CHUTE BLOOCK</t>
  </si>
  <si>
    <t>C2 MOL FULL</t>
  </si>
  <si>
    <t>v.pump#9 v-belt w/out</t>
  </si>
  <si>
    <t>Vimec#2 v-belt w/out</t>
  </si>
  <si>
    <t>Steaming valve v.pan 3 actuator leaking</t>
  </si>
  <si>
    <t>TSK no.2 body block</t>
  </si>
  <si>
    <t>Bucket elevetor # 2 motor chain worn out..stop at</t>
  </si>
  <si>
    <t xml:space="preserve">c2 mol full </t>
  </si>
  <si>
    <t>cryst no 5 auto valve jammed</t>
  </si>
  <si>
    <t>cryst no 6 auto valve jammed</t>
  </si>
  <si>
    <t>ig mol full</t>
  </si>
  <si>
    <t>Jack/Zaipu</t>
  </si>
  <si>
    <t>C04P20M1</t>
  </si>
  <si>
    <t>59F</t>
  </si>
  <si>
    <t>C04P20M2</t>
  </si>
  <si>
    <t>C04P20M4</t>
  </si>
  <si>
    <t>LOIGFF</t>
  </si>
  <si>
    <t>C01P20M41</t>
  </si>
  <si>
    <t>C04P20MCB</t>
  </si>
  <si>
    <t>C04P20MA</t>
  </si>
  <si>
    <t>C04P20M3</t>
  </si>
  <si>
    <t>C01P20M21</t>
  </si>
  <si>
    <t>C04P20MH4</t>
  </si>
  <si>
    <t>56F</t>
  </si>
  <si>
    <t>EMC1</t>
  </si>
  <si>
    <t>C04P20AH1</t>
  </si>
  <si>
    <t>C04P20A3</t>
  </si>
  <si>
    <t>C04P20A4</t>
  </si>
  <si>
    <t>C01P20A41</t>
  </si>
  <si>
    <t>C04P20A2</t>
  </si>
  <si>
    <t>C01P20A21</t>
  </si>
  <si>
    <t>C01P20N21</t>
  </si>
  <si>
    <t>LOA11T [N]</t>
  </si>
  <si>
    <t>C01P20N41</t>
  </si>
  <si>
    <t>C014P20N4</t>
  </si>
  <si>
    <t>C04P20N2</t>
  </si>
  <si>
    <t>C04P20N1</t>
  </si>
  <si>
    <t>EMA1</t>
  </si>
  <si>
    <t>C04P20NH3</t>
  </si>
  <si>
    <t>LOC11T [P]</t>
  </si>
  <si>
    <t>180  F</t>
  </si>
  <si>
    <t>c2 mol full</t>
  </si>
  <si>
    <t>tsk no 3 dischger air pump w/out</t>
  </si>
  <si>
    <t>auto valve jammed</t>
  </si>
  <si>
    <t>rubber chute w/out</t>
  </si>
  <si>
    <t>s1 mol full</t>
  </si>
  <si>
    <t>Rubber chute w/out</t>
  </si>
  <si>
    <t>S1 mol full</t>
  </si>
  <si>
    <t>filter no 13 swing hydraulic valve jammed</t>
  </si>
  <si>
    <t>filter no13 swing hydraulic valve jammed</t>
  </si>
  <si>
    <t>chute block</t>
  </si>
  <si>
    <t>cryst no 4 auto valve jammed</t>
  </si>
  <si>
    <t>jack</t>
  </si>
  <si>
    <t>sharul/yusri</t>
  </si>
  <si>
    <t>zaipu</t>
  </si>
  <si>
    <t>C05P20M2</t>
  </si>
  <si>
    <t>56 F</t>
  </si>
  <si>
    <t>C02P20M21</t>
  </si>
  <si>
    <t>62 F</t>
  </si>
  <si>
    <t>C05P20M4</t>
  </si>
  <si>
    <t>LOIGCX</t>
  </si>
  <si>
    <t>C05P20MC</t>
  </si>
  <si>
    <t>EXIC15</t>
  </si>
  <si>
    <t>53 F</t>
  </si>
  <si>
    <t>C05P20MSB</t>
  </si>
  <si>
    <t>C05P20M3</t>
  </si>
  <si>
    <t>LOCA 25 [P]</t>
  </si>
  <si>
    <t>LOIG 500</t>
  </si>
  <si>
    <t>EXIC 15</t>
  </si>
  <si>
    <t>60 F</t>
  </si>
  <si>
    <t>C05P20A1</t>
  </si>
  <si>
    <t>C05P20A2</t>
  </si>
  <si>
    <t>C05P20AH6</t>
  </si>
  <si>
    <t>C02P20A21</t>
  </si>
  <si>
    <t>C05P20A3</t>
  </si>
  <si>
    <t>C05P20AC</t>
  </si>
  <si>
    <t>C05P20A4</t>
  </si>
  <si>
    <t>C05P20ACB</t>
  </si>
  <si>
    <t>C02P20A41</t>
  </si>
  <si>
    <t>LOIG1T [MDD]</t>
  </si>
  <si>
    <t>C05P20N2</t>
  </si>
  <si>
    <t>C05P20N1</t>
  </si>
  <si>
    <t>C02P20N21</t>
  </si>
  <si>
    <t>C05P20N4</t>
  </si>
  <si>
    <t>C05P20NH3</t>
  </si>
  <si>
    <t>C02P20N41</t>
  </si>
  <si>
    <t>C05P20NC</t>
  </si>
  <si>
    <t>EXIC 25</t>
  </si>
  <si>
    <t>Routine service &amp; send to lump</t>
  </si>
  <si>
    <t>Auto valve jammed</t>
  </si>
  <si>
    <t>Filterv no.11 cockvalve loose. Rep. by w/shop</t>
  </si>
  <si>
    <t>bin full</t>
  </si>
  <si>
    <t>shahrul</t>
  </si>
  <si>
    <t>C06P20M4</t>
  </si>
  <si>
    <t>C06P20MH1</t>
  </si>
  <si>
    <t>5+10</t>
  </si>
  <si>
    <t>C06P20M1</t>
  </si>
  <si>
    <t>C06P20M2</t>
  </si>
  <si>
    <t>C06P20MC</t>
  </si>
  <si>
    <t>C03P20M21</t>
  </si>
  <si>
    <t>C03P20M41</t>
  </si>
  <si>
    <t>C06P20MCB</t>
  </si>
  <si>
    <t>C03P20A21</t>
  </si>
  <si>
    <t>C06P20A1</t>
  </si>
  <si>
    <t>68/65 F</t>
  </si>
  <si>
    <t>C06P20A2</t>
  </si>
  <si>
    <t>C06P20AH1</t>
  </si>
  <si>
    <t>C06P20A4</t>
  </si>
  <si>
    <t>C03P20A41</t>
  </si>
  <si>
    <t>LOIG 1TMDD</t>
  </si>
  <si>
    <t>C06P20N4</t>
  </si>
  <si>
    <t>C03P20N21</t>
  </si>
  <si>
    <t>C03P20N41</t>
  </si>
  <si>
    <t>C06P20N2</t>
  </si>
  <si>
    <t>C06P20N1</t>
  </si>
  <si>
    <t>Bin full</t>
  </si>
  <si>
    <t>Autovalve jammed</t>
  </si>
  <si>
    <t>Hot water pump no.2 inlet pipe leaking. Rep. no.1</t>
  </si>
  <si>
    <t>Service due water leaking</t>
  </si>
  <si>
    <t>TSK filter no.6 stop</t>
  </si>
  <si>
    <t>v.pan 10 boil water</t>
  </si>
  <si>
    <t>v.pan 12 boil water</t>
  </si>
  <si>
    <t>v.pan 11 boil water</t>
  </si>
  <si>
    <t>v.pan 9 boil water</t>
  </si>
  <si>
    <t>v.pan 7 boil water</t>
  </si>
  <si>
    <t>tsk # 5 w/screen w/out</t>
  </si>
  <si>
    <t>tsk # 7 discharger key w/out</t>
  </si>
  <si>
    <t>C2 mol full</t>
  </si>
  <si>
    <t>valve jammed</t>
  </si>
  <si>
    <t>yusri</t>
  </si>
  <si>
    <t>C07P20MH1</t>
  </si>
  <si>
    <t>C07P20M1</t>
  </si>
  <si>
    <t>C07P20M2</t>
  </si>
  <si>
    <t>C07P20M4</t>
  </si>
  <si>
    <t>C07P20MA</t>
  </si>
  <si>
    <t>SPIC25 D/L</t>
  </si>
  <si>
    <t>C04P20M21</t>
  </si>
  <si>
    <t>C04P20M41</t>
  </si>
  <si>
    <t>C07P20M3</t>
  </si>
  <si>
    <t>C05P20M1</t>
  </si>
  <si>
    <t>C07P20MSB</t>
  </si>
  <si>
    <t>C07P20A1</t>
  </si>
  <si>
    <t>C07P20A2</t>
  </si>
  <si>
    <t>C07P20AH3</t>
  </si>
  <si>
    <t>C07P20ACB</t>
  </si>
  <si>
    <t>C07P20A3</t>
  </si>
  <si>
    <t>EXA1 25(P)</t>
  </si>
  <si>
    <t>C07P20A4</t>
  </si>
  <si>
    <t>LOIGCX 25</t>
  </si>
  <si>
    <t>C04P20A41</t>
  </si>
  <si>
    <t>LOIG1 T(MDD)</t>
  </si>
  <si>
    <t>C07P20A9</t>
  </si>
  <si>
    <t>LOGP</t>
  </si>
  <si>
    <t>C04P20A21</t>
  </si>
  <si>
    <t>LOA1 1T (N)</t>
  </si>
  <si>
    <t>NIGHT</t>
  </si>
  <si>
    <t>C07P20N1</t>
  </si>
  <si>
    <t>C07P20N2</t>
  </si>
  <si>
    <t>C04P20N41</t>
  </si>
  <si>
    <t>C04P20N21</t>
  </si>
  <si>
    <t>C07P20N4</t>
  </si>
  <si>
    <t>PLANT WASHING</t>
  </si>
  <si>
    <t>Raw sugar line stop</t>
  </si>
  <si>
    <t>Stop and welding by w/shop</t>
  </si>
  <si>
    <t>Line 1 &amp; 2 clear magma and wash</t>
  </si>
  <si>
    <t>To clear and service</t>
  </si>
  <si>
    <t>melter no.1 service</t>
  </si>
  <si>
    <t>Hot water service pipe repair by w/shop</t>
  </si>
  <si>
    <t>Run 1 set tsk sugars coarse</t>
  </si>
  <si>
    <t>Lime serv tank recycle valve jammed open position</t>
  </si>
  <si>
    <t>Lime serv tank top up valve jammed open position</t>
  </si>
  <si>
    <t>lime pump to old lime pipe block</t>
  </si>
  <si>
    <t>stop Old Line raw liq pump due to no lime flow</t>
  </si>
  <si>
    <t>Zubir</t>
  </si>
  <si>
    <t>RADI</t>
  </si>
  <si>
    <t>C08P20MH1</t>
  </si>
  <si>
    <t>C08P20M2</t>
  </si>
  <si>
    <t>C08P20M3</t>
  </si>
  <si>
    <t>EXCA 25(P) REDOX</t>
  </si>
  <si>
    <t>C08P20M4</t>
  </si>
  <si>
    <t>C08P20MA</t>
  </si>
  <si>
    <t>SPIC 25D/L</t>
  </si>
  <si>
    <t>C08P20M1</t>
  </si>
  <si>
    <t>LOC1 1T(P)</t>
  </si>
  <si>
    <t>LOA1 500</t>
  </si>
  <si>
    <t>C05P20M41</t>
  </si>
  <si>
    <t>C08P20A4</t>
  </si>
  <si>
    <t>C08P20ACB</t>
  </si>
  <si>
    <t>C08P20A21</t>
  </si>
  <si>
    <t>C08P20A41</t>
  </si>
  <si>
    <t>C08P20AN3</t>
  </si>
  <si>
    <t>C08P20A3</t>
  </si>
  <si>
    <t>EXA1 25(DUBAI)</t>
  </si>
  <si>
    <t>C05P20A21</t>
  </si>
  <si>
    <t>C08P20N2</t>
  </si>
  <si>
    <t>EXCI</t>
  </si>
  <si>
    <t>C08P20N1</t>
  </si>
  <si>
    <t>C08P20N4</t>
  </si>
  <si>
    <t>46F</t>
  </si>
  <si>
    <t>C05P2041</t>
  </si>
  <si>
    <t>39F</t>
  </si>
  <si>
    <t>LOIG1T(R)</t>
  </si>
  <si>
    <t>C05P20N41</t>
  </si>
  <si>
    <t>m /hr</t>
  </si>
  <si>
    <t xml:space="preserve">aff line1 stop due to lime problem </t>
  </si>
  <si>
    <t>aff line1 stop due to lime recycly pipe block</t>
  </si>
  <si>
    <t>tsk no3 outlet chute block</t>
  </si>
  <si>
    <t>no</t>
  </si>
  <si>
    <t>tsk no1 auto valve jammed</t>
  </si>
  <si>
    <t>tsk no3 hot water nozzle block</t>
  </si>
  <si>
    <t>v pan no2 replace sight glass</t>
  </si>
  <si>
    <t>Screen w/out</t>
  </si>
  <si>
    <t>swhahrul/yusri</t>
  </si>
  <si>
    <t>Jack</t>
  </si>
  <si>
    <t>Zaipu</t>
  </si>
  <si>
    <t>C09P20M1</t>
  </si>
  <si>
    <t>64 F</t>
  </si>
  <si>
    <t>C09P20M2</t>
  </si>
  <si>
    <t>66 F</t>
  </si>
  <si>
    <t>C09P20MH2</t>
  </si>
  <si>
    <t>71 F</t>
  </si>
  <si>
    <t>C06P20M21</t>
  </si>
  <si>
    <t>C09P20MA</t>
  </si>
  <si>
    <t>SPIC 25DL</t>
  </si>
  <si>
    <t>C09P20M4</t>
  </si>
  <si>
    <t>C06P20M41</t>
  </si>
  <si>
    <t>C09P20MSB</t>
  </si>
  <si>
    <t>2975 F</t>
  </si>
  <si>
    <t>C09P20MH3</t>
  </si>
  <si>
    <t>73 F</t>
  </si>
  <si>
    <t>C08P20M21</t>
  </si>
  <si>
    <t>63 F</t>
  </si>
  <si>
    <t>65 F</t>
  </si>
  <si>
    <t>C09P20A4</t>
  </si>
  <si>
    <t>C09P20A3</t>
  </si>
  <si>
    <t>EXA1 25(P)DUBAI</t>
  </si>
  <si>
    <t>C06P20A21</t>
  </si>
  <si>
    <t>LOCX1T</t>
  </si>
  <si>
    <t>C09P20ACB</t>
  </si>
  <si>
    <t>C09P20A2</t>
  </si>
  <si>
    <t>C09P20A1</t>
  </si>
  <si>
    <t>C09P20AH3</t>
  </si>
  <si>
    <t>EXCA 25(P)REDOX</t>
  </si>
  <si>
    <t>C09P20N1</t>
  </si>
  <si>
    <t>C09P20N2</t>
  </si>
  <si>
    <t>C09P20N4</t>
  </si>
  <si>
    <t>C06P20N41</t>
  </si>
  <si>
    <t>C06P20N21</t>
  </si>
  <si>
    <t>tsk no1/no3/no7 replace cake detector</t>
  </si>
  <si>
    <t>tsk no2 outlet rubber chute w out</t>
  </si>
  <si>
    <t>Cryst no.3,4,5 valve jammed</t>
  </si>
  <si>
    <t>Plate 1 feed pump no.2 tripped. Change to no.1</t>
  </si>
  <si>
    <t>Need to check &amp; repair by morning shift</t>
  </si>
  <si>
    <t>Filter no. 15 under repair</t>
  </si>
  <si>
    <t>C10P20M3</t>
  </si>
  <si>
    <t>C10P20M2</t>
  </si>
  <si>
    <t>LOCA 900</t>
  </si>
  <si>
    <t>C07P20M41</t>
  </si>
  <si>
    <t>C10P20M4</t>
  </si>
  <si>
    <t>EXIGFF</t>
  </si>
  <si>
    <t>C10P20MCB</t>
  </si>
  <si>
    <t>C10P20MH1</t>
  </si>
  <si>
    <t>C10P20M1</t>
  </si>
  <si>
    <t>C10P20A2</t>
  </si>
  <si>
    <t>C10P20A3</t>
  </si>
  <si>
    <t>LOCA 25(P)NESTLE</t>
  </si>
  <si>
    <t>C10P20A4</t>
  </si>
  <si>
    <t>C10P20ACB</t>
  </si>
  <si>
    <t>C07P20A21</t>
  </si>
  <si>
    <t>C07P20A41</t>
  </si>
  <si>
    <t>C10P20N4</t>
  </si>
  <si>
    <t>C10P20N1</t>
  </si>
  <si>
    <t>C10P20N2</t>
  </si>
  <si>
    <t>C07P20N21</t>
  </si>
  <si>
    <t>C07P20N41</t>
  </si>
  <si>
    <t>LOC11T(R)</t>
  </si>
  <si>
    <t>C10P20NH1</t>
  </si>
  <si>
    <t>tsk no4 servive outlet chute</t>
  </si>
  <si>
    <t>aff line1 stop[to clear tsk no4]</t>
  </si>
  <si>
    <t>raq liq buffer pump no2 leaking.run no3</t>
  </si>
  <si>
    <t>tsk no3 hot water hose w out replace fr</t>
  </si>
  <si>
    <t>tsk no6 dischager air pump w out</t>
  </si>
  <si>
    <t>filter no15 job done fr</t>
  </si>
  <si>
    <t>tsk no1 masse chute block</t>
  </si>
  <si>
    <t>TSK#6 basket lifter air pump w/out</t>
  </si>
  <si>
    <t>IG moll stop due to sieve boiling problem</t>
  </si>
  <si>
    <t>jack/shahrul</t>
  </si>
  <si>
    <t>C11P20M1</t>
  </si>
  <si>
    <t>EXC1</t>
  </si>
  <si>
    <t>119 F</t>
  </si>
  <si>
    <t>C11P20M2</t>
  </si>
  <si>
    <t>115 F</t>
  </si>
  <si>
    <t>C11P20M4</t>
  </si>
  <si>
    <t>C08P20M41</t>
  </si>
  <si>
    <t>C11P20MH7</t>
  </si>
  <si>
    <t>92/90 F</t>
  </si>
  <si>
    <t>C11P20M3</t>
  </si>
  <si>
    <t>LOA1 25</t>
  </si>
  <si>
    <t>C11P20MSB</t>
  </si>
  <si>
    <t>C11P20M11</t>
  </si>
  <si>
    <t>C11P20A1</t>
  </si>
  <si>
    <t>C11P20A2</t>
  </si>
  <si>
    <t>60F</t>
  </si>
  <si>
    <t>C11P20ACB</t>
  </si>
  <si>
    <t>53F</t>
  </si>
  <si>
    <t>C11P20A4</t>
  </si>
  <si>
    <t>C11P20A21</t>
  </si>
  <si>
    <t>C11P20N1</t>
  </si>
  <si>
    <t>C11P20N4</t>
  </si>
  <si>
    <t>C11P20N2</t>
  </si>
  <si>
    <t>C08P20N21</t>
  </si>
  <si>
    <t>C11P20NH1</t>
  </si>
  <si>
    <t>CHUTE BLOCK</t>
  </si>
  <si>
    <t>STOP AND SERVICE BY POWER</t>
  </si>
  <si>
    <t>Lisse pump tripped</t>
  </si>
  <si>
    <t>A/Leave</t>
  </si>
  <si>
    <t>C12P20M2</t>
  </si>
  <si>
    <t>C12P20M1</t>
  </si>
  <si>
    <t>C09P20M41</t>
  </si>
  <si>
    <t>C09P20M21</t>
  </si>
  <si>
    <t>C12P20M3</t>
  </si>
  <si>
    <t>LOCA 25(P)N</t>
  </si>
  <si>
    <t>C12P20MLG</t>
  </si>
  <si>
    <t>LOG1</t>
  </si>
  <si>
    <t>C12P20A1</t>
  </si>
  <si>
    <t>C12P20A2</t>
  </si>
  <si>
    <t>C09P20A21</t>
  </si>
  <si>
    <t>C09P20A41</t>
  </si>
  <si>
    <t>LOC11T (N)</t>
  </si>
  <si>
    <t>116F</t>
  </si>
  <si>
    <t>C12P20A3</t>
  </si>
  <si>
    <t>EXA125(P) DUBAI</t>
  </si>
  <si>
    <t>C12P20A4</t>
  </si>
  <si>
    <t>C12P20N2</t>
  </si>
  <si>
    <t>C12P20N1</t>
  </si>
  <si>
    <t>C12P20N4</t>
  </si>
  <si>
    <t>C09P20N21</t>
  </si>
  <si>
    <t>C09P20N41</t>
  </si>
  <si>
    <t>C12P20NH3</t>
  </si>
  <si>
    <t>Body leaking</t>
  </si>
  <si>
    <t>Cryst no.6 valve jammed</t>
  </si>
  <si>
    <t xml:space="preserve">                                                                                                          </t>
  </si>
  <si>
    <t>WARM WATER PUMP # 1 JAMMED</t>
  </si>
  <si>
    <t>PUMP # 2 UNDER REPAIR</t>
  </si>
  <si>
    <t>-</t>
  </si>
  <si>
    <t>C13P20M2</t>
  </si>
  <si>
    <t>LOA1 50</t>
  </si>
  <si>
    <t>C13P20M1</t>
  </si>
  <si>
    <t>C13P20MGP</t>
  </si>
  <si>
    <t>C10P20M41</t>
  </si>
  <si>
    <t>X13P20M4</t>
  </si>
  <si>
    <t>C13P20M3</t>
  </si>
  <si>
    <t>C13P20A3</t>
  </si>
  <si>
    <t>C13P20A4</t>
  </si>
  <si>
    <t>C13P20A1</t>
  </si>
  <si>
    <t>C13P20A2</t>
  </si>
  <si>
    <t>C10P20A41</t>
  </si>
  <si>
    <t>C13P20AH2</t>
  </si>
  <si>
    <t>C10P20A21</t>
  </si>
  <si>
    <t>C13P20N1</t>
  </si>
  <si>
    <t>C13P20N2</t>
  </si>
  <si>
    <t>C10P20N21</t>
  </si>
  <si>
    <t>C13P20N4</t>
  </si>
  <si>
    <t>C13P20NH2</t>
  </si>
  <si>
    <t>C10P20N41</t>
  </si>
  <si>
    <t>LOAI 1T(N)</t>
  </si>
  <si>
    <t>Stop by dryer hot air blower bearing motor w/out</t>
  </si>
  <si>
    <t>Carb tank no.1 stirrer motor jammed</t>
  </si>
  <si>
    <t>Warm water pump no.1 worn out</t>
  </si>
  <si>
    <t>Repair hot air blower</t>
  </si>
  <si>
    <t>Run 2 set TSK no.1 &amp; no. 4</t>
  </si>
  <si>
    <t>Sieve screen no. 2 torn out</t>
  </si>
  <si>
    <t>TSK no. 1 jammed</t>
  </si>
  <si>
    <t>tsk no1 masse outlet block</t>
  </si>
  <si>
    <t>C14P20M2</t>
  </si>
  <si>
    <t>C14P20MCB</t>
  </si>
  <si>
    <t>C14P20M3</t>
  </si>
  <si>
    <t>C14P20M4</t>
  </si>
  <si>
    <t>C11P20M21</t>
  </si>
  <si>
    <t>LOA11TN</t>
  </si>
  <si>
    <t>C11P20M41</t>
  </si>
  <si>
    <t>C14P20MH5</t>
  </si>
  <si>
    <t>C14P20AH1</t>
  </si>
  <si>
    <t>C14P20A1</t>
  </si>
  <si>
    <t>C14P20A2</t>
  </si>
  <si>
    <t>C14P20A4</t>
  </si>
  <si>
    <t>C14P20ACB</t>
  </si>
  <si>
    <t>C14P20A3</t>
  </si>
  <si>
    <t>C11P20A41</t>
  </si>
  <si>
    <t>C14P20N4</t>
  </si>
  <si>
    <t>C14P20NH7</t>
  </si>
  <si>
    <t>57/59 F</t>
  </si>
  <si>
    <t>C11P20N21</t>
  </si>
  <si>
    <t>C11P20N41</t>
  </si>
  <si>
    <t>C14P20N1</t>
  </si>
  <si>
    <t>C14P20N2</t>
  </si>
  <si>
    <t>Gearbox and check Dryer</t>
  </si>
  <si>
    <t>Rotex motor belt W/out</t>
  </si>
  <si>
    <t xml:space="preserve">Melter line 2 stop due to repair stirrer </t>
  </si>
  <si>
    <t>V-belt rotex worn out</t>
  </si>
  <si>
    <t>Raw sugar bucket elevator service by w/shop</t>
  </si>
  <si>
    <t>tsk no4 masse outlet block</t>
  </si>
  <si>
    <t>tsk no1 basket lifter roller w out</t>
  </si>
  <si>
    <t>JACK</t>
  </si>
  <si>
    <t>C15P20M4</t>
  </si>
  <si>
    <t>C15P20M3</t>
  </si>
  <si>
    <t>EXA125(P)</t>
  </si>
  <si>
    <t>C15P20M1</t>
  </si>
  <si>
    <t>C15P20M2</t>
  </si>
  <si>
    <t>C12P20M41</t>
  </si>
  <si>
    <t>C12P20M21</t>
  </si>
  <si>
    <t>C15P20MSB</t>
  </si>
  <si>
    <t>2550F</t>
  </si>
  <si>
    <t>C15P20MH3</t>
  </si>
  <si>
    <t>C15P20AH1</t>
  </si>
  <si>
    <t>C15P20A1</t>
  </si>
  <si>
    <t>C15P20A2</t>
  </si>
  <si>
    <t>C15P20A3</t>
  </si>
  <si>
    <t>C15P20A4</t>
  </si>
  <si>
    <t>C12P20A21</t>
  </si>
  <si>
    <t>C12P20A41</t>
  </si>
  <si>
    <t>C15P20N1</t>
  </si>
  <si>
    <t>C15P20N2</t>
  </si>
  <si>
    <t>C15P20N4</t>
  </si>
  <si>
    <t>C15P20NH4</t>
  </si>
  <si>
    <t>70/68 F</t>
  </si>
  <si>
    <t>58 F</t>
  </si>
  <si>
    <t>C12P20N21</t>
  </si>
  <si>
    <t>C12P20N41</t>
  </si>
  <si>
    <t>Manifold chute block0</t>
  </si>
  <si>
    <t>Hot water pump#2 tripped</t>
  </si>
  <si>
    <t>TSK NO.6 electrical problem</t>
  </si>
  <si>
    <t>S1 moll full</t>
  </si>
  <si>
    <t>Cryst no.15 valve jammed</t>
  </si>
  <si>
    <t>Run 2 set ,mass high bx</t>
  </si>
  <si>
    <t>Chilled high temp</t>
  </si>
  <si>
    <t>C16P20M1</t>
  </si>
  <si>
    <t>C16P20M2</t>
  </si>
  <si>
    <t>C16P20MCB</t>
  </si>
  <si>
    <t>C16P20M4</t>
  </si>
  <si>
    <t>C13P20M21</t>
  </si>
  <si>
    <t>LOA11T(R)</t>
  </si>
  <si>
    <t>C16320M41</t>
  </si>
  <si>
    <t>C16P20M3</t>
  </si>
  <si>
    <t>C16P20AH1</t>
  </si>
  <si>
    <t>C16P20A1</t>
  </si>
  <si>
    <t>C16P20A2</t>
  </si>
  <si>
    <t>C16P20A3</t>
  </si>
  <si>
    <t>C16P20A4</t>
  </si>
  <si>
    <t>C13P20A21</t>
  </si>
  <si>
    <t>C13P20A41</t>
  </si>
  <si>
    <t>C19P20N2</t>
  </si>
  <si>
    <t>C16P20N4</t>
  </si>
  <si>
    <t>C13P20N01</t>
  </si>
  <si>
    <t>C16P20N1</t>
  </si>
  <si>
    <t>C13P20N41</t>
  </si>
  <si>
    <t>C16P20NH2</t>
  </si>
  <si>
    <t>Start Plate eva#3</t>
  </si>
  <si>
    <t>TSK#1 stop and replace screen</t>
  </si>
  <si>
    <t>plate eva#1 stop</t>
  </si>
  <si>
    <t>tsk no2 masse outlet block</t>
  </si>
  <si>
    <t>tsk no1 dischager key w out</t>
  </si>
  <si>
    <t>D2 BMA no1 screen w out at 21:30</t>
  </si>
  <si>
    <t>sweco sieve no3 motor running high amp stop at 22:00</t>
  </si>
  <si>
    <t>Raw liq sieve no.3 motor high amp and trip,check</t>
  </si>
  <si>
    <t>by power</t>
  </si>
  <si>
    <t>Valve jammed</t>
  </si>
  <si>
    <t>Chute block block</t>
  </si>
  <si>
    <t>C17P20M1</t>
  </si>
  <si>
    <t>C17P20M2</t>
  </si>
  <si>
    <t>C17P20M4</t>
  </si>
  <si>
    <t>C17P20M3</t>
  </si>
  <si>
    <t>C14P20M41</t>
  </si>
  <si>
    <t>C14P20M21</t>
  </si>
  <si>
    <t>C17P20MSB</t>
  </si>
  <si>
    <t>134F</t>
  </si>
  <si>
    <t>C17P20MH3</t>
  </si>
  <si>
    <t>84F</t>
  </si>
  <si>
    <t>C17P20A1</t>
  </si>
  <si>
    <t>C17P20A2</t>
  </si>
  <si>
    <t>C17P20AH3</t>
  </si>
  <si>
    <t>C17P20A4</t>
  </si>
  <si>
    <t>C17P20ACB</t>
  </si>
  <si>
    <t>C14P20A41</t>
  </si>
  <si>
    <t>LOC1 1TR</t>
  </si>
  <si>
    <t>C14P20A14</t>
  </si>
  <si>
    <t>C17P20N4</t>
  </si>
  <si>
    <t>C17P20N1</t>
  </si>
  <si>
    <t>C14P20N21</t>
  </si>
  <si>
    <t>C17P20N2</t>
  </si>
  <si>
    <t xml:space="preserve">LOC1 </t>
  </si>
  <si>
    <t>C14P20N41</t>
  </si>
  <si>
    <t>C17P20NH2</t>
  </si>
  <si>
    <t>TSK no. 10 start run</t>
  </si>
  <si>
    <t>TSK no. 6 start run</t>
  </si>
  <si>
    <t>Chute blocked</t>
  </si>
  <si>
    <t>Routine service</t>
  </si>
  <si>
    <t>V.pan no. 2 boil water</t>
  </si>
  <si>
    <t>c2 moll full</t>
  </si>
  <si>
    <t xml:space="preserve">replace raw sugar roller </t>
  </si>
  <si>
    <t>s1/s3 mol full</t>
  </si>
  <si>
    <t>level transmeter out of reading [block harden sugar]</t>
  </si>
  <si>
    <t>C18P20M2</t>
  </si>
  <si>
    <t>C18P20M1</t>
  </si>
  <si>
    <t>C15P20M21</t>
  </si>
  <si>
    <t>C15P20M41</t>
  </si>
  <si>
    <t>C18P20M3</t>
  </si>
  <si>
    <t>LOCA25(P)NESTLE</t>
  </si>
  <si>
    <t>C18P20M4</t>
  </si>
  <si>
    <t>C18P20MCB</t>
  </si>
  <si>
    <t>C18P20MH3</t>
  </si>
  <si>
    <t>EMC1/LOC1</t>
  </si>
  <si>
    <t>C18P20A3</t>
  </si>
  <si>
    <t>LOCA 25</t>
  </si>
  <si>
    <t>C15P20A21</t>
  </si>
  <si>
    <t>C15P20A41</t>
  </si>
  <si>
    <t>C18P20ALG</t>
  </si>
  <si>
    <t>LOGI</t>
  </si>
  <si>
    <t>C18P20A4</t>
  </si>
  <si>
    <t>C18P20A1</t>
  </si>
  <si>
    <t>LOC1 1T (R)</t>
  </si>
  <si>
    <t>C18P20AH7</t>
  </si>
  <si>
    <t>C18P20A2</t>
  </si>
  <si>
    <t>C18P20N4</t>
  </si>
  <si>
    <t>C18P20N2</t>
  </si>
  <si>
    <t>C18P20N1</t>
  </si>
  <si>
    <t>C15P20N41</t>
  </si>
  <si>
    <t>LOC11T [R]</t>
  </si>
  <si>
    <t>180 F</t>
  </si>
  <si>
    <t>Total packing output (tons)</t>
  </si>
  <si>
    <t>Sieve no.3 body out of position</t>
  </si>
  <si>
    <t>C2 moll ful</t>
  </si>
  <si>
    <t>V.pan 9replace sight glass packing</t>
  </si>
  <si>
    <t>mol pump # 2motor v-belt w/out</t>
  </si>
  <si>
    <t xml:space="preserve">C1 PUMP NO#2 MOTOR V BELT W/OUT </t>
  </si>
  <si>
    <t>TSK NO#2 CHUTE BLOCK</t>
  </si>
  <si>
    <t>S1/S3 MOL FULL</t>
  </si>
  <si>
    <t>AFF RAW LIQ RECEIVER TANK PIPE LEAKING</t>
  </si>
  <si>
    <t>MORNING SHIFT PLEASE INFO W/SHOP</t>
  </si>
  <si>
    <t>C19P20M3</t>
  </si>
  <si>
    <t>C19P20M4</t>
  </si>
  <si>
    <t>C16P20M21</t>
  </si>
  <si>
    <t>C16P20M41</t>
  </si>
  <si>
    <t>C19P20M1</t>
  </si>
  <si>
    <t>C19P20MH1</t>
  </si>
  <si>
    <t>C19P20M2</t>
  </si>
  <si>
    <t>C19P20AH1</t>
  </si>
  <si>
    <t>C19P20A2</t>
  </si>
  <si>
    <t>C19P20A3</t>
  </si>
  <si>
    <t>C19P20A4</t>
  </si>
  <si>
    <t>C16P20A21</t>
  </si>
  <si>
    <t>C16P20A41</t>
  </si>
  <si>
    <t>C19P20N1</t>
  </si>
  <si>
    <t>C19P20N4</t>
  </si>
  <si>
    <t>C19P20NH5</t>
  </si>
  <si>
    <t>76F</t>
  </si>
  <si>
    <t>C16P20N21</t>
  </si>
  <si>
    <t>C16P20N41</t>
  </si>
  <si>
    <t>74F</t>
  </si>
  <si>
    <t>tsk no # 3 rubber chute leaking repair by w / shop from</t>
  </si>
  <si>
    <t>regulation tank pipe packing leaking repair by w / shop</t>
  </si>
  <si>
    <t>from</t>
  </si>
  <si>
    <t>s1 mol full from</t>
  </si>
  <si>
    <t>routine service</t>
  </si>
  <si>
    <t>c2 mol full from</t>
  </si>
  <si>
    <t>L4 tsk no # 2 replace dischager key by w / shop from</t>
  </si>
  <si>
    <t>l4 tsk no # 2 dischager alway stuck check by p / plan</t>
  </si>
  <si>
    <t xml:space="preserve">dischager w / out. from </t>
  </si>
  <si>
    <t>Dryer stop replace extraction fan v.belt</t>
  </si>
  <si>
    <t>S1/S3 moll full</t>
  </si>
  <si>
    <t>Minifold block</t>
  </si>
  <si>
    <t>LIM</t>
  </si>
  <si>
    <t>C20P20MH1</t>
  </si>
  <si>
    <t>C20P20M2</t>
  </si>
  <si>
    <t>C20P20M4</t>
  </si>
  <si>
    <t>C17P20M41</t>
  </si>
  <si>
    <t>C20P20MCB</t>
  </si>
  <si>
    <t>C20P20M1</t>
  </si>
  <si>
    <t>C17P20M21</t>
  </si>
  <si>
    <t>C20P20ALG</t>
  </si>
  <si>
    <t>C20P20A4</t>
  </si>
  <si>
    <t>C20P20A2X</t>
  </si>
  <si>
    <t>C17P20A41</t>
  </si>
  <si>
    <t>C20P20A2</t>
  </si>
  <si>
    <t>C20P20N2</t>
  </si>
  <si>
    <t>C20P20N1</t>
  </si>
  <si>
    <t>C20P20N4</t>
  </si>
  <si>
    <t>C17P20N21</t>
  </si>
  <si>
    <t>C17P20N41</t>
  </si>
  <si>
    <t>tsk no2 masse valve jammed</t>
  </si>
  <si>
    <t>cryst 5 outlet block</t>
  </si>
  <si>
    <t>9;35</t>
  </si>
  <si>
    <t>Stop chute block</t>
  </si>
  <si>
    <t>TSK NO#1 ELECTRICAL FAUIT CHECK BY POWER</t>
  </si>
  <si>
    <t>SCREEN PREMIGLER N OUTLET CHUTE BLOCK</t>
  </si>
  <si>
    <t>Shahrul</t>
  </si>
  <si>
    <t>C21P20M1</t>
  </si>
  <si>
    <t>59 F</t>
  </si>
  <si>
    <t>C21P20M2</t>
  </si>
  <si>
    <t>C21P20MH2</t>
  </si>
  <si>
    <t>C18P20M21</t>
  </si>
  <si>
    <t>C18P20M41</t>
  </si>
  <si>
    <t>C21P20M4</t>
  </si>
  <si>
    <t>C21P20MSB</t>
  </si>
  <si>
    <t>C21P20M3</t>
  </si>
  <si>
    <t>C21P20A2</t>
  </si>
  <si>
    <t>SPCA</t>
  </si>
  <si>
    <t>C21P20AGP</t>
  </si>
  <si>
    <t>C18P20A21</t>
  </si>
  <si>
    <t>C18P20A41</t>
  </si>
  <si>
    <t>C21P20A4</t>
  </si>
  <si>
    <t>C21P20AH3</t>
  </si>
  <si>
    <t>C21P20A1</t>
  </si>
  <si>
    <t>C21P20N2</t>
  </si>
  <si>
    <t>C21P20N1</t>
  </si>
  <si>
    <t>C21P20NH13</t>
  </si>
  <si>
    <t>67F</t>
  </si>
  <si>
    <t>C21P20N4</t>
  </si>
  <si>
    <t>C18P20N21</t>
  </si>
  <si>
    <t>C18P20N41</t>
  </si>
  <si>
    <t>filter no11 turbid and stop fr 11:30</t>
  </si>
  <si>
    <t>Stop dryer lump screw vonveyor trip</t>
  </si>
  <si>
    <t>Monifold outlet chute blocked</t>
  </si>
  <si>
    <t>s1/s3 moll full</t>
  </si>
  <si>
    <t>AZLI</t>
  </si>
  <si>
    <t>C22P20M1</t>
  </si>
  <si>
    <t>C22P20M2</t>
  </si>
  <si>
    <t>C22P20MH4</t>
  </si>
  <si>
    <t>70/69 F</t>
  </si>
  <si>
    <t>LOA1 500MM</t>
  </si>
  <si>
    <t>56/37</t>
  </si>
  <si>
    <t>C22P20M4</t>
  </si>
  <si>
    <t>C19P20M41</t>
  </si>
  <si>
    <t>C22P20MCB</t>
  </si>
  <si>
    <t>C22P20A4</t>
  </si>
  <si>
    <t>C19P20A21</t>
  </si>
  <si>
    <t>C22P20A1</t>
  </si>
  <si>
    <t>C19P20A41</t>
  </si>
  <si>
    <t>C22P20AGP</t>
  </si>
  <si>
    <t>C22P20A2</t>
  </si>
  <si>
    <t>C22P20N1</t>
  </si>
  <si>
    <t>C22P20N2</t>
  </si>
  <si>
    <t>C22P20N4</t>
  </si>
  <si>
    <t>C19P20N21</t>
  </si>
  <si>
    <t>C19P20N41</t>
  </si>
  <si>
    <t>replace spring fiber 3 pcs</t>
  </si>
  <si>
    <t>dryer checking</t>
  </si>
  <si>
    <t>tsk # 1 &amp; tsk # 4 mass outlet chute block</t>
  </si>
  <si>
    <t>tsk # 1 autovalve jammed</t>
  </si>
  <si>
    <t>Service Weigher</t>
  </si>
  <si>
    <t>TSK#4 electrical FAULT</t>
  </si>
  <si>
    <t>TSK#7 replace w/screen</t>
  </si>
  <si>
    <t>TSK#3 replace w/screen</t>
  </si>
  <si>
    <t>TSK#9 replace detector</t>
  </si>
  <si>
    <t>TSK no.9 replace detector</t>
  </si>
  <si>
    <t>To replace discharger key</t>
  </si>
  <si>
    <t>C23P20M1</t>
  </si>
  <si>
    <t>C23P20M21</t>
  </si>
  <si>
    <t>C23P20MH6</t>
  </si>
  <si>
    <t>LOA1 500(MM)</t>
  </si>
  <si>
    <t>C20P20M41</t>
  </si>
  <si>
    <t>C23P20MCB</t>
  </si>
  <si>
    <t>C23P20M3</t>
  </si>
  <si>
    <t>LOCA 25(P)</t>
  </si>
  <si>
    <t>C23P20MM4</t>
  </si>
  <si>
    <t>LOIG CX</t>
  </si>
  <si>
    <t>C23P20M4</t>
  </si>
  <si>
    <t>LOA1 IT(N)</t>
  </si>
  <si>
    <t>C23P20A4</t>
  </si>
  <si>
    <t>C23P20AH1</t>
  </si>
  <si>
    <t>C23P20AC</t>
  </si>
  <si>
    <t>29F</t>
  </si>
  <si>
    <t>C23P20ACB</t>
  </si>
  <si>
    <t>303F</t>
  </si>
  <si>
    <t>C23P20A1</t>
  </si>
  <si>
    <t>55F</t>
  </si>
  <si>
    <t>C23P20A2</t>
  </si>
  <si>
    <t>122F</t>
  </si>
  <si>
    <t>58F</t>
  </si>
  <si>
    <t>C20P20A21</t>
  </si>
  <si>
    <t>75F</t>
  </si>
  <si>
    <t>C20P20A41</t>
  </si>
  <si>
    <t>C23P20N4</t>
  </si>
  <si>
    <t>C23P20N1</t>
  </si>
  <si>
    <t>C23P20N2</t>
  </si>
  <si>
    <t>C23P20NH3</t>
  </si>
  <si>
    <t>C23P20NA</t>
  </si>
  <si>
    <t>C20P20N21</t>
  </si>
  <si>
    <t>C20P20N41</t>
  </si>
  <si>
    <t>Stop replace cake washing pipe</t>
  </si>
  <si>
    <t>Stop chute block,service by workshop</t>
  </si>
  <si>
    <t>Stop moll full</t>
  </si>
  <si>
    <t>TSK no.7 stop oil pump leaking</t>
  </si>
  <si>
    <t xml:space="preserve">L2 stop replace 1set aoto valve </t>
  </si>
  <si>
    <t>Stop c2 moll full</t>
  </si>
  <si>
    <t>Computer system failure</t>
  </si>
  <si>
    <t>Plate eva. no.1 system failure. Run Plate no.3</t>
  </si>
  <si>
    <t>IG, C1 level reading failure</t>
  </si>
  <si>
    <t>x1</t>
  </si>
  <si>
    <t>C24P20M2</t>
  </si>
  <si>
    <t>10+5</t>
  </si>
  <si>
    <t>C24P20M1</t>
  </si>
  <si>
    <t>C24P20M3</t>
  </si>
  <si>
    <t>C21P20M41</t>
  </si>
  <si>
    <t>C24P20M4</t>
  </si>
  <si>
    <t>C21P20M21</t>
  </si>
  <si>
    <t>C24P20MH1</t>
  </si>
  <si>
    <t>C24P20MA</t>
  </si>
  <si>
    <t>C24P20MCB</t>
  </si>
  <si>
    <t>C23P20MA1</t>
  </si>
  <si>
    <t>C24P20A1</t>
  </si>
  <si>
    <t>C24P20A2</t>
  </si>
  <si>
    <t>C24P20A3</t>
  </si>
  <si>
    <t>LOC125(P)</t>
  </si>
  <si>
    <t>C24P20A4</t>
  </si>
  <si>
    <t>LOCX500</t>
  </si>
  <si>
    <t>C24P20AGP</t>
  </si>
  <si>
    <t>C21P20A21</t>
  </si>
  <si>
    <t>C24P20AH7</t>
  </si>
  <si>
    <t>LOCA1T</t>
  </si>
  <si>
    <t>C24P20N1</t>
  </si>
  <si>
    <t>C24P20N2</t>
  </si>
  <si>
    <t>C24P20N4</t>
  </si>
  <si>
    <t>C24P20NH1</t>
  </si>
  <si>
    <t>C21P20N21</t>
  </si>
  <si>
    <t>C21P20N41</t>
  </si>
  <si>
    <t>TSK#8 screen torn</t>
  </si>
  <si>
    <t>TSK no.9 screen torn out</t>
  </si>
  <si>
    <t>Spring nut worn out. Repair by w/shop</t>
  </si>
  <si>
    <t>C22P20M21</t>
  </si>
  <si>
    <t>C25P20M1</t>
  </si>
  <si>
    <t>C25P20M2</t>
  </si>
  <si>
    <t>C25P20M4</t>
  </si>
  <si>
    <t>C25P20M3</t>
  </si>
  <si>
    <t>C25P20MSB</t>
  </si>
  <si>
    <t>C25P20MH3</t>
  </si>
  <si>
    <t>C22P20A41</t>
  </si>
  <si>
    <t>C25P20A3</t>
  </si>
  <si>
    <t>C25P20A1</t>
  </si>
  <si>
    <t>C25P20A2</t>
  </si>
  <si>
    <t>C22P20A21</t>
  </si>
  <si>
    <t>C25P20ACB</t>
  </si>
  <si>
    <t>C25P20AH2</t>
  </si>
  <si>
    <t>C25P20N1</t>
  </si>
  <si>
    <t>C25P20N2</t>
  </si>
  <si>
    <t>C25P20NH3</t>
  </si>
  <si>
    <t>C22P20N21</t>
  </si>
  <si>
    <t>C22P20N41</t>
  </si>
  <si>
    <t>cryst #4 auto valve jammed</t>
  </si>
  <si>
    <t>#9 screen worn out replace by w/shop</t>
  </si>
  <si>
    <t>#12 rubber chute worn out</t>
  </si>
  <si>
    <t xml:space="preserve">R&amp;B no # 1 pleat body leaking check and repair by </t>
  </si>
  <si>
    <t>w / shop from</t>
  </si>
  <si>
    <t>pan # 7 stop to replace steam condesate pipe from</t>
  </si>
  <si>
    <t>C26P20MH7</t>
  </si>
  <si>
    <t>C26P20M1</t>
  </si>
  <si>
    <t>C26P20M2</t>
  </si>
  <si>
    <t>52 F</t>
  </si>
  <si>
    <t>C26P20M4</t>
  </si>
  <si>
    <t>28 F</t>
  </si>
  <si>
    <t>74 F</t>
  </si>
  <si>
    <t>C23P20M41</t>
  </si>
  <si>
    <t>C26P20MA</t>
  </si>
  <si>
    <t>SPIC 25 DL</t>
  </si>
  <si>
    <t>55 F</t>
  </si>
  <si>
    <t>LOIG1T MDD</t>
  </si>
  <si>
    <t>C26P20M3</t>
  </si>
  <si>
    <t>2nd                  18</t>
  </si>
  <si>
    <t>2nd                  13</t>
  </si>
  <si>
    <t>2nd                   9</t>
  </si>
  <si>
    <t>2nd               -</t>
  </si>
  <si>
    <t>C26P20A4</t>
  </si>
  <si>
    <t>C26P20AH1</t>
  </si>
  <si>
    <t>C26P20A1</t>
  </si>
  <si>
    <t>C26P20A2</t>
  </si>
  <si>
    <t>C26P20A3</t>
  </si>
  <si>
    <t>C23P20A21</t>
  </si>
  <si>
    <t>C26P20N1</t>
  </si>
  <si>
    <t>C26P20N2</t>
  </si>
  <si>
    <t>C26P20N4</t>
  </si>
  <si>
    <t>LOCI 1TR</t>
  </si>
  <si>
    <t>C26P20NH3</t>
  </si>
  <si>
    <t>C26P20NA</t>
  </si>
  <si>
    <t>C23P20N21</t>
  </si>
  <si>
    <t>C23P20N41</t>
  </si>
  <si>
    <t>OKI</t>
  </si>
  <si>
    <t>S1 MOL FULL</t>
  </si>
  <si>
    <t>BODY  BLOCK AND LEAKING</t>
  </si>
  <si>
    <t>C1 MOL SEIVE NO#1 MOTOR SPRING W/OUT</t>
  </si>
  <si>
    <t>REPLACE PACKING FROM MAIN PUMP TO SWECO</t>
  </si>
  <si>
    <t>NEW MOL PUMP PANEL TRIPPED</t>
  </si>
  <si>
    <t>tsk filter no # 7 stop due to all side grlass turbid  from</t>
  </si>
  <si>
    <t>tsk no # 1 valve jammed heat by w / shop from</t>
  </si>
  <si>
    <t>cryst no # 5a valve jammed heat by w / shop from</t>
  </si>
  <si>
    <t>bucket elev key sporcket w out</t>
  </si>
  <si>
    <t>cryst6 valve jammed</t>
  </si>
  <si>
    <t>mol cannot in auto mood check by p plant</t>
  </si>
  <si>
    <t>C27P20M1</t>
  </si>
  <si>
    <t>C27P20M2</t>
  </si>
  <si>
    <t>C27P20M3</t>
  </si>
  <si>
    <t>C27P20M4</t>
  </si>
  <si>
    <t>C24P20M41</t>
  </si>
  <si>
    <t>LOID1TMDD</t>
  </si>
  <si>
    <t>LOCA1T(R)</t>
  </si>
  <si>
    <t>C27P20MC</t>
  </si>
  <si>
    <t>EXC125</t>
  </si>
  <si>
    <t>C27P20M21</t>
  </si>
  <si>
    <t>LOA1500</t>
  </si>
  <si>
    <t>C27P20MSB</t>
  </si>
  <si>
    <t>C27P20ACB</t>
  </si>
  <si>
    <t>C27P20A1</t>
  </si>
  <si>
    <t>C27P20A2</t>
  </si>
  <si>
    <t>C27P20AH1</t>
  </si>
  <si>
    <t>C27P20A4</t>
  </si>
  <si>
    <t>C24P20A21</t>
  </si>
  <si>
    <t>C24P20A41</t>
  </si>
  <si>
    <t>C27P20N1</t>
  </si>
  <si>
    <t>C27P20N2</t>
  </si>
  <si>
    <t>C27P20N4</t>
  </si>
  <si>
    <t>C27P20NH6</t>
  </si>
  <si>
    <t>C24P20N21</t>
  </si>
  <si>
    <t>C24P20N41</t>
  </si>
  <si>
    <t>high Amp</t>
  </si>
  <si>
    <t>stop and replace coupling fluid</t>
  </si>
  <si>
    <t>TSK#12 replace w/screen</t>
  </si>
  <si>
    <t>Mol seive MCB trippd</t>
  </si>
  <si>
    <t xml:space="preserve">Plate 1 start </t>
  </si>
  <si>
    <t>mol seive MCB tripped</t>
  </si>
  <si>
    <t>TSK no. 7 replace discharger key</t>
  </si>
  <si>
    <t>Sweco sieve screen torn out.  (Continue)</t>
  </si>
  <si>
    <t>D2 sieve motor worn out</t>
  </si>
  <si>
    <t>Cryst no.5 auto valve jammed</t>
  </si>
  <si>
    <t>C28P20M1</t>
  </si>
  <si>
    <t>C28P20M2</t>
  </si>
  <si>
    <t>C28P20M4</t>
  </si>
  <si>
    <t>EMIGFF</t>
  </si>
  <si>
    <t>C28P20M3</t>
  </si>
  <si>
    <t>C28P20MCB</t>
  </si>
  <si>
    <t>C28P20A1</t>
  </si>
  <si>
    <t>C28P20AGP</t>
  </si>
  <si>
    <t>C25P20A21</t>
  </si>
  <si>
    <t>C25P20A41</t>
  </si>
  <si>
    <t>C28P20A4</t>
  </si>
  <si>
    <t>C28P20A2</t>
  </si>
  <si>
    <t>C28P20AH1</t>
  </si>
  <si>
    <t>C28P20N2</t>
  </si>
  <si>
    <t>C28P20N1</t>
  </si>
  <si>
    <t>C28P20N4</t>
  </si>
  <si>
    <t>C28P20N21</t>
  </si>
  <si>
    <t>C28P20N41</t>
  </si>
  <si>
    <t>C28P20NH3</t>
  </si>
  <si>
    <t>C1 MOL FULL</t>
  </si>
  <si>
    <t>L1 MOL SIEVE NO#2 STOP REPLACE SCREEN</t>
  </si>
  <si>
    <t>TSK  NO#1 CHUTE BLOCK SERVICE BY WOKSHOP</t>
  </si>
  <si>
    <t>ROUTINE SERVICE</t>
  </si>
  <si>
    <t>IG MOL FULL</t>
  </si>
  <si>
    <t>to clear masse at vimex</t>
  </si>
  <si>
    <t>tsk no2 replace cake detector</t>
  </si>
  <si>
    <t>cryst 5A valve jammed</t>
  </si>
  <si>
    <t>v pans no3 c1 mo pipe[feed pipe]block</t>
  </si>
  <si>
    <t>v pan no6 run back[boil water at 17:00-18:00]</t>
  </si>
  <si>
    <t>Cryst no.1 auto valve jammed</t>
  </si>
  <si>
    <t>C29P20M2</t>
  </si>
  <si>
    <t>C29P20M1</t>
  </si>
  <si>
    <t>C29P20M4</t>
  </si>
  <si>
    <t>C29P20M3</t>
  </si>
  <si>
    <t>LOA125</t>
  </si>
  <si>
    <t>C26P20M41</t>
  </si>
  <si>
    <t>C26P20M21</t>
  </si>
  <si>
    <t>C29P20MH3</t>
  </si>
  <si>
    <t>C29P20MSB</t>
  </si>
  <si>
    <t>C29P20MA</t>
  </si>
  <si>
    <t>C29P20AH7</t>
  </si>
  <si>
    <t>C29P20A1</t>
  </si>
  <si>
    <t>C29P20A2</t>
  </si>
  <si>
    <t>C29P20A3</t>
  </si>
  <si>
    <t>58/52 FAIL</t>
  </si>
  <si>
    <t>C29P20A4</t>
  </si>
  <si>
    <t>C26P20A41</t>
  </si>
  <si>
    <t>C26P20A21</t>
  </si>
  <si>
    <t>C26P20N41</t>
  </si>
  <si>
    <t>C29P20N2</t>
  </si>
  <si>
    <t>C29P20N1</t>
  </si>
  <si>
    <t>C29P20N4</t>
  </si>
  <si>
    <t>C29P20NH1</t>
  </si>
  <si>
    <t>C26P20N21</t>
  </si>
  <si>
    <t>Line 1 TSK stop due to SWater auto valve leaking</t>
  </si>
  <si>
    <t xml:space="preserve">C1 mol pump electrical problem </t>
  </si>
  <si>
    <t>Mol sieve no.1 motor worn out</t>
  </si>
  <si>
    <t>Bucket elevator tripped</t>
  </si>
  <si>
    <t>Cryst. 6 valve jammed</t>
  </si>
  <si>
    <t>C1 mol full</t>
  </si>
  <si>
    <t>IG mol full</t>
  </si>
  <si>
    <t>Cooling Tower for L1 &amp; L4 stop for repair leaking</t>
  </si>
  <si>
    <t>r sugar belt no3 rep roller</t>
  </si>
  <si>
    <t>TSK stop chute block</t>
  </si>
  <si>
    <t>C30P20M1</t>
  </si>
  <si>
    <t>C30P20M2</t>
  </si>
  <si>
    <t>C30P20MH1</t>
  </si>
  <si>
    <t>C30P20MA</t>
  </si>
  <si>
    <t>C30P20M3</t>
  </si>
  <si>
    <t>C30P20M4</t>
  </si>
  <si>
    <t>C27P20M41</t>
  </si>
  <si>
    <t>C30P20AH7</t>
  </si>
  <si>
    <t>C30P20ACB</t>
  </si>
  <si>
    <t>C27P20AQ21</t>
  </si>
  <si>
    <t>C30P20A4</t>
  </si>
  <si>
    <t>34 F</t>
  </si>
  <si>
    <t>C27P20A41</t>
  </si>
  <si>
    <t>C30P20A1</t>
  </si>
  <si>
    <t>C30P20A2</t>
  </si>
  <si>
    <t>C30P20N4</t>
  </si>
  <si>
    <t>ok</t>
  </si>
  <si>
    <t>C27P20N21</t>
  </si>
  <si>
    <t>C27P20N41</t>
  </si>
  <si>
    <t>C30P20N1</t>
  </si>
  <si>
    <t>C30P20N2</t>
  </si>
  <si>
    <t>C30P20NH</t>
  </si>
  <si>
    <t>oK</t>
  </si>
  <si>
    <t>NO</t>
  </si>
  <si>
    <t>SKU</t>
  </si>
  <si>
    <t>SAP</t>
  </si>
  <si>
    <t>KEY</t>
  </si>
  <si>
    <t>Initial</t>
  </si>
  <si>
    <t>LOA1-500</t>
  </si>
  <si>
    <t>Forecast</t>
  </si>
  <si>
    <t>Total OR</t>
  </si>
  <si>
    <t>Prod Plan</t>
  </si>
  <si>
    <t>Prod Receipt</t>
  </si>
  <si>
    <t>Total Suppy</t>
  </si>
  <si>
    <t>Closing Stks</t>
  </si>
  <si>
    <t>LOA11T</t>
  </si>
  <si>
    <t>LOCA25(P)</t>
  </si>
  <si>
    <t>LOCA-900</t>
  </si>
  <si>
    <t>LOIGCX-25</t>
  </si>
  <si>
    <t>LOIG1T</t>
  </si>
  <si>
    <t>SPCG1</t>
  </si>
  <si>
    <t>BULK</t>
  </si>
  <si>
    <t>Curing</t>
  </si>
  <si>
    <t>Liquid Sugar</t>
  </si>
  <si>
    <t>Packing</t>
  </si>
  <si>
    <t>Boiler House</t>
  </si>
  <si>
    <t>Powerplant</t>
  </si>
  <si>
    <t>Raw Sugar Melt (MT)</t>
  </si>
  <si>
    <t>Total Packed (w/o WH stock)</t>
  </si>
  <si>
    <t>Bin Balance (MT)</t>
  </si>
  <si>
    <t>Packing yield %</t>
  </si>
  <si>
    <t>Final Yield %</t>
  </si>
  <si>
    <t>Steam (MT)</t>
  </si>
  <si>
    <t>Final Yield%</t>
  </si>
  <si>
    <t>Packing Yield%</t>
  </si>
  <si>
    <t>WK 49</t>
  </si>
  <si>
    <t>WK 50</t>
  </si>
  <si>
    <t>WK 51</t>
  </si>
  <si>
    <t>WK 52</t>
  </si>
  <si>
    <t>WK 1</t>
  </si>
  <si>
    <t>WH Stock for Liquid Melt</t>
  </si>
  <si>
    <t>MTD Dec</t>
  </si>
  <si>
    <t>DAILY SUMMARY BY WEEK</t>
  </si>
  <si>
    <t>Current</t>
  </si>
  <si>
    <t>Day</t>
  </si>
  <si>
    <t>Pack yield%</t>
  </si>
  <si>
    <t>Final yield%</t>
  </si>
  <si>
    <t>con</t>
  </si>
  <si>
    <t>Plan</t>
  </si>
  <si>
    <t>Actual</t>
  </si>
  <si>
    <t>Daily % of compliance to planned order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</si>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</sst>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"/>
    <numFmt numFmtId="167" formatCode="_-* #,##0_-;\-* #,##0_-;_-* &quot;-&quot;??_-;_-@_-"/>
    <numFmt numFmtId="168" formatCode="[h]:mm"/>
    <numFmt numFmtId="169" formatCode="0.0%"/>
    <numFmt numFmtId="170" formatCode="#,##0_ ;[Red]\-#,##0\ "/>
  </numFmts>
  <fonts count="3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1"/>
      <name val="Calibri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1"/>
      <name val="Verdana"/>
      <family val="2"/>
    </font>
    <font>
      <b/>
      <sz val="10"/>
      <name val="Arial"/>
      <family val="2"/>
    </font>
    <font>
      <b/>
      <sz val="9"/>
      <name val="Arial"/>
      <family val="2"/>
    </font>
    <font>
      <b/>
      <u/>
      <sz val="14"/>
      <name val="Arial"/>
      <family val="2"/>
    </font>
    <font>
      <u/>
      <sz val="10"/>
      <color theme="10"/>
      <name val="Arial"/>
      <family val="2"/>
    </font>
    <font>
      <b/>
      <u/>
      <sz val="14"/>
      <color rgb="FF002060"/>
      <name val="Arial"/>
      <family val="2"/>
    </font>
    <font>
      <b/>
      <sz val="16"/>
      <name val="Arial"/>
      <family val="2"/>
    </font>
    <font>
      <b/>
      <u/>
      <sz val="14"/>
      <color theme="10"/>
      <name val="Arial"/>
      <family val="2"/>
    </font>
    <font>
      <b/>
      <sz val="1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1" tint="0.89999084444715716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7">
    <xf numFmtId="0" fontId="0" fillId="0" borderId="0"/>
    <xf numFmtId="43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4" fillId="0" borderId="0"/>
    <xf numFmtId="0" fontId="20" fillId="0" borderId="0"/>
    <xf numFmtId="43" fontId="20" fillId="0" borderId="0" applyFont="0" applyFill="0" applyBorder="0" applyAlignment="0" applyProtection="0"/>
    <xf numFmtId="0" fontId="7" fillId="0" borderId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4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4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4" fillId="0" borderId="0" applyNumberForma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487">
    <xf numFmtId="0" fontId="0" fillId="0" borderId="0" xfId="0"/>
    <xf numFmtId="0" fontId="0" fillId="0" borderId="0" xfId="0" applyFill="1" applyBorder="1"/>
    <xf numFmtId="167" fontId="0" fillId="0" borderId="0" xfId="1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167" fontId="0" fillId="0" borderId="0" xfId="0" applyNumberFormat="1" applyAlignment="1"/>
    <xf numFmtId="167" fontId="12" fillId="4" borderId="0" xfId="1" applyNumberFormat="1" applyFont="1" applyFill="1" applyAlignment="1">
      <alignment horizontal="center" vertical="center"/>
    </xf>
    <xf numFmtId="167" fontId="15" fillId="4" borderId="0" xfId="1" applyNumberFormat="1" applyFont="1" applyFill="1" applyAlignment="1">
      <alignment vertical="center"/>
    </xf>
    <xf numFmtId="0" fontId="12" fillId="0" borderId="0" xfId="0" applyFont="1" applyAlignment="1">
      <alignment vertical="center"/>
    </xf>
    <xf numFmtId="0" fontId="15" fillId="0" borderId="0" xfId="0" applyFont="1" applyFill="1"/>
    <xf numFmtId="0" fontId="15" fillId="0" borderId="0" xfId="0" applyFont="1" applyFill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167" fontId="12" fillId="7" borderId="17" xfId="1" applyNumberFormat="1" applyFont="1" applyFill="1" applyBorder="1" applyAlignment="1">
      <alignment horizontal="center" vertical="center" wrapText="1"/>
    </xf>
    <xf numFmtId="167" fontId="12" fillId="3" borderId="17" xfId="1" applyNumberFormat="1" applyFont="1" applyFill="1" applyBorder="1" applyAlignment="1">
      <alignment horizontal="center" vertical="center" wrapText="1"/>
    </xf>
    <xf numFmtId="167" fontId="15" fillId="4" borderId="23" xfId="1" applyNumberFormat="1" applyFont="1" applyFill="1" applyBorder="1"/>
    <xf numFmtId="167" fontId="15" fillId="4" borderId="24" xfId="1" applyNumberFormat="1" applyFont="1" applyFill="1" applyBorder="1"/>
    <xf numFmtId="0" fontId="12" fillId="0" borderId="7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167" fontId="15" fillId="4" borderId="48" xfId="1" applyNumberFormat="1" applyFont="1" applyFill="1" applyBorder="1" applyAlignment="1">
      <alignment vertical="center"/>
    </xf>
    <xf numFmtId="0" fontId="12" fillId="4" borderId="48" xfId="0" applyFont="1" applyFill="1" applyBorder="1" applyAlignment="1">
      <alignment vertical="center"/>
    </xf>
    <xf numFmtId="0" fontId="0" fillId="0" borderId="0" xfId="0" applyFont="1" applyFill="1"/>
    <xf numFmtId="1" fontId="12" fillId="0" borderId="0" xfId="0" applyNumberFormat="1" applyFont="1" applyFill="1" applyBorder="1" applyAlignment="1">
      <alignment horizontal="center"/>
    </xf>
    <xf numFmtId="166" fontId="15" fillId="0" borderId="0" xfId="0" applyNumberFormat="1" applyFont="1" applyFill="1" applyBorder="1" applyAlignment="1">
      <alignment horizontal="center"/>
    </xf>
    <xf numFmtId="0" fontId="12" fillId="8" borderId="13" xfId="0" applyFont="1" applyFill="1" applyBorder="1" applyAlignment="1">
      <alignment horizontal="center" vertical="center"/>
    </xf>
    <xf numFmtId="167" fontId="12" fillId="8" borderId="17" xfId="1" applyNumberFormat="1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/>
    </xf>
    <xf numFmtId="0" fontId="15" fillId="4" borderId="53" xfId="0" applyFont="1" applyFill="1" applyBorder="1" applyAlignment="1">
      <alignment horizontal="center" vertical="center"/>
    </xf>
    <xf numFmtId="167" fontId="15" fillId="4" borderId="22" xfId="1" applyNumberFormat="1" applyFont="1" applyFill="1" applyBorder="1"/>
    <xf numFmtId="0" fontId="12" fillId="4" borderId="0" xfId="0" applyFont="1" applyFill="1" applyBorder="1" applyAlignment="1">
      <alignment vertical="center"/>
    </xf>
    <xf numFmtId="167" fontId="15" fillId="4" borderId="7" xfId="1" applyNumberFormat="1" applyFont="1" applyFill="1" applyBorder="1" applyAlignment="1">
      <alignment horizontal="center"/>
    </xf>
    <xf numFmtId="167" fontId="15" fillId="4" borderId="46" xfId="1" applyNumberFormat="1" applyFont="1" applyFill="1" applyBorder="1" applyAlignment="1">
      <alignment horizontal="center"/>
    </xf>
    <xf numFmtId="167" fontId="0" fillId="0" borderId="0" xfId="0" applyNumberFormat="1"/>
    <xf numFmtId="0" fontId="15" fillId="7" borderId="22" xfId="0" quotePrefix="1" applyFont="1" applyFill="1" applyBorder="1" applyAlignment="1">
      <alignment horizontal="center" vertical="center"/>
    </xf>
    <xf numFmtId="0" fontId="15" fillId="7" borderId="23" xfId="0" quotePrefix="1" applyFont="1" applyFill="1" applyBorder="1" applyAlignment="1">
      <alignment horizontal="center" vertical="center"/>
    </xf>
    <xf numFmtId="167" fontId="15" fillId="7" borderId="11" xfId="1" applyNumberFormat="1" applyFont="1" applyFill="1" applyBorder="1"/>
    <xf numFmtId="0" fontId="15" fillId="7" borderId="24" xfId="0" quotePrefix="1" applyFont="1" applyFill="1" applyBorder="1" applyAlignment="1">
      <alignment horizontal="center" vertical="center"/>
    </xf>
    <xf numFmtId="167" fontId="15" fillId="7" borderId="13" xfId="1" applyNumberFormat="1" applyFont="1" applyFill="1" applyBorder="1"/>
    <xf numFmtId="0" fontId="15" fillId="8" borderId="22" xfId="0" quotePrefix="1" applyFont="1" applyFill="1" applyBorder="1" applyAlignment="1">
      <alignment horizontal="center" vertical="center"/>
    </xf>
    <xf numFmtId="0" fontId="15" fillId="8" borderId="23" xfId="0" quotePrefix="1" applyFont="1" applyFill="1" applyBorder="1" applyAlignment="1">
      <alignment horizontal="center" vertical="center"/>
    </xf>
    <xf numFmtId="0" fontId="15" fillId="8" borderId="24" xfId="0" quotePrefix="1" applyFont="1" applyFill="1" applyBorder="1" applyAlignment="1">
      <alignment horizontal="center" vertical="center"/>
    </xf>
    <xf numFmtId="0" fontId="15" fillId="3" borderId="22" xfId="0" quotePrefix="1" applyFont="1" applyFill="1" applyBorder="1" applyAlignment="1">
      <alignment horizontal="center" vertical="center"/>
    </xf>
    <xf numFmtId="0" fontId="15" fillId="3" borderId="23" xfId="0" quotePrefix="1" applyFont="1" applyFill="1" applyBorder="1" applyAlignment="1">
      <alignment horizontal="center" vertical="center"/>
    </xf>
    <xf numFmtId="0" fontId="15" fillId="3" borderId="24" xfId="0" quotePrefix="1" applyFont="1" applyFill="1" applyBorder="1" applyAlignment="1">
      <alignment horizontal="center" vertical="center"/>
    </xf>
    <xf numFmtId="167" fontId="15" fillId="7" borderId="32" xfId="1" applyNumberFormat="1" applyFont="1" applyFill="1" applyBorder="1"/>
    <xf numFmtId="167" fontId="15" fillId="7" borderId="49" xfId="1" applyNumberFormat="1" applyFont="1" applyFill="1" applyBorder="1"/>
    <xf numFmtId="167" fontId="15" fillId="8" borderId="32" xfId="1" applyNumberFormat="1" applyFont="1" applyFill="1" applyBorder="1" applyAlignment="1">
      <alignment horizontal="center" vertical="center"/>
    </xf>
    <xf numFmtId="167" fontId="15" fillId="8" borderId="11" xfId="1" applyNumberFormat="1" applyFont="1" applyFill="1" applyBorder="1" applyAlignment="1">
      <alignment horizontal="center" vertical="center"/>
    </xf>
    <xf numFmtId="167" fontId="15" fillId="8" borderId="49" xfId="1" applyNumberFormat="1" applyFont="1" applyFill="1" applyBorder="1" applyAlignment="1">
      <alignment horizontal="center" vertical="center"/>
    </xf>
    <xf numFmtId="167" fontId="15" fillId="8" borderId="13" xfId="1" applyNumberFormat="1" applyFont="1" applyFill="1" applyBorder="1" applyAlignment="1">
      <alignment horizontal="center" vertical="center"/>
    </xf>
    <xf numFmtId="167" fontId="15" fillId="0" borderId="14" xfId="1" applyNumberFormat="1" applyFont="1" applyFill="1" applyBorder="1" applyAlignment="1">
      <alignment horizontal="center" vertical="center"/>
    </xf>
    <xf numFmtId="167" fontId="15" fillId="0" borderId="17" xfId="1" applyNumberFormat="1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vertical="center"/>
    </xf>
    <xf numFmtId="0" fontId="0" fillId="0" borderId="0" xfId="0" applyFill="1"/>
    <xf numFmtId="167" fontId="15" fillId="0" borderId="0" xfId="1" applyNumberFormat="1" applyFont="1" applyFill="1" applyBorder="1" applyAlignment="1">
      <alignment horizontal="center"/>
    </xf>
    <xf numFmtId="167" fontId="15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/>
    <xf numFmtId="0" fontId="15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/>
    <xf numFmtId="0" fontId="12" fillId="0" borderId="0" xfId="0" applyFont="1" applyFill="1" applyBorder="1" applyAlignment="1">
      <alignment vertical="center"/>
    </xf>
    <xf numFmtId="167" fontId="15" fillId="4" borderId="47" xfId="1" applyNumberFormat="1" applyFont="1" applyFill="1" applyBorder="1" applyAlignment="1">
      <alignment horizontal="center"/>
    </xf>
    <xf numFmtId="167" fontId="15" fillId="4" borderId="10" xfId="1" applyNumberFormat="1" applyFont="1" applyFill="1" applyBorder="1" applyAlignment="1">
      <alignment horizontal="center"/>
    </xf>
    <xf numFmtId="0" fontId="15" fillId="4" borderId="23" xfId="0" applyFont="1" applyFill="1" applyBorder="1" applyAlignment="1">
      <alignment horizontal="center" vertical="center"/>
    </xf>
    <xf numFmtId="0" fontId="15" fillId="4" borderId="24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vertical="center"/>
    </xf>
    <xf numFmtId="43" fontId="15" fillId="7" borderId="6" xfId="1" applyNumberFormat="1" applyFont="1" applyFill="1" applyBorder="1"/>
    <xf numFmtId="43" fontId="15" fillId="7" borderId="7" xfId="1" applyNumberFormat="1" applyFont="1" applyFill="1" applyBorder="1" applyAlignment="1">
      <alignment horizontal="center" vertical="center"/>
    </xf>
    <xf numFmtId="43" fontId="15" fillId="7" borderId="11" xfId="1" applyNumberFormat="1" applyFont="1" applyFill="1" applyBorder="1"/>
    <xf numFmtId="43" fontId="15" fillId="7" borderId="1" xfId="1" applyNumberFormat="1" applyFont="1" applyFill="1" applyBorder="1" applyAlignment="1">
      <alignment horizontal="center" vertical="center"/>
    </xf>
    <xf numFmtId="43" fontId="15" fillId="7" borderId="13" xfId="1" applyNumberFormat="1" applyFont="1" applyFill="1" applyBorder="1"/>
    <xf numFmtId="43" fontId="15" fillId="7" borderId="14" xfId="1" applyNumberFormat="1" applyFont="1" applyFill="1" applyBorder="1" applyAlignment="1">
      <alignment horizontal="center" vertical="center"/>
    </xf>
    <xf numFmtId="43" fontId="15" fillId="8" borderId="6" xfId="1" applyNumberFormat="1" applyFont="1" applyFill="1" applyBorder="1"/>
    <xf numFmtId="43" fontId="15" fillId="8" borderId="7" xfId="1" applyNumberFormat="1" applyFont="1" applyFill="1" applyBorder="1" applyAlignment="1">
      <alignment horizontal="center" vertical="center"/>
    </xf>
    <xf numFmtId="43" fontId="15" fillId="8" borderId="11" xfId="1" applyNumberFormat="1" applyFont="1" applyFill="1" applyBorder="1"/>
    <xf numFmtId="43" fontId="15" fillId="8" borderId="1" xfId="1" applyNumberFormat="1" applyFont="1" applyFill="1" applyBorder="1" applyAlignment="1">
      <alignment horizontal="center" vertical="center"/>
    </xf>
    <xf numFmtId="43" fontId="15" fillId="8" borderId="13" xfId="1" applyNumberFormat="1" applyFont="1" applyFill="1" applyBorder="1"/>
    <xf numFmtId="43" fontId="15" fillId="8" borderId="14" xfId="1" applyNumberFormat="1" applyFont="1" applyFill="1" applyBorder="1" applyAlignment="1">
      <alignment horizontal="center" vertical="center"/>
    </xf>
    <xf numFmtId="43" fontId="15" fillId="3" borderId="6" xfId="1" applyNumberFormat="1" applyFont="1" applyFill="1" applyBorder="1"/>
    <xf numFmtId="43" fontId="15" fillId="3" borderId="7" xfId="1" applyNumberFormat="1" applyFont="1" applyFill="1" applyBorder="1" applyAlignment="1">
      <alignment horizontal="center" vertical="center"/>
    </xf>
    <xf numFmtId="43" fontId="15" fillId="3" borderId="11" xfId="1" applyNumberFormat="1" applyFont="1" applyFill="1" applyBorder="1"/>
    <xf numFmtId="43" fontId="15" fillId="3" borderId="1" xfId="1" applyNumberFormat="1" applyFont="1" applyFill="1" applyBorder="1" applyAlignment="1">
      <alignment horizontal="center" vertical="center"/>
    </xf>
    <xf numFmtId="43" fontId="15" fillId="3" borderId="13" xfId="1" applyNumberFormat="1" applyFont="1" applyFill="1" applyBorder="1"/>
    <xf numFmtId="43" fontId="15" fillId="3" borderId="14" xfId="1" applyNumberFormat="1" applyFont="1" applyFill="1" applyBorder="1" applyAlignment="1">
      <alignment horizontal="center" vertical="center"/>
    </xf>
    <xf numFmtId="43" fontId="15" fillId="4" borderId="0" xfId="1" applyNumberFormat="1" applyFont="1" applyFill="1" applyBorder="1" applyAlignment="1">
      <alignment horizontal="center"/>
    </xf>
    <xf numFmtId="43" fontId="15" fillId="7" borderId="34" xfId="1" applyNumberFormat="1" applyFont="1" applyFill="1" applyBorder="1"/>
    <xf numFmtId="43" fontId="15" fillId="7" borderId="12" xfId="1" applyNumberFormat="1" applyFont="1" applyFill="1" applyBorder="1"/>
    <xf numFmtId="43" fontId="15" fillId="7" borderId="50" xfId="1" applyNumberFormat="1" applyFont="1" applyFill="1" applyBorder="1"/>
    <xf numFmtId="43" fontId="15" fillId="7" borderId="17" xfId="1" applyNumberFormat="1" applyFont="1" applyFill="1" applyBorder="1"/>
    <xf numFmtId="43" fontId="15" fillId="4" borderId="0" xfId="1" applyNumberFormat="1" applyFont="1" applyFill="1" applyAlignment="1">
      <alignment vertical="center"/>
    </xf>
    <xf numFmtId="43" fontId="15" fillId="8" borderId="34" xfId="1" applyNumberFormat="1" applyFont="1" applyFill="1" applyBorder="1" applyAlignment="1">
      <alignment horizontal="center" vertical="center"/>
    </xf>
    <xf numFmtId="43" fontId="15" fillId="8" borderId="12" xfId="1" applyNumberFormat="1" applyFont="1" applyFill="1" applyBorder="1" applyAlignment="1">
      <alignment horizontal="center" vertical="center"/>
    </xf>
    <xf numFmtId="43" fontId="15" fillId="8" borderId="50" xfId="1" applyNumberFormat="1" applyFont="1" applyFill="1" applyBorder="1" applyAlignment="1">
      <alignment horizontal="center" vertical="center"/>
    </xf>
    <xf numFmtId="43" fontId="15" fillId="8" borderId="17" xfId="1" applyNumberFormat="1" applyFont="1" applyFill="1" applyBorder="1" applyAlignment="1">
      <alignment horizontal="center" vertical="center"/>
    </xf>
    <xf numFmtId="43" fontId="15" fillId="3" borderId="34" xfId="1" applyNumberFormat="1" applyFont="1" applyFill="1" applyBorder="1"/>
    <xf numFmtId="43" fontId="15" fillId="3" borderId="12" xfId="1" applyNumberFormat="1" applyFont="1" applyFill="1" applyBorder="1"/>
    <xf numFmtId="43" fontId="15" fillId="3" borderId="50" xfId="1" applyNumberFormat="1" applyFont="1" applyFill="1" applyBorder="1"/>
    <xf numFmtId="43" fontId="15" fillId="3" borderId="17" xfId="1" applyNumberFormat="1" applyFont="1" applyFill="1" applyBorder="1"/>
    <xf numFmtId="43" fontId="0" fillId="4" borderId="46" xfId="1" applyNumberFormat="1" applyFont="1" applyFill="1" applyBorder="1" applyAlignment="1">
      <alignment vertical="center"/>
    </xf>
    <xf numFmtId="43" fontId="0" fillId="4" borderId="47" xfId="1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3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67" fontId="0" fillId="0" borderId="1" xfId="0" applyNumberFormat="1" applyBorder="1" applyAlignment="1">
      <alignment horizontal="center" vertical="center"/>
    </xf>
    <xf numFmtId="0" fontId="21" fillId="11" borderId="1" xfId="0" applyFont="1" applyFill="1" applyBorder="1" applyAlignment="1">
      <alignment horizontal="center" vertical="center" wrapText="1"/>
    </xf>
    <xf numFmtId="3" fontId="21" fillId="11" borderId="1" xfId="0" applyNumberFormat="1" applyFont="1" applyFill="1" applyBorder="1" applyAlignment="1">
      <alignment horizontal="center" vertical="center" wrapText="1"/>
    </xf>
    <xf numFmtId="167" fontId="15" fillId="4" borderId="17" xfId="1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vertical="center"/>
    </xf>
    <xf numFmtId="0" fontId="21" fillId="12" borderId="1" xfId="0" applyFont="1" applyFill="1" applyBorder="1" applyAlignment="1">
      <alignment horizontal="center" vertical="center" wrapText="1"/>
    </xf>
    <xf numFmtId="43" fontId="0" fillId="0" borderId="1" xfId="0" applyNumberFormat="1" applyBorder="1" applyAlignment="1">
      <alignment vertical="center"/>
    </xf>
    <xf numFmtId="0" fontId="0" fillId="0" borderId="0" xfId="0" applyFill="1" applyAlignment="1">
      <alignment vertical="center"/>
    </xf>
    <xf numFmtId="167" fontId="0" fillId="0" borderId="0" xfId="0" applyNumberFormat="1" applyFill="1" applyAlignment="1">
      <alignment vertical="center"/>
    </xf>
    <xf numFmtId="0" fontId="21" fillId="0" borderId="0" xfId="0" applyFont="1" applyFill="1" applyBorder="1" applyAlignment="1">
      <alignment horizontal="center" vertical="center" wrapText="1"/>
    </xf>
    <xf numFmtId="167" fontId="0" fillId="0" borderId="0" xfId="0" applyNumberFormat="1" applyFill="1" applyBorder="1" applyAlignment="1">
      <alignment horizontal="center" vertical="center"/>
    </xf>
    <xf numFmtId="167" fontId="0" fillId="0" borderId="1" xfId="1" applyNumberFormat="1" applyFont="1" applyBorder="1" applyAlignment="1">
      <alignment vertical="center"/>
    </xf>
    <xf numFmtId="0" fontId="22" fillId="11" borderId="1" xfId="0" applyFont="1" applyFill="1" applyBorder="1" applyAlignment="1">
      <alignment horizontal="center" vertical="center" wrapText="1"/>
    </xf>
    <xf numFmtId="168" fontId="15" fillId="0" borderId="0" xfId="0" applyNumberFormat="1" applyFont="1" applyAlignment="1">
      <alignment horizontal="right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168" fontId="12" fillId="13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9" fontId="0" fillId="0" borderId="0" xfId="0" applyNumberFormat="1" applyAlignment="1">
      <alignment vertical="center"/>
    </xf>
    <xf numFmtId="169" fontId="0" fillId="0" borderId="1" xfId="0" applyNumberFormat="1" applyBorder="1" applyAlignment="1">
      <alignment vertical="center"/>
    </xf>
    <xf numFmtId="0" fontId="21" fillId="14" borderId="1" xfId="0" applyFont="1" applyFill="1" applyBorder="1" applyAlignment="1">
      <alignment horizontal="center" vertical="center"/>
    </xf>
    <xf numFmtId="0" fontId="21" fillId="14" borderId="1" xfId="0" applyFont="1" applyFill="1" applyBorder="1" applyAlignment="1">
      <alignment horizontal="center" vertical="center" wrapText="1"/>
    </xf>
    <xf numFmtId="0" fontId="0" fillId="9" borderId="38" xfId="0" applyFill="1" applyBorder="1" applyAlignment="1">
      <alignment vertical="center"/>
    </xf>
    <xf numFmtId="167" fontId="0" fillId="9" borderId="45" xfId="0" applyNumberFormat="1" applyFill="1" applyBorder="1" applyAlignment="1">
      <alignment vertical="center"/>
    </xf>
    <xf numFmtId="0" fontId="21" fillId="0" borderId="0" xfId="0" applyFont="1" applyAlignment="1">
      <alignment vertical="center"/>
    </xf>
    <xf numFmtId="2" fontId="0" fillId="0" borderId="5" xfId="0" applyNumberFormat="1" applyBorder="1" applyAlignment="1">
      <alignment vertical="center"/>
    </xf>
    <xf numFmtId="167" fontId="0" fillId="0" borderId="5" xfId="1" applyNumberFormat="1" applyFon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21" fillId="14" borderId="54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10" fontId="0" fillId="0" borderId="11" xfId="0" applyNumberForma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10" fontId="0" fillId="0" borderId="12" xfId="0" applyNumberFormat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10" fontId="0" fillId="0" borderId="30" xfId="0" applyNumberFormat="1" applyBorder="1" applyAlignment="1">
      <alignment horizontal="center" vertical="center"/>
    </xf>
    <xf numFmtId="10" fontId="0" fillId="0" borderId="27" xfId="0" applyNumberFormat="1" applyBorder="1" applyAlignment="1">
      <alignment vertical="center"/>
    </xf>
    <xf numFmtId="0" fontId="12" fillId="10" borderId="1" xfId="0" applyFont="1" applyFill="1" applyBorder="1" applyAlignment="1">
      <alignment horizontal="center" vertical="center"/>
    </xf>
    <xf numFmtId="4" fontId="12" fillId="0" borderId="0" xfId="3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9" fontId="12" fillId="0" borderId="0" xfId="2" applyFont="1" applyFill="1" applyBorder="1" applyAlignment="1">
      <alignment horizontal="center" vertical="center"/>
    </xf>
    <xf numFmtId="167" fontId="25" fillId="0" borderId="0" xfId="22" applyNumberFormat="1" applyFont="1" applyFill="1" applyBorder="1" applyAlignment="1">
      <alignment vertical="center"/>
    </xf>
    <xf numFmtId="43" fontId="25" fillId="0" borderId="0" xfId="22" applyNumberFormat="1" applyFont="1" applyFill="1" applyBorder="1" applyAlignment="1">
      <alignment vertical="center"/>
    </xf>
    <xf numFmtId="0" fontId="21" fillId="9" borderId="43" xfId="0" applyFont="1" applyFill="1" applyBorder="1" applyAlignment="1">
      <alignment horizontal="center" vertical="center"/>
    </xf>
    <xf numFmtId="0" fontId="21" fillId="9" borderId="61" xfId="0" applyFont="1" applyFill="1" applyBorder="1" applyAlignment="1">
      <alignment horizontal="center" vertical="center"/>
    </xf>
    <xf numFmtId="167" fontId="0" fillId="9" borderId="5" xfId="0" applyNumberFormat="1" applyFill="1" applyBorder="1" applyAlignment="1">
      <alignment vertical="center"/>
    </xf>
    <xf numFmtId="3" fontId="0" fillId="9" borderId="42" xfId="0" applyNumberFormat="1" applyFill="1" applyBorder="1" applyAlignment="1">
      <alignment vertical="center"/>
    </xf>
    <xf numFmtId="0" fontId="0" fillId="9" borderId="5" xfId="0" applyFill="1" applyBorder="1" applyAlignment="1">
      <alignment vertical="center"/>
    </xf>
    <xf numFmtId="4" fontId="0" fillId="9" borderId="42" xfId="0" applyNumberFormat="1" applyFill="1" applyBorder="1" applyAlignment="1">
      <alignment vertical="center"/>
    </xf>
    <xf numFmtId="43" fontId="0" fillId="9" borderId="5" xfId="0" applyNumberFormat="1" applyFill="1" applyBorder="1" applyAlignment="1">
      <alignment horizontal="left" vertical="center" indent="2"/>
    </xf>
    <xf numFmtId="0" fontId="0" fillId="9" borderId="42" xfId="0" applyFill="1" applyBorder="1" applyAlignment="1">
      <alignment vertical="center"/>
    </xf>
    <xf numFmtId="167" fontId="21" fillId="15" borderId="5" xfId="1" applyNumberFormat="1" applyFont="1" applyFill="1" applyBorder="1" applyAlignment="1">
      <alignment vertical="center"/>
    </xf>
    <xf numFmtId="167" fontId="0" fillId="0" borderId="54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 vertical="center"/>
    </xf>
    <xf numFmtId="167" fontId="0" fillId="0" borderId="56" xfId="1" applyNumberFormat="1" applyFont="1" applyBorder="1" applyAlignment="1">
      <alignment vertical="center"/>
    </xf>
    <xf numFmtId="167" fontId="0" fillId="0" borderId="4" xfId="1" applyNumberFormat="1" applyFont="1" applyBorder="1" applyAlignment="1">
      <alignment vertical="center"/>
    </xf>
    <xf numFmtId="167" fontId="0" fillId="0" borderId="57" xfId="1" applyNumberFormat="1" applyFont="1" applyBorder="1" applyAlignment="1">
      <alignment vertical="center"/>
    </xf>
    <xf numFmtId="167" fontId="0" fillId="0" borderId="54" xfId="1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0" fontId="0" fillId="0" borderId="0" xfId="0" applyNumberFormat="1" applyBorder="1" applyAlignment="1">
      <alignment vertical="center"/>
    </xf>
    <xf numFmtId="0" fontId="11" fillId="0" borderId="0" xfId="0" applyFont="1" applyAlignment="1">
      <alignment horizontal="center" vertical="center"/>
    </xf>
    <xf numFmtId="167" fontId="26" fillId="8" borderId="21" xfId="1" applyNumberFormat="1" applyFont="1" applyFill="1" applyBorder="1" applyAlignment="1">
      <alignment vertical="center"/>
    </xf>
    <xf numFmtId="0" fontId="0" fillId="4" borderId="0" xfId="0" applyFont="1" applyFill="1" applyBorder="1"/>
    <xf numFmtId="167" fontId="26" fillId="17" borderId="21" xfId="1" applyNumberFormat="1" applyFont="1" applyFill="1" applyBorder="1" applyAlignment="1">
      <alignment vertical="center"/>
    </xf>
    <xf numFmtId="9" fontId="0" fillId="0" borderId="1" xfId="2" applyFont="1" applyBorder="1" applyAlignment="1">
      <alignment vertical="center"/>
    </xf>
    <xf numFmtId="169" fontId="0" fillId="0" borderId="1" xfId="2" applyNumberFormat="1" applyFont="1" applyBorder="1" applyAlignment="1">
      <alignment vertical="center"/>
    </xf>
    <xf numFmtId="169" fontId="26" fillId="18" borderId="21" xfId="2" applyNumberFormat="1" applyFont="1" applyFill="1" applyBorder="1" applyAlignment="1">
      <alignment vertical="center"/>
    </xf>
    <xf numFmtId="0" fontId="15" fillId="0" borderId="1" xfId="0" quotePrefix="1" applyFont="1" applyFill="1" applyBorder="1" applyAlignment="1"/>
    <xf numFmtId="43" fontId="15" fillId="0" borderId="0" xfId="0" applyNumberFormat="1" applyFont="1" applyAlignment="1">
      <alignment horizontal="center" vertical="center"/>
    </xf>
    <xf numFmtId="169" fontId="0" fillId="0" borderId="0" xfId="2" applyNumberFormat="1" applyFont="1" applyAlignment="1">
      <alignment vertical="center"/>
    </xf>
    <xf numFmtId="43" fontId="0" fillId="0" borderId="1" xfId="0" applyNumberFormat="1" applyBorder="1" applyAlignment="1">
      <alignment horizontal="center" vertical="center"/>
    </xf>
    <xf numFmtId="43" fontId="0" fillId="9" borderId="45" xfId="0" applyNumberFormat="1" applyFill="1" applyBorder="1" applyAlignment="1">
      <alignment vertical="center"/>
    </xf>
    <xf numFmtId="43" fontId="0" fillId="9" borderId="42" xfId="0" applyNumberFormat="1" applyFill="1" applyBorder="1" applyAlignment="1">
      <alignment vertical="center"/>
    </xf>
    <xf numFmtId="43" fontId="0" fillId="0" borderId="0" xfId="0" applyNumberFormat="1" applyAlignment="1">
      <alignment vertical="center"/>
    </xf>
    <xf numFmtId="1" fontId="12" fillId="2" borderId="1" xfId="0" applyNumberFormat="1" applyFont="1" applyFill="1" applyBorder="1" applyAlignment="1">
      <alignment horizontal="center"/>
    </xf>
    <xf numFmtId="1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1" fontId="12" fillId="2" borderId="12" xfId="0" applyNumberFormat="1" applyFont="1" applyFill="1" applyBorder="1" applyAlignment="1">
      <alignment horizontal="center"/>
    </xf>
    <xf numFmtId="165" fontId="12" fillId="2" borderId="12" xfId="0" applyNumberFormat="1" applyFont="1" applyFill="1" applyBorder="1" applyAlignment="1">
      <alignment horizontal="center"/>
    </xf>
    <xf numFmtId="1" fontId="12" fillId="4" borderId="36" xfId="0" applyNumberFormat="1" applyFont="1" applyFill="1" applyBorder="1" applyAlignment="1">
      <alignment horizontal="center"/>
    </xf>
    <xf numFmtId="0" fontId="15" fillId="3" borderId="13" xfId="0" applyFont="1" applyFill="1" applyBorder="1" applyAlignment="1">
      <alignment horizontal="center"/>
    </xf>
    <xf numFmtId="9" fontId="15" fillId="3" borderId="14" xfId="2" applyFont="1" applyFill="1" applyBorder="1" applyAlignment="1">
      <alignment horizontal="center"/>
    </xf>
    <xf numFmtId="9" fontId="15" fillId="3" borderId="14" xfId="2" quotePrefix="1" applyFont="1" applyFill="1" applyBorder="1" applyAlignment="1">
      <alignment horizontal="center"/>
    </xf>
    <xf numFmtId="9" fontId="15" fillId="3" borderId="17" xfId="2" applyFont="1" applyFill="1" applyBorder="1" applyAlignment="1">
      <alignment horizontal="center"/>
    </xf>
    <xf numFmtId="0" fontId="15" fillId="4" borderId="6" xfId="0" applyFont="1" applyFill="1" applyBorder="1" applyAlignment="1">
      <alignment horizontal="center"/>
    </xf>
    <xf numFmtId="9" fontId="15" fillId="3" borderId="14" xfId="2" applyFont="1" applyFill="1" applyBorder="1" applyAlignment="1">
      <alignment horizontal="center" vertical="center"/>
    </xf>
    <xf numFmtId="9" fontId="15" fillId="3" borderId="14" xfId="2" quotePrefix="1" applyFont="1" applyFill="1" applyBorder="1" applyAlignment="1">
      <alignment horizontal="center" vertical="center"/>
    </xf>
    <xf numFmtId="0" fontId="15" fillId="0" borderId="1" xfId="0" applyFont="1" applyFill="1" applyBorder="1" applyAlignment="1"/>
    <xf numFmtId="0" fontId="15" fillId="0" borderId="1" xfId="0" applyFont="1" applyBorder="1" applyAlignment="1">
      <alignment vertical="center"/>
    </xf>
    <xf numFmtId="167" fontId="0" fillId="9" borderId="42" xfId="0" applyNumberFormat="1" applyFill="1" applyBorder="1" applyAlignment="1">
      <alignment vertical="center"/>
    </xf>
    <xf numFmtId="169" fontId="0" fillId="0" borderId="5" xfId="2" applyNumberFormat="1" applyFont="1" applyBorder="1" applyAlignment="1">
      <alignment vertical="center"/>
    </xf>
    <xf numFmtId="169" fontId="0" fillId="0" borderId="1" xfId="2" applyNumberFormat="1" applyFont="1" applyBorder="1" applyAlignment="1">
      <alignment horizontal="center" vertical="center"/>
    </xf>
    <xf numFmtId="169" fontId="0" fillId="9" borderId="38" xfId="0" applyNumberFormat="1" applyFill="1" applyBorder="1" applyAlignment="1">
      <alignment vertical="center"/>
    </xf>
    <xf numFmtId="169" fontId="0" fillId="9" borderId="5" xfId="0" applyNumberFormat="1" applyFill="1" applyBorder="1" applyAlignment="1">
      <alignment vertical="center"/>
    </xf>
    <xf numFmtId="10" fontId="0" fillId="0" borderId="0" xfId="0" applyNumberFormat="1" applyAlignment="1">
      <alignment vertical="center"/>
    </xf>
    <xf numFmtId="10" fontId="0" fillId="0" borderId="0" xfId="0" applyNumberFormat="1" applyAlignment="1">
      <alignment horizontal="center" vertical="center"/>
    </xf>
    <xf numFmtId="169" fontId="0" fillId="0" borderId="1" xfId="0" applyNumberFormat="1" applyBorder="1" applyAlignment="1">
      <alignment horizontal="center"/>
    </xf>
    <xf numFmtId="0" fontId="21" fillId="14" borderId="1" xfId="0" applyFont="1" applyFill="1" applyBorder="1" applyAlignment="1">
      <alignment vertical="center"/>
    </xf>
    <xf numFmtId="167" fontId="0" fillId="15" borderId="1" xfId="0" applyNumberFormat="1" applyFill="1" applyBorder="1" applyAlignment="1">
      <alignment vertical="center"/>
    </xf>
    <xf numFmtId="167" fontId="0" fillId="15" borderId="1" xfId="1" applyNumberFormat="1" applyFont="1" applyFill="1" applyBorder="1" applyAlignment="1">
      <alignment vertical="center"/>
    </xf>
    <xf numFmtId="0" fontId="0" fillId="15" borderId="1" xfId="0" applyFill="1" applyBorder="1" applyAlignment="1">
      <alignment horizontal="center" vertical="center"/>
    </xf>
    <xf numFmtId="0" fontId="21" fillId="15" borderId="1" xfId="0" applyFont="1" applyFill="1" applyBorder="1" applyAlignment="1">
      <alignment horizontal="center" vertical="center" wrapText="1"/>
    </xf>
    <xf numFmtId="167" fontId="0" fillId="15" borderId="54" xfId="1" applyNumberFormat="1" applyFont="1" applyFill="1" applyBorder="1" applyAlignment="1">
      <alignment horizontal="center" vertical="center"/>
    </xf>
    <xf numFmtId="169" fontId="0" fillId="9" borderId="45" xfId="0" applyNumberFormat="1" applyFill="1" applyBorder="1" applyAlignment="1">
      <alignment vertical="center"/>
    </xf>
    <xf numFmtId="0" fontId="12" fillId="9" borderId="1" xfId="0" applyFont="1" applyFill="1" applyBorder="1" applyAlignment="1">
      <alignment horizontal="center" vertical="center" wrapText="1"/>
    </xf>
    <xf numFmtId="0" fontId="30" fillId="0" borderId="0" xfId="32" applyFont="1"/>
    <xf numFmtId="0" fontId="29" fillId="0" borderId="0" xfId="32" applyFont="1"/>
    <xf numFmtId="0" fontId="3" fillId="0" borderId="0" xfId="32"/>
    <xf numFmtId="0" fontId="15" fillId="0" borderId="1" xfId="0" applyFont="1" applyBorder="1" applyAlignment="1">
      <alignment horizontal="center" vertical="center" wrapText="1"/>
    </xf>
    <xf numFmtId="168" fontId="15" fillId="0" borderId="1" xfId="0" applyNumberFormat="1" applyFont="1" applyBorder="1" applyAlignment="1">
      <alignment horizontal="center" vertical="center" wrapText="1"/>
    </xf>
    <xf numFmtId="20" fontId="15" fillId="0" borderId="1" xfId="0" applyNumberFormat="1" applyFont="1" applyFill="1" applyBorder="1" applyAlignment="1">
      <alignment horizontal="center" vertical="center" wrapText="1"/>
    </xf>
    <xf numFmtId="20" fontId="15" fillId="0" borderId="1" xfId="0" applyNumberFormat="1" applyFont="1" applyBorder="1" applyAlignment="1">
      <alignment horizontal="center" vertical="center" wrapText="1"/>
    </xf>
    <xf numFmtId="0" fontId="2" fillId="0" borderId="0" xfId="33"/>
    <xf numFmtId="0" fontId="2" fillId="0" borderId="1" xfId="33" applyBorder="1"/>
    <xf numFmtId="16" fontId="31" fillId="22" borderId="1" xfId="33" applyNumberFormat="1" applyFont="1" applyFill="1" applyBorder="1"/>
    <xf numFmtId="16" fontId="31" fillId="23" borderId="1" xfId="33" applyNumberFormat="1" applyFont="1" applyFill="1" applyBorder="1"/>
    <xf numFmtId="0" fontId="2" fillId="17" borderId="1" xfId="33" applyFill="1" applyBorder="1"/>
    <xf numFmtId="0" fontId="2" fillId="7" borderId="1" xfId="33" applyFill="1" applyBorder="1"/>
    <xf numFmtId="0" fontId="2" fillId="18" borderId="1" xfId="33" applyFill="1" applyBorder="1"/>
    <xf numFmtId="0" fontId="2" fillId="21" borderId="1" xfId="33" applyFill="1" applyBorder="1"/>
    <xf numFmtId="170" fontId="2" fillId="21" borderId="1" xfId="33" applyNumberFormat="1" applyFill="1" applyBorder="1"/>
    <xf numFmtId="1" fontId="2" fillId="0" borderId="1" xfId="33" applyNumberFormat="1" applyBorder="1"/>
    <xf numFmtId="0" fontId="2" fillId="17" borderId="14" xfId="33" applyFill="1" applyBorder="1"/>
    <xf numFmtId="0" fontId="31" fillId="17" borderId="65" xfId="33" applyFont="1" applyFill="1" applyBorder="1"/>
    <xf numFmtId="0" fontId="32" fillId="0" borderId="0" xfId="35" applyFont="1"/>
    <xf numFmtId="0" fontId="32" fillId="0" borderId="0" xfId="35" applyFont="1" applyAlignment="1">
      <alignment horizontal="center"/>
    </xf>
    <xf numFmtId="0" fontId="1" fillId="0" borderId="1" xfId="35" applyBorder="1"/>
    <xf numFmtId="0" fontId="1" fillId="0" borderId="1" xfId="35" applyBorder="1" applyAlignment="1">
      <alignment horizontal="center"/>
    </xf>
    <xf numFmtId="0" fontId="1" fillId="0" borderId="0" xfId="35"/>
    <xf numFmtId="0" fontId="1" fillId="20" borderId="1" xfId="35" applyFill="1" applyBorder="1"/>
    <xf numFmtId="0" fontId="31" fillId="0" borderId="1" xfId="35" applyFont="1" applyBorder="1" applyAlignment="1">
      <alignment horizontal="center" vertical="center"/>
    </xf>
    <xf numFmtId="0" fontId="1" fillId="0" borderId="1" xfId="35" applyBorder="1" applyAlignment="1">
      <alignment horizontal="center" vertical="center"/>
    </xf>
    <xf numFmtId="9" fontId="34" fillId="21" borderId="1" xfId="35" applyNumberFormat="1" applyFont="1" applyFill="1" applyBorder="1" applyAlignment="1">
      <alignment horizontal="center" vertical="center"/>
    </xf>
    <xf numFmtId="9" fontId="0" fillId="0" borderId="1" xfId="36" applyFont="1" applyBorder="1" applyAlignment="1">
      <alignment horizontal="center" vertical="center"/>
    </xf>
    <xf numFmtId="9" fontId="31" fillId="21" borderId="1" xfId="35" applyNumberFormat="1" applyFont="1" applyFill="1" applyBorder="1" applyAlignment="1">
      <alignment horizontal="center" vertical="center"/>
    </xf>
    <xf numFmtId="0" fontId="1" fillId="0" borderId="0" xfId="35" applyAlignment="1">
      <alignment horizontal="center"/>
    </xf>
    <xf numFmtId="9" fontId="0" fillId="0" borderId="0" xfId="36" applyFont="1"/>
    <xf numFmtId="0" fontId="11" fillId="0" borderId="1" xfId="0" applyFont="1" applyBorder="1" applyAlignment="1">
      <alignment horizontal="center" vertical="center"/>
    </xf>
    <xf numFmtId="0" fontId="35" fillId="12" borderId="1" xfId="35" applyFont="1" applyFill="1" applyBorder="1" applyAlignment="1">
      <alignment horizontal="center" vertical="center"/>
    </xf>
    <xf numFmtId="0" fontId="36" fillId="12" borderId="1" xfId="35" applyFont="1" applyFill="1" applyBorder="1" applyAlignment="1">
      <alignment horizontal="center" vertical="center"/>
    </xf>
    <xf numFmtId="1" fontId="35" fillId="12" borderId="1" xfId="35" applyNumberFormat="1" applyFont="1" applyFill="1" applyBorder="1" applyAlignment="1">
      <alignment horizontal="center" vertical="center"/>
    </xf>
    <xf numFmtId="1" fontId="36" fillId="12" borderId="1" xfId="35" applyNumberFormat="1" applyFont="1" applyFill="1" applyBorder="1" applyAlignment="1">
      <alignment horizontal="center" vertical="center"/>
    </xf>
    <xf numFmtId="0" fontId="1" fillId="3" borderId="1" xfId="35" applyFill="1" applyBorder="1" applyAlignment="1">
      <alignment horizontal="center" vertical="center"/>
    </xf>
    <xf numFmtId="1" fontId="1" fillId="3" borderId="1" xfId="35" applyNumberFormat="1" applyFill="1" applyBorder="1" applyAlignment="1">
      <alignment horizontal="center" vertical="center"/>
    </xf>
    <xf numFmtId="0" fontId="0" fillId="0" borderId="66" xfId="0" applyBorder="1"/>
    <xf numFmtId="167" fontId="15" fillId="0" borderId="14" xfId="1" applyNumberFormat="1" applyFont="1" applyFill="1" applyBorder="1" applyAlignment="1">
      <alignment vertical="center"/>
    </xf>
    <xf numFmtId="43" fontId="0" fillId="4" borderId="47" xfId="1" applyNumberFormat="1" applyFont="1" applyFill="1" applyBorder="1" applyAlignment="1">
      <alignment horizontal="center" vertical="center"/>
    </xf>
    <xf numFmtId="20" fontId="0" fillId="0" borderId="0" xfId="0" applyNumberFormat="1"/>
    <xf numFmtId="0" fontId="15" fillId="24" borderId="1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/>
    </xf>
    <xf numFmtId="10" fontId="0" fillId="0" borderId="0" xfId="2" applyNumberFormat="1" applyFont="1" applyAlignment="1">
      <alignment vertical="center"/>
    </xf>
    <xf numFmtId="167" fontId="0" fillId="0" borderId="0" xfId="0" applyNumberFormat="1" applyAlignment="1">
      <alignment horizontal="center" vertical="center"/>
    </xf>
    <xf numFmtId="43" fontId="15" fillId="3" borderId="11" xfId="1" applyFont="1" applyFill="1" applyBorder="1"/>
    <xf numFmtId="0" fontId="15" fillId="0" borderId="2" xfId="0" applyFont="1" applyBorder="1" applyAlignment="1">
      <alignment horizontal="left" vertical="center" wrapText="1"/>
    </xf>
    <xf numFmtId="0" fontId="15" fillId="0" borderId="54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2" fillId="4" borderId="22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2" fillId="4" borderId="1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2" fillId="4" borderId="36" xfId="0" applyFont="1" applyFill="1" applyBorder="1" applyAlignment="1">
      <alignment horizontal="center" vertical="center" wrapText="1"/>
    </xf>
    <xf numFmtId="16" fontId="31" fillId="19" borderId="1" xfId="35" applyNumberFormat="1" applyFont="1" applyFill="1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/>
    </xf>
    <xf numFmtId="0" fontId="19" fillId="6" borderId="19" xfId="0" applyFont="1" applyFill="1" applyBorder="1" applyAlignment="1">
      <alignment horizontal="center" vertical="center"/>
    </xf>
    <xf numFmtId="0" fontId="19" fillId="6" borderId="20" xfId="0" applyFont="1" applyFill="1" applyBorder="1" applyAlignment="1">
      <alignment horizontal="center" vertical="center"/>
    </xf>
    <xf numFmtId="0" fontId="19" fillId="6" borderId="21" xfId="0" applyFont="1" applyFill="1" applyBorder="1" applyAlignment="1">
      <alignment horizontal="center" vertical="center"/>
    </xf>
    <xf numFmtId="0" fontId="26" fillId="8" borderId="19" xfId="0" applyFont="1" applyFill="1" applyBorder="1" applyAlignment="1">
      <alignment horizontal="center" vertical="center"/>
    </xf>
    <xf numFmtId="0" fontId="26" fillId="8" borderId="20" xfId="0" applyFont="1" applyFill="1" applyBorder="1" applyAlignment="1">
      <alignment horizontal="center" vertical="center"/>
    </xf>
    <xf numFmtId="0" fontId="28" fillId="16" borderId="19" xfId="0" applyFont="1" applyFill="1" applyBorder="1" applyAlignment="1">
      <alignment horizontal="center" vertical="center"/>
    </xf>
    <xf numFmtId="0" fontId="28" fillId="16" borderId="20" xfId="0" applyFont="1" applyFill="1" applyBorder="1" applyAlignment="1">
      <alignment horizontal="center" vertical="center"/>
    </xf>
    <xf numFmtId="0" fontId="28" fillId="16" borderId="21" xfId="0" applyFont="1" applyFill="1" applyBorder="1" applyAlignment="1">
      <alignment horizontal="center" vertical="center"/>
    </xf>
    <xf numFmtId="0" fontId="26" fillId="17" borderId="19" xfId="0" applyFont="1" applyFill="1" applyBorder="1" applyAlignment="1">
      <alignment horizontal="center" vertical="center"/>
    </xf>
    <xf numFmtId="0" fontId="26" fillId="17" borderId="20" xfId="0" applyFont="1" applyFill="1" applyBorder="1" applyAlignment="1">
      <alignment horizontal="center" vertical="center"/>
    </xf>
    <xf numFmtId="0" fontId="28" fillId="18" borderId="43" xfId="0" applyFont="1" applyFill="1" applyBorder="1" applyAlignment="1">
      <alignment horizontal="center" vertical="center"/>
    </xf>
    <xf numFmtId="0" fontId="28" fillId="18" borderId="44" xfId="0" applyFont="1" applyFill="1" applyBorder="1" applyAlignment="1">
      <alignment horizontal="center" vertical="center"/>
    </xf>
    <xf numFmtId="0" fontId="26" fillId="18" borderId="19" xfId="0" applyFont="1" applyFill="1" applyBorder="1" applyAlignment="1">
      <alignment horizontal="center" vertical="center"/>
    </xf>
    <xf numFmtId="0" fontId="26" fillId="18" borderId="20" xfId="0" applyFont="1" applyFill="1" applyBorder="1" applyAlignment="1">
      <alignment horizontal="center" vertical="center"/>
    </xf>
    <xf numFmtId="0" fontId="28" fillId="16" borderId="43" xfId="0" applyFont="1" applyFill="1" applyBorder="1" applyAlignment="1">
      <alignment horizontal="center" vertical="center"/>
    </xf>
    <xf numFmtId="0" fontId="28" fillId="16" borderId="44" xfId="0" applyFont="1" applyFill="1" applyBorder="1" applyAlignment="1">
      <alignment horizontal="center" vertical="center"/>
    </xf>
    <xf numFmtId="0" fontId="28" fillId="16" borderId="45" xfId="0" applyFont="1" applyFill="1" applyBorder="1" applyAlignment="1">
      <alignment horizontal="center" vertical="center"/>
    </xf>
    <xf numFmtId="0" fontId="19" fillId="6" borderId="43" xfId="0" applyFont="1" applyFill="1" applyBorder="1" applyAlignment="1">
      <alignment horizontal="center" vertical="center"/>
    </xf>
    <xf numFmtId="0" fontId="19" fillId="6" borderId="44" xfId="0" applyFont="1" applyFill="1" applyBorder="1" applyAlignment="1">
      <alignment horizontal="center" vertical="center"/>
    </xf>
    <xf numFmtId="0" fontId="19" fillId="6" borderId="45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left" vertical="center" wrapText="1"/>
    </xf>
    <xf numFmtId="0" fontId="15" fillId="0" borderId="54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5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2" fillId="9" borderId="54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/>
    </xf>
    <xf numFmtId="0" fontId="15" fillId="0" borderId="54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2" fillId="4" borderId="22" xfId="0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 wrapText="1"/>
    </xf>
    <xf numFmtId="0" fontId="12" fillId="4" borderId="23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 wrapText="1"/>
    </xf>
    <xf numFmtId="0" fontId="12" fillId="4" borderId="25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/>
    </xf>
    <xf numFmtId="0" fontId="13" fillId="6" borderId="19" xfId="0" applyFont="1" applyFill="1" applyBorder="1" applyAlignment="1">
      <alignment horizontal="center" vertical="center"/>
    </xf>
    <xf numFmtId="0" fontId="13" fillId="6" borderId="20" xfId="0" applyFont="1" applyFill="1" applyBorder="1" applyAlignment="1">
      <alignment horizontal="center" vertical="center"/>
    </xf>
    <xf numFmtId="0" fontId="13" fillId="6" borderId="21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167" fontId="12" fillId="8" borderId="6" xfId="1" applyNumberFormat="1" applyFont="1" applyFill="1" applyBorder="1" applyAlignment="1">
      <alignment horizontal="center" vertical="center"/>
    </xf>
    <xf numFmtId="167" fontId="12" fillId="8" borderId="10" xfId="1" applyNumberFormat="1" applyFont="1" applyFill="1" applyBorder="1" applyAlignment="1">
      <alignment horizontal="center" vertical="center"/>
    </xf>
    <xf numFmtId="167" fontId="12" fillId="3" borderId="28" xfId="1" applyNumberFormat="1" applyFont="1" applyFill="1" applyBorder="1" applyAlignment="1">
      <alignment horizontal="center" vertical="center"/>
    </xf>
    <xf numFmtId="167" fontId="12" fillId="3" borderId="18" xfId="1" applyNumberFormat="1" applyFont="1" applyFill="1" applyBorder="1" applyAlignment="1">
      <alignment horizontal="center" vertical="center"/>
    </xf>
    <xf numFmtId="167" fontId="12" fillId="3" borderId="25" xfId="1" applyNumberFormat="1" applyFont="1" applyFill="1" applyBorder="1" applyAlignment="1">
      <alignment horizontal="center" vertical="center"/>
    </xf>
    <xf numFmtId="167" fontId="12" fillId="4" borderId="41" xfId="1" applyNumberFormat="1" applyFont="1" applyFill="1" applyBorder="1" applyAlignment="1">
      <alignment horizontal="center" vertical="center" wrapText="1"/>
    </xf>
    <xf numFmtId="167" fontId="12" fillId="4" borderId="42" xfId="1" applyNumberFormat="1" applyFont="1" applyFill="1" applyBorder="1" applyAlignment="1">
      <alignment horizontal="center" vertical="center"/>
    </xf>
    <xf numFmtId="167" fontId="12" fillId="4" borderId="39" xfId="1" applyNumberFormat="1" applyFont="1" applyFill="1" applyBorder="1" applyAlignment="1">
      <alignment horizontal="center" vertical="center" wrapText="1"/>
    </xf>
    <xf numFmtId="167" fontId="12" fillId="4" borderId="31" xfId="1" applyNumberFormat="1" applyFont="1" applyFill="1" applyBorder="1" applyAlignment="1">
      <alignment horizontal="center" vertical="center" wrapText="1"/>
    </xf>
    <xf numFmtId="167" fontId="12" fillId="4" borderId="40" xfId="1" applyNumberFormat="1" applyFont="1" applyFill="1" applyBorder="1" applyAlignment="1">
      <alignment horizontal="center" vertical="center" wrapText="1"/>
    </xf>
    <xf numFmtId="167" fontId="12" fillId="4" borderId="38" xfId="1" applyNumberFormat="1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/>
    </xf>
    <xf numFmtId="0" fontId="12" fillId="3" borderId="24" xfId="0" applyFont="1" applyFill="1" applyBorder="1" applyAlignment="1">
      <alignment horizontal="center" vertical="center"/>
    </xf>
    <xf numFmtId="43" fontId="15" fillId="3" borderId="8" xfId="1" applyNumberFormat="1" applyFont="1" applyFill="1" applyBorder="1" applyAlignment="1">
      <alignment horizontal="center" vertical="center"/>
    </xf>
    <xf numFmtId="43" fontId="15" fillId="3" borderId="25" xfId="1" applyNumberFormat="1" applyFont="1" applyFill="1" applyBorder="1" applyAlignment="1">
      <alignment horizontal="center" vertical="center"/>
    </xf>
    <xf numFmtId="43" fontId="15" fillId="4" borderId="22" xfId="0" applyNumberFormat="1" applyFont="1" applyFill="1" applyBorder="1" applyAlignment="1">
      <alignment horizontal="center" vertical="center"/>
    </xf>
    <xf numFmtId="43" fontId="15" fillId="4" borderId="23" xfId="0" applyNumberFormat="1" applyFont="1" applyFill="1" applyBorder="1" applyAlignment="1">
      <alignment horizontal="center" vertical="center"/>
    </xf>
    <xf numFmtId="43" fontId="15" fillId="4" borderId="24" xfId="0" applyNumberFormat="1" applyFont="1" applyFill="1" applyBorder="1" applyAlignment="1">
      <alignment horizontal="center" vertical="center"/>
    </xf>
    <xf numFmtId="0" fontId="27" fillId="14" borderId="58" xfId="22" applyFont="1" applyFill="1" applyBorder="1" applyAlignment="1">
      <alignment horizontal="center" vertical="center"/>
    </xf>
    <xf numFmtId="0" fontId="27" fillId="14" borderId="59" xfId="22" applyFont="1" applyFill="1" applyBorder="1" applyAlignment="1">
      <alignment horizontal="center" vertical="center"/>
    </xf>
    <xf numFmtId="0" fontId="27" fillId="14" borderId="60" xfId="22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horizontal="center" vertical="center"/>
    </xf>
    <xf numFmtId="0" fontId="12" fillId="5" borderId="23" xfId="0" applyFont="1" applyFill="1" applyBorder="1" applyAlignment="1">
      <alignment horizontal="center" vertical="center"/>
    </xf>
    <xf numFmtId="0" fontId="12" fillId="5" borderId="24" xfId="0" applyFont="1" applyFill="1" applyBorder="1" applyAlignment="1">
      <alignment horizontal="center" vertical="center"/>
    </xf>
    <xf numFmtId="0" fontId="12" fillId="8" borderId="22" xfId="0" applyFont="1" applyFill="1" applyBorder="1" applyAlignment="1">
      <alignment horizontal="center" vertical="center"/>
    </xf>
    <xf numFmtId="0" fontId="12" fillId="8" borderId="23" xfId="0" applyFont="1" applyFill="1" applyBorder="1" applyAlignment="1">
      <alignment horizontal="center" vertical="center"/>
    </xf>
    <xf numFmtId="0" fontId="12" fillId="8" borderId="24" xfId="0" applyFont="1" applyFill="1" applyBorder="1" applyAlignment="1">
      <alignment horizontal="center" vertical="center"/>
    </xf>
    <xf numFmtId="43" fontId="15" fillId="8" borderId="8" xfId="1" applyNumberFormat="1" applyFont="1" applyFill="1" applyBorder="1" applyAlignment="1">
      <alignment horizontal="center" vertical="center"/>
    </xf>
    <xf numFmtId="43" fontId="15" fillId="8" borderId="25" xfId="1" applyNumberFormat="1" applyFont="1" applyFill="1" applyBorder="1" applyAlignment="1">
      <alignment horizontal="center" vertical="center"/>
    </xf>
    <xf numFmtId="43" fontId="15" fillId="4" borderId="41" xfId="0" applyNumberFormat="1" applyFont="1" applyFill="1" applyBorder="1" applyAlignment="1">
      <alignment horizontal="center" vertical="center"/>
    </xf>
    <xf numFmtId="43" fontId="15" fillId="4" borderId="55" xfId="0" applyNumberFormat="1" applyFont="1" applyFill="1" applyBorder="1" applyAlignment="1">
      <alignment horizontal="center" vertical="center"/>
    </xf>
    <xf numFmtId="43" fontId="15" fillId="4" borderId="42" xfId="0" applyNumberFormat="1" applyFont="1" applyFill="1" applyBorder="1" applyAlignment="1">
      <alignment horizontal="center" vertical="center"/>
    </xf>
    <xf numFmtId="43" fontId="15" fillId="8" borderId="2" xfId="1" applyNumberFormat="1" applyFont="1" applyFill="1" applyBorder="1" applyAlignment="1">
      <alignment horizontal="center" vertical="center"/>
    </xf>
    <xf numFmtId="43" fontId="15" fillId="8" borderId="26" xfId="1" applyNumberFormat="1" applyFont="1" applyFill="1" applyBorder="1" applyAlignment="1">
      <alignment horizontal="center" vertical="center"/>
    </xf>
    <xf numFmtId="43" fontId="15" fillId="8" borderId="15" xfId="1" applyNumberFormat="1" applyFont="1" applyFill="1" applyBorder="1" applyAlignment="1">
      <alignment horizontal="center" vertical="center"/>
    </xf>
    <xf numFmtId="43" fontId="15" fillId="8" borderId="27" xfId="1" applyNumberFormat="1" applyFont="1" applyFill="1" applyBorder="1" applyAlignment="1">
      <alignment horizontal="center" vertical="center"/>
    </xf>
    <xf numFmtId="43" fontId="15" fillId="7" borderId="8" xfId="1" applyNumberFormat="1" applyFont="1" applyFill="1" applyBorder="1" applyAlignment="1">
      <alignment horizontal="center" vertical="center"/>
    </xf>
    <xf numFmtId="43" fontId="15" fillId="7" borderId="25" xfId="1" applyNumberFormat="1" applyFont="1" applyFill="1" applyBorder="1" applyAlignment="1">
      <alignment horizontal="center" vertical="center"/>
    </xf>
    <xf numFmtId="43" fontId="15" fillId="7" borderId="2" xfId="1" applyNumberFormat="1" applyFont="1" applyFill="1" applyBorder="1" applyAlignment="1">
      <alignment horizontal="center" vertical="center"/>
    </xf>
    <xf numFmtId="43" fontId="15" fillId="7" borderId="26" xfId="1" applyNumberFormat="1" applyFont="1" applyFill="1" applyBorder="1" applyAlignment="1">
      <alignment horizontal="center" vertical="center"/>
    </xf>
    <xf numFmtId="43" fontId="15" fillId="7" borderId="15" xfId="1" applyNumberFormat="1" applyFont="1" applyFill="1" applyBorder="1" applyAlignment="1">
      <alignment horizontal="center" vertical="center"/>
    </xf>
    <xf numFmtId="43" fontId="15" fillId="7" borderId="27" xfId="1" applyNumberFormat="1" applyFont="1" applyFill="1" applyBorder="1" applyAlignment="1">
      <alignment horizontal="center" vertical="center"/>
    </xf>
    <xf numFmtId="43" fontId="15" fillId="3" borderId="2" xfId="1" applyNumberFormat="1" applyFont="1" applyFill="1" applyBorder="1" applyAlignment="1">
      <alignment horizontal="center" vertical="center"/>
    </xf>
    <xf numFmtId="43" fontId="15" fillId="3" borderId="26" xfId="1" applyNumberFormat="1" applyFont="1" applyFill="1" applyBorder="1" applyAlignment="1">
      <alignment horizontal="center" vertical="center"/>
    </xf>
    <xf numFmtId="167" fontId="10" fillId="4" borderId="1" xfId="1" applyNumberFormat="1" applyFont="1" applyFill="1" applyBorder="1" applyAlignment="1">
      <alignment horizontal="center" vertical="center"/>
    </xf>
    <xf numFmtId="43" fontId="15" fillId="3" borderId="15" xfId="1" applyNumberFormat="1" applyFont="1" applyFill="1" applyBorder="1" applyAlignment="1">
      <alignment horizontal="center" vertical="center"/>
    </xf>
    <xf numFmtId="43" fontId="15" fillId="3" borderId="27" xfId="1" applyNumberFormat="1" applyFont="1" applyFill="1" applyBorder="1" applyAlignment="1">
      <alignment horizontal="center" vertical="center"/>
    </xf>
    <xf numFmtId="167" fontId="15" fillId="3" borderId="29" xfId="1" applyNumberFormat="1" applyFont="1" applyFill="1" applyBorder="1" applyAlignment="1">
      <alignment horizontal="center" vertical="center"/>
    </xf>
    <xf numFmtId="167" fontId="15" fillId="3" borderId="3" xfId="1" applyNumberFormat="1" applyFont="1" applyFill="1" applyBorder="1" applyAlignment="1">
      <alignment horizontal="center" vertical="center"/>
    </xf>
    <xf numFmtId="43" fontId="15" fillId="4" borderId="32" xfId="1" applyNumberFormat="1" applyFont="1" applyFill="1" applyBorder="1" applyAlignment="1">
      <alignment horizontal="center"/>
    </xf>
    <xf numFmtId="43" fontId="15" fillId="4" borderId="34" xfId="1" applyNumberFormat="1" applyFont="1" applyFill="1" applyBorder="1" applyAlignment="1">
      <alignment horizontal="center"/>
    </xf>
    <xf numFmtId="167" fontId="15" fillId="3" borderId="35" xfId="1" applyNumberFormat="1" applyFont="1" applyFill="1" applyBorder="1" applyAlignment="1">
      <alignment horizontal="center" vertical="center"/>
    </xf>
    <xf numFmtId="167" fontId="15" fillId="3" borderId="4" xfId="1" applyNumberFormat="1" applyFont="1" applyFill="1" applyBorder="1" applyAlignment="1">
      <alignment horizontal="center" vertical="center"/>
    </xf>
    <xf numFmtId="43" fontId="15" fillId="4" borderId="6" xfId="1" applyNumberFormat="1" applyFont="1" applyFill="1" applyBorder="1" applyAlignment="1">
      <alignment horizontal="center"/>
    </xf>
    <xf numFmtId="43" fontId="15" fillId="4" borderId="10" xfId="1" applyNumberFormat="1" applyFont="1" applyFill="1" applyBorder="1" applyAlignment="1">
      <alignment horizontal="center"/>
    </xf>
    <xf numFmtId="0" fontId="12" fillId="4" borderId="24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12" fillId="4" borderId="27" xfId="0" applyFont="1" applyFill="1" applyBorder="1" applyAlignment="1">
      <alignment horizontal="center" vertical="center" wrapText="1"/>
    </xf>
    <xf numFmtId="43" fontId="10" fillId="4" borderId="1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4" borderId="13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167" fontId="15" fillId="4" borderId="39" xfId="1" applyNumberFormat="1" applyFont="1" applyFill="1" applyBorder="1" applyAlignment="1">
      <alignment horizontal="center" vertical="center"/>
    </xf>
    <xf numFmtId="2" fontId="0" fillId="4" borderId="52" xfId="0" applyNumberFormat="1" applyFill="1" applyBorder="1" applyAlignment="1">
      <alignment horizontal="center" vertical="center"/>
    </xf>
    <xf numFmtId="2" fontId="0" fillId="4" borderId="44" xfId="0" applyNumberFormat="1" applyFill="1" applyBorder="1" applyAlignment="1">
      <alignment horizontal="center" vertical="center"/>
    </xf>
    <xf numFmtId="2" fontId="0" fillId="4" borderId="45" xfId="0" applyNumberFormat="1" applyFill="1" applyBorder="1" applyAlignment="1">
      <alignment horizontal="center" vertical="center"/>
    </xf>
    <xf numFmtId="0" fontId="12" fillId="4" borderId="36" xfId="0" applyFont="1" applyFill="1" applyBorder="1" applyAlignment="1">
      <alignment horizontal="center" vertical="center" wrapText="1"/>
    </xf>
    <xf numFmtId="0" fontId="12" fillId="4" borderId="46" xfId="0" applyFont="1" applyFill="1" applyBorder="1" applyAlignment="1">
      <alignment horizontal="center" vertical="center" wrapText="1"/>
    </xf>
    <xf numFmtId="2" fontId="15" fillId="4" borderId="52" xfId="0" applyNumberFormat="1" applyFont="1" applyFill="1" applyBorder="1" applyAlignment="1">
      <alignment horizontal="center" vertical="center"/>
    </xf>
    <xf numFmtId="2" fontId="15" fillId="4" borderId="45" xfId="0" applyNumberFormat="1" applyFont="1" applyFill="1" applyBorder="1" applyAlignment="1">
      <alignment horizontal="center" vertical="center"/>
    </xf>
    <xf numFmtId="167" fontId="15" fillId="4" borderId="8" xfId="1" applyNumberFormat="1" applyFont="1" applyFill="1" applyBorder="1" applyAlignment="1">
      <alignment horizontal="center"/>
    </xf>
    <xf numFmtId="167" fontId="15" fillId="4" borderId="9" xfId="1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9" fontId="15" fillId="3" borderId="15" xfId="2" applyFont="1" applyFill="1" applyBorder="1" applyAlignment="1">
      <alignment horizontal="center"/>
    </xf>
    <xf numFmtId="9" fontId="15" fillId="3" borderId="16" xfId="2" applyFont="1" applyFill="1" applyBorder="1" applyAlignment="1">
      <alignment horizontal="center"/>
    </xf>
    <xf numFmtId="167" fontId="15" fillId="4" borderId="37" xfId="1" applyNumberFormat="1" applyFont="1" applyFill="1" applyBorder="1" applyAlignment="1">
      <alignment horizontal="center"/>
    </xf>
    <xf numFmtId="167" fontId="15" fillId="4" borderId="51" xfId="1" applyNumberFormat="1" applyFont="1" applyFill="1" applyBorder="1" applyAlignment="1">
      <alignment horizontal="center"/>
    </xf>
    <xf numFmtId="0" fontId="13" fillId="6" borderId="43" xfId="0" applyFont="1" applyFill="1" applyBorder="1" applyAlignment="1">
      <alignment horizontal="center" vertical="center"/>
    </xf>
    <xf numFmtId="0" fontId="13" fillId="6" borderId="44" xfId="0" applyFont="1" applyFill="1" applyBorder="1" applyAlignment="1">
      <alignment horizontal="center" vertical="center"/>
    </xf>
    <xf numFmtId="0" fontId="13" fillId="6" borderId="45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18" fillId="6" borderId="54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54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10" xfId="0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top"/>
    </xf>
    <xf numFmtId="0" fontId="12" fillId="10" borderId="3" xfId="0" applyFont="1" applyFill="1" applyBorder="1" applyAlignment="1">
      <alignment horizontal="center" vertical="top"/>
    </xf>
    <xf numFmtId="0" fontId="15" fillId="8" borderId="2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/>
    </xf>
    <xf numFmtId="0" fontId="12" fillId="10" borderId="54" xfId="0" applyFont="1" applyFill="1" applyBorder="1" applyAlignment="1">
      <alignment horizontal="center"/>
    </xf>
    <xf numFmtId="0" fontId="12" fillId="10" borderId="3" xfId="0" applyFont="1" applyFill="1" applyBorder="1" applyAlignment="1">
      <alignment horizontal="center"/>
    </xf>
    <xf numFmtId="0" fontId="12" fillId="10" borderId="54" xfId="0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center"/>
    </xf>
    <xf numFmtId="1" fontId="12" fillId="2" borderId="3" xfId="0" applyNumberFormat="1" applyFont="1" applyFill="1" applyBorder="1" applyAlignment="1">
      <alignment horizontal="center"/>
    </xf>
    <xf numFmtId="9" fontId="15" fillId="3" borderId="15" xfId="2" quotePrefix="1" applyFont="1" applyFill="1" applyBorder="1" applyAlignment="1">
      <alignment horizontal="center"/>
    </xf>
    <xf numFmtId="9" fontId="15" fillId="3" borderId="16" xfId="2" quotePrefix="1" applyFont="1" applyFill="1" applyBorder="1" applyAlignment="1">
      <alignment horizontal="center"/>
    </xf>
    <xf numFmtId="167" fontId="15" fillId="3" borderId="30" xfId="1" applyNumberFormat="1" applyFont="1" applyFill="1" applyBorder="1" applyAlignment="1">
      <alignment horizontal="center" vertical="center"/>
    </xf>
    <xf numFmtId="167" fontId="15" fillId="3" borderId="16" xfId="1" applyNumberFormat="1" applyFont="1" applyFill="1" applyBorder="1" applyAlignment="1">
      <alignment horizontal="center" vertical="center"/>
    </xf>
    <xf numFmtId="43" fontId="15" fillId="4" borderId="36" xfId="1" applyNumberFormat="1" applyFont="1" applyFill="1" applyBorder="1" applyAlignment="1">
      <alignment horizontal="center"/>
    </xf>
    <xf numFmtId="43" fontId="15" fillId="4" borderId="47" xfId="1" applyNumberFormat="1" applyFont="1" applyFill="1" applyBorder="1" applyAlignment="1">
      <alignment horizontal="center"/>
    </xf>
    <xf numFmtId="43" fontId="15" fillId="4" borderId="0" xfId="1" applyNumberFormat="1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16" fontId="31" fillId="19" borderId="1" xfId="35" applyNumberFormat="1" applyFont="1" applyFill="1" applyBorder="1" applyAlignment="1">
      <alignment horizontal="center"/>
    </xf>
    <xf numFmtId="0" fontId="33" fillId="21" borderId="1" xfId="35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54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</cellXfs>
  <cellStyles count="37">
    <cellStyle name="Comma" xfId="1" builtinId="3"/>
    <cellStyle name="Comma 10" xfId="31" xr:uid="{00000000-0005-0000-0000-000001000000}"/>
    <cellStyle name="Comma 2" xfId="13" xr:uid="{00000000-0005-0000-0000-000002000000}"/>
    <cellStyle name="Comma 2 2" xfId="14" xr:uid="{00000000-0005-0000-0000-000003000000}"/>
    <cellStyle name="Comma 3" xfId="3" xr:uid="{00000000-0005-0000-0000-000004000000}"/>
    <cellStyle name="Comma 3 2" xfId="11" xr:uid="{00000000-0005-0000-0000-000005000000}"/>
    <cellStyle name="Comma 3 3" xfId="8" xr:uid="{00000000-0005-0000-0000-000006000000}"/>
    <cellStyle name="Comma 4" xfId="19" xr:uid="{00000000-0005-0000-0000-000007000000}"/>
    <cellStyle name="Comma 5" xfId="20" xr:uid="{00000000-0005-0000-0000-000008000000}"/>
    <cellStyle name="Comma 5 2" xfId="25" xr:uid="{00000000-0005-0000-0000-000009000000}"/>
    <cellStyle name="Comma 5 3" xfId="29" xr:uid="{00000000-0005-0000-0000-00000A000000}"/>
    <cellStyle name="Comma 6" xfId="21" xr:uid="{00000000-0005-0000-0000-00000B000000}"/>
    <cellStyle name="Comma 6 2" xfId="26" xr:uid="{00000000-0005-0000-0000-00000C000000}"/>
    <cellStyle name="Comma 6 3" xfId="30" xr:uid="{00000000-0005-0000-0000-00000D000000}"/>
    <cellStyle name="Comma 7" xfId="6" xr:uid="{00000000-0005-0000-0000-00000E000000}"/>
    <cellStyle name="Comma 8" xfId="23" xr:uid="{00000000-0005-0000-0000-00000F000000}"/>
    <cellStyle name="Comma 9" xfId="27" xr:uid="{00000000-0005-0000-0000-000010000000}"/>
    <cellStyle name="Hyperlink" xfId="22" builtinId="8"/>
    <cellStyle name="Normal" xfId="0" builtinId="0"/>
    <cellStyle name="Normal 2" xfId="4" xr:uid="{00000000-0005-0000-0000-000013000000}"/>
    <cellStyle name="Normal 2 2" xfId="15" xr:uid="{00000000-0005-0000-0000-000014000000}"/>
    <cellStyle name="Normal 2 3" xfId="12" xr:uid="{00000000-0005-0000-0000-000015000000}"/>
    <cellStyle name="Normal 2 4" xfId="7" xr:uid="{00000000-0005-0000-0000-000016000000}"/>
    <cellStyle name="Normal 2 4 2" xfId="24" xr:uid="{00000000-0005-0000-0000-000017000000}"/>
    <cellStyle name="Normal 2 4 3" xfId="28" xr:uid="{00000000-0005-0000-0000-000018000000}"/>
    <cellStyle name="Normal 3" xfId="9" xr:uid="{00000000-0005-0000-0000-000019000000}"/>
    <cellStyle name="Normal 4" xfId="5" xr:uid="{00000000-0005-0000-0000-00001A000000}"/>
    <cellStyle name="Normal 5" xfId="32" xr:uid="{F28E9AE0-604B-4B0A-936D-E7669B8D6C12}"/>
    <cellStyle name="Normal 6" xfId="33" xr:uid="{5EE3B14B-E4D8-4E65-AF58-FE8E26DE97B8}"/>
    <cellStyle name="Normal 6 2" xfId="35" xr:uid="{EBBB9196-EA24-4C45-94D4-C5852937983A}"/>
    <cellStyle name="Percent" xfId="2" builtinId="5"/>
    <cellStyle name="Percent 2" xfId="16" xr:uid="{00000000-0005-0000-0000-00001C000000}"/>
    <cellStyle name="Percent 2 2" xfId="17" xr:uid="{00000000-0005-0000-0000-00001D000000}"/>
    <cellStyle name="Percent 3" xfId="18" xr:uid="{00000000-0005-0000-0000-00001E000000}"/>
    <cellStyle name="Percent 4" xfId="10" xr:uid="{00000000-0005-0000-0000-00001F000000}"/>
    <cellStyle name="Percent 5" xfId="34" xr:uid="{1312736C-E2DF-461C-A8FD-2B667EC66595}"/>
    <cellStyle name="Percent 5 2" xfId="36" xr:uid="{22C8B438-F85B-4703-BAD7-A1E7C131B482}"/>
  </cellStyles>
  <dxfs count="35">
    <dxf>
      <font>
        <b val="0"/>
        <i val="0"/>
      </font>
      <numFmt numFmtId="1" formatCode="0"/>
      <fill>
        <patternFill>
          <bgColor rgb="FF00FF00"/>
        </patternFill>
      </fill>
    </dxf>
    <dxf>
      <font>
        <b/>
        <i val="0"/>
        <color theme="0"/>
      </font>
      <numFmt numFmtId="1" formatCode="0"/>
      <fill>
        <patternFill>
          <bgColor rgb="FFFF0000"/>
        </patternFill>
      </fill>
    </dxf>
    <dxf>
      <font>
        <b/>
        <i val="0"/>
        <color theme="0"/>
      </font>
      <numFmt numFmtId="1" formatCode="0"/>
      <fill>
        <patternFill>
          <bgColor rgb="FFFF0000"/>
        </patternFill>
      </fill>
    </dxf>
    <dxf>
      <numFmt numFmtId="1" formatCode="0"/>
      <fill>
        <patternFill>
          <bgColor rgb="FF00FF00"/>
        </patternFill>
      </fill>
    </dxf>
    <dxf>
      <font>
        <b/>
        <i val="0"/>
        <color theme="0"/>
      </font>
      <numFmt numFmtId="1" formatCode="0"/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</font>
      <numFmt numFmtId="1" formatCode="0"/>
      <fill>
        <patternFill>
          <bgColor rgb="FF00FF00"/>
        </patternFill>
      </fill>
    </dxf>
    <dxf>
      <font>
        <b/>
        <i val="0"/>
        <color theme="0"/>
      </font>
      <numFmt numFmtId="1" formatCode="0"/>
      <fill>
        <patternFill>
          <bgColor rgb="FFFF0000"/>
        </patternFill>
      </fill>
    </dxf>
    <dxf>
      <numFmt numFmtId="1" formatCode="0"/>
      <fill>
        <patternFill>
          <bgColor rgb="FF00FF00"/>
        </patternFill>
      </fill>
    </dxf>
    <dxf>
      <font>
        <b/>
        <i val="0"/>
        <color theme="0"/>
      </font>
      <numFmt numFmtId="1" formatCode="0"/>
      <fill>
        <patternFill>
          <bgColor rgb="FFFF0000"/>
        </patternFill>
      </fill>
    </dxf>
    <dxf>
      <numFmt numFmtId="1" formatCode="0"/>
      <fill>
        <patternFill>
          <bgColor rgb="FF00FF00"/>
        </patternFill>
      </fill>
    </dxf>
    <dxf>
      <font>
        <b val="0"/>
        <i val="0"/>
      </font>
      <numFmt numFmtId="1" formatCode="0"/>
      <fill>
        <patternFill>
          <bgColor rgb="FF00FF00"/>
        </patternFill>
      </fill>
    </dxf>
    <dxf>
      <font>
        <b/>
        <i val="0"/>
        <color theme="0"/>
      </font>
      <numFmt numFmtId="1" formatCode="0"/>
      <fill>
        <patternFill>
          <bgColor rgb="FFFF0000"/>
        </patternFill>
      </fill>
    </dxf>
    <dxf>
      <numFmt numFmtId="1" formatCode="0"/>
      <fill>
        <patternFill>
          <bgColor rgb="FF00FF00"/>
        </patternFill>
      </fill>
    </dxf>
    <dxf>
      <numFmt numFmtId="1" formatCode="0"/>
      <fill>
        <patternFill>
          <bgColor rgb="FF00FF00"/>
        </patternFill>
      </fill>
    </dxf>
    <dxf>
      <font>
        <b/>
        <i val="0"/>
        <color theme="0"/>
      </font>
      <numFmt numFmtId="1" formatCode="0"/>
      <fill>
        <patternFill>
          <bgColor rgb="FFFF0000"/>
        </patternFill>
      </fill>
    </dxf>
    <dxf>
      <numFmt numFmtId="1" formatCode="0"/>
      <fill>
        <patternFill>
          <bgColor rgb="FF00FF00"/>
        </patternFill>
      </fill>
    </dxf>
    <dxf>
      <numFmt numFmtId="1" formatCode="0"/>
      <fill>
        <patternFill>
          <bgColor rgb="FF00FF00"/>
        </patternFill>
      </fill>
    </dxf>
    <dxf>
      <font>
        <b/>
        <i val="0"/>
        <color theme="0"/>
      </font>
      <numFmt numFmtId="1" formatCode="0"/>
      <fill>
        <patternFill>
          <bgColor rgb="FFFF0000"/>
        </patternFill>
      </fill>
    </dxf>
    <dxf>
      <font>
        <b val="0"/>
        <i val="0"/>
      </font>
      <fill>
        <patternFill>
          <bgColor rgb="FF00FF00"/>
        </patternFill>
      </fill>
    </dxf>
    <dxf>
      <numFmt numFmtId="1" formatCode="0"/>
      <fill>
        <patternFill>
          <bgColor rgb="FF00FF00"/>
        </patternFill>
      </fill>
    </dxf>
    <dxf>
      <font>
        <b/>
        <i val="0"/>
        <color theme="0"/>
      </font>
      <numFmt numFmtId="1" formatCode="0"/>
      <fill>
        <patternFill>
          <bgColor rgb="FFFF0000"/>
        </patternFill>
      </fill>
    </dxf>
    <dxf>
      <numFmt numFmtId="1" formatCode="0"/>
      <fill>
        <patternFill>
          <bgColor rgb="FF00FF00"/>
        </patternFill>
      </fill>
    </dxf>
    <dxf>
      <font>
        <b/>
        <i val="0"/>
        <color theme="0"/>
      </font>
      <numFmt numFmtId="1" formatCode="0"/>
      <fill>
        <patternFill>
          <bgColor rgb="FFFF0000"/>
        </patternFill>
      </fill>
    </dxf>
    <dxf>
      <numFmt numFmtId="1" formatCode="0"/>
      <fill>
        <patternFill>
          <bgColor rgb="FF00FF00"/>
        </patternFill>
      </fill>
    </dxf>
    <dxf>
      <font>
        <b/>
        <i val="0"/>
        <color theme="0"/>
      </font>
      <numFmt numFmtId="1" formatCode="0"/>
      <fill>
        <patternFill>
          <bgColor rgb="FFFF0000"/>
        </patternFill>
      </fill>
    </dxf>
    <dxf>
      <numFmt numFmtId="1" formatCode="0"/>
      <fill>
        <patternFill>
          <bgColor rgb="FF00FF00"/>
        </patternFill>
      </fill>
    </dxf>
    <dxf>
      <font>
        <b/>
        <i val="0"/>
        <color theme="0"/>
      </font>
      <numFmt numFmtId="1" formatCode="0"/>
      <fill>
        <patternFill>
          <bgColor rgb="FFFF0000"/>
        </patternFill>
      </fill>
    </dxf>
    <dxf>
      <numFmt numFmtId="1" formatCode="0"/>
      <fill>
        <patternFill>
          <bgColor rgb="FF00FF00"/>
        </patternFill>
      </fill>
    </dxf>
    <dxf>
      <font>
        <b val="0"/>
        <i val="0"/>
      </font>
      <numFmt numFmtId="1" formatCode="0"/>
      <fill>
        <patternFill>
          <bgColor rgb="FF00FF00"/>
        </patternFill>
      </fill>
    </dxf>
    <dxf>
      <font>
        <b/>
        <i val="0"/>
        <color theme="0"/>
      </font>
      <numFmt numFmtId="1" formatCode="0"/>
      <fill>
        <patternFill>
          <bgColor rgb="FFFF0000"/>
        </patternFill>
      </fill>
    </dxf>
    <dxf>
      <numFmt numFmtId="1" formatCode="0"/>
      <fill>
        <patternFill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Melting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v>Melting Rate (MT)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Summary!$W$8:$W$38</c:f>
              <c:numCache>
                <c:formatCode>_-* #,##0_-;\-* #,##0_-;_-* "-"??_-;_-@_-</c:formatCode>
                <c:ptCount val="31"/>
                <c:pt idx="0">
                  <c:v>1620.22</c:v>
                </c:pt>
                <c:pt idx="1">
                  <c:v>1460.49</c:v>
                </c:pt>
                <c:pt idx="2">
                  <c:v>1700.82</c:v>
                </c:pt>
                <c:pt idx="3">
                  <c:v>1640.6</c:v>
                </c:pt>
                <c:pt idx="4">
                  <c:v>1750</c:v>
                </c:pt>
                <c:pt idx="5">
                  <c:v>1480.49</c:v>
                </c:pt>
                <c:pt idx="6">
                  <c:v>1700.8200000000002</c:v>
                </c:pt>
                <c:pt idx="7">
                  <c:v>1130.33</c:v>
                </c:pt>
                <c:pt idx="8">
                  <c:v>1660.5500000000002</c:v>
                </c:pt>
                <c:pt idx="9">
                  <c:v>1760.49</c:v>
                </c:pt>
                <c:pt idx="10">
                  <c:v>1750.8200000000002</c:v>
                </c:pt>
                <c:pt idx="11">
                  <c:v>1620.6</c:v>
                </c:pt>
                <c:pt idx="12">
                  <c:v>1750.55</c:v>
                </c:pt>
                <c:pt idx="13">
                  <c:v>1710.49</c:v>
                </c:pt>
                <c:pt idx="14">
                  <c:v>1680.82</c:v>
                </c:pt>
                <c:pt idx="15">
                  <c:v>1660.6</c:v>
                </c:pt>
                <c:pt idx="16">
                  <c:v>1710.5500000000002</c:v>
                </c:pt>
                <c:pt idx="17">
                  <c:v>1700.49</c:v>
                </c:pt>
                <c:pt idx="18">
                  <c:v>1620.82</c:v>
                </c:pt>
                <c:pt idx="19">
                  <c:v>1630.6</c:v>
                </c:pt>
                <c:pt idx="20">
                  <c:v>1610.5500000000002</c:v>
                </c:pt>
                <c:pt idx="21">
                  <c:v>1680.49</c:v>
                </c:pt>
                <c:pt idx="22">
                  <c:v>1760.8200000000002</c:v>
                </c:pt>
                <c:pt idx="23">
                  <c:v>1720.6</c:v>
                </c:pt>
                <c:pt idx="24">
                  <c:v>1870.55</c:v>
                </c:pt>
                <c:pt idx="25">
                  <c:v>1670.49</c:v>
                </c:pt>
                <c:pt idx="26">
                  <c:v>1660.82</c:v>
                </c:pt>
                <c:pt idx="27">
                  <c:v>1670.6</c:v>
                </c:pt>
                <c:pt idx="28">
                  <c:v>1700.5500000000002</c:v>
                </c:pt>
                <c:pt idx="29">
                  <c:v>1560.49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7-4F0E-8717-C1471AED2941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Summary!$Y$8:$Y$38</c:f>
              <c:numCache>
                <c:formatCode>_-* #,##0_-;\-* #,##0_-;_-* "-"??_-;_-@_-</c:formatCode>
                <c:ptCount val="31"/>
                <c:pt idx="0">
                  <c:v>1620.22</c:v>
                </c:pt>
                <c:pt idx="1">
                  <c:v>1460.49</c:v>
                </c:pt>
                <c:pt idx="2">
                  <c:v>1700.82</c:v>
                </c:pt>
                <c:pt idx="3">
                  <c:v>1640.6</c:v>
                </c:pt>
                <c:pt idx="4">
                  <c:v>1750</c:v>
                </c:pt>
                <c:pt idx="5">
                  <c:v>1480.49</c:v>
                </c:pt>
                <c:pt idx="6">
                  <c:v>1700.8200000000002</c:v>
                </c:pt>
                <c:pt idx="7">
                  <c:v>1130.33</c:v>
                </c:pt>
                <c:pt idx="8">
                  <c:v>1660.5500000000002</c:v>
                </c:pt>
                <c:pt idx="9">
                  <c:v>1760.49</c:v>
                </c:pt>
                <c:pt idx="10">
                  <c:v>1750.8200000000002</c:v>
                </c:pt>
                <c:pt idx="11">
                  <c:v>1620.6</c:v>
                </c:pt>
                <c:pt idx="12">
                  <c:v>1750.55</c:v>
                </c:pt>
                <c:pt idx="13">
                  <c:v>1710.49</c:v>
                </c:pt>
                <c:pt idx="14">
                  <c:v>1680.82</c:v>
                </c:pt>
                <c:pt idx="15">
                  <c:v>1660.6</c:v>
                </c:pt>
                <c:pt idx="16">
                  <c:v>1710.5500000000002</c:v>
                </c:pt>
                <c:pt idx="17">
                  <c:v>1700.49</c:v>
                </c:pt>
                <c:pt idx="18">
                  <c:v>1620.82</c:v>
                </c:pt>
                <c:pt idx="19">
                  <c:v>1630.6</c:v>
                </c:pt>
                <c:pt idx="20">
                  <c:v>1610.5500000000002</c:v>
                </c:pt>
                <c:pt idx="21">
                  <c:v>1680.49</c:v>
                </c:pt>
                <c:pt idx="22">
                  <c:v>1760.8200000000002</c:v>
                </c:pt>
                <c:pt idx="23">
                  <c:v>1720.6</c:v>
                </c:pt>
                <c:pt idx="24">
                  <c:v>0</c:v>
                </c:pt>
                <c:pt idx="25">
                  <c:v>1670.49</c:v>
                </c:pt>
                <c:pt idx="26">
                  <c:v>1660.82</c:v>
                </c:pt>
                <c:pt idx="27">
                  <c:v>1670.6</c:v>
                </c:pt>
                <c:pt idx="28">
                  <c:v>1700.5500000000002</c:v>
                </c:pt>
                <c:pt idx="29">
                  <c:v>1560.49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97-4F0E-8717-C1471AED294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4572032"/>
        <c:axId val="104573568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Summary!$X$8:$X$38</c:f>
              <c:numCache>
                <c:formatCode>_-* #,##0_-;\-* #,##0_-;_-* "-"??_-;_-@_-</c:formatCode>
                <c:ptCount val="31"/>
                <c:pt idx="0">
                  <c:v>1800</c:v>
                </c:pt>
                <c:pt idx="1">
                  <c:v>1800</c:v>
                </c:pt>
                <c:pt idx="2">
                  <c:v>1800</c:v>
                </c:pt>
                <c:pt idx="3">
                  <c:v>1800</c:v>
                </c:pt>
                <c:pt idx="4">
                  <c:v>1800</c:v>
                </c:pt>
                <c:pt idx="5">
                  <c:v>1800</c:v>
                </c:pt>
                <c:pt idx="6">
                  <c:v>1800</c:v>
                </c:pt>
                <c:pt idx="7">
                  <c:v>1800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1800</c:v>
                </c:pt>
                <c:pt idx="23">
                  <c:v>1800</c:v>
                </c:pt>
                <c:pt idx="24">
                  <c:v>1800</c:v>
                </c:pt>
                <c:pt idx="25">
                  <c:v>1800</c:v>
                </c:pt>
                <c:pt idx="26">
                  <c:v>1800</c:v>
                </c:pt>
                <c:pt idx="27">
                  <c:v>1800</c:v>
                </c:pt>
                <c:pt idx="28">
                  <c:v>1800</c:v>
                </c:pt>
                <c:pt idx="29">
                  <c:v>1800</c:v>
                </c:pt>
                <c:pt idx="30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97-4F0E-8717-C1471AED294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4572032"/>
        <c:axId val="104573568"/>
      </c:lineChart>
      <c:catAx>
        <c:axId val="10457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573568"/>
        <c:crosses val="autoZero"/>
        <c:auto val="1"/>
        <c:lblAlgn val="ctr"/>
        <c:lblOffset val="100"/>
        <c:noMultiLvlLbl val="0"/>
      </c:catAx>
      <c:valAx>
        <c:axId val="104573568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457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Weekly Melting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16465348621923734"/>
          <c:w val="0.97186259727829893"/>
          <c:h val="0.71707142092596354"/>
        </c:manualLayout>
      </c:layout>
      <c:barChart>
        <c:barDir val="col"/>
        <c:grouping val="clustered"/>
        <c:varyColors val="0"/>
        <c:ser>
          <c:idx val="0"/>
          <c:order val="0"/>
          <c:tx>
            <c:v>Melting Rate (MT)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Summary!$W$45:$W$49</c:f>
              <c:numCache>
                <c:formatCode>_-* #,##0_-;\-* #,##0_-;_-* "-"??_-;_-@_-</c:formatCode>
                <c:ptCount val="5"/>
                <c:pt idx="0">
                  <c:v>10863.55</c:v>
                </c:pt>
                <c:pt idx="1">
                  <c:v>11934.32</c:v>
                </c:pt>
                <c:pt idx="2">
                  <c:v>11614.1</c:v>
                </c:pt>
                <c:pt idx="3">
                  <c:v>12054.43</c:v>
                </c:pt>
                <c:pt idx="4">
                  <c:v>1560.49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11-46CD-BA80-5CC7579C80C4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Summary!$Y$45:$Y$49</c:f>
              <c:numCache>
                <c:formatCode>_-* #,##0_-;\-* #,##0_-;_-* "-"??_-;_-@_-</c:formatCode>
                <c:ptCount val="5"/>
                <c:pt idx="0">
                  <c:v>0</c:v>
                </c:pt>
                <c:pt idx="1">
                  <c:v>11934.32</c:v>
                </c:pt>
                <c:pt idx="2">
                  <c:v>11614.1</c:v>
                </c:pt>
                <c:pt idx="3">
                  <c:v>12054.43</c:v>
                </c:pt>
                <c:pt idx="4">
                  <c:v>1560.49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11-46CD-BA80-5CC7579C80C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141184"/>
        <c:axId val="106142720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Summary!$X$45:$X$49</c:f>
              <c:numCache>
                <c:formatCode>_-* #,##0_-;\-* #,##0_-;_-* "-"??_-;_-@_-</c:formatCode>
                <c:ptCount val="5"/>
                <c:pt idx="0">
                  <c:v>5400</c:v>
                </c:pt>
                <c:pt idx="1">
                  <c:v>12600</c:v>
                </c:pt>
                <c:pt idx="2">
                  <c:v>12600</c:v>
                </c:pt>
                <c:pt idx="3">
                  <c:v>12600</c:v>
                </c:pt>
                <c:pt idx="4">
                  <c:v>10800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11-46CD-BA80-5CC7579C80C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141184"/>
        <c:axId val="106142720"/>
      </c:lineChart>
      <c:catAx>
        <c:axId val="106141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142720"/>
        <c:crosses val="autoZero"/>
        <c:auto val="1"/>
        <c:lblAlgn val="ctr"/>
        <c:lblOffset val="100"/>
        <c:noMultiLvlLbl val="0"/>
      </c:catAx>
      <c:valAx>
        <c:axId val="106142720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0614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Packing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Summary!$Z$7</c:f>
              <c:strCache>
                <c:ptCount val="1"/>
                <c:pt idx="0">
                  <c:v>Packing (MT)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Summary!$Z$8:$Z$38</c:f>
              <c:numCache>
                <c:formatCode>_-* #,##0_-;\-* #,##0_-;_-* "-"??_-;_-@_-</c:formatCode>
                <c:ptCount val="31"/>
                <c:pt idx="0">
                  <c:v>1615.79</c:v>
                </c:pt>
                <c:pt idx="1">
                  <c:v>1670.92</c:v>
                </c:pt>
                <c:pt idx="2">
                  <c:v>1372.96</c:v>
                </c:pt>
                <c:pt idx="3">
                  <c:v>1734.09</c:v>
                </c:pt>
                <c:pt idx="4">
                  <c:v>1567.87</c:v>
                </c:pt>
                <c:pt idx="5">
                  <c:v>1578.76</c:v>
                </c:pt>
                <c:pt idx="6">
                  <c:v>1279.24</c:v>
                </c:pt>
                <c:pt idx="7">
                  <c:v>1085.7</c:v>
                </c:pt>
                <c:pt idx="8">
                  <c:v>1737.94</c:v>
                </c:pt>
                <c:pt idx="9">
                  <c:v>1467.9099999999999</c:v>
                </c:pt>
                <c:pt idx="10">
                  <c:v>1636.5899999999997</c:v>
                </c:pt>
                <c:pt idx="11">
                  <c:v>1445.96</c:v>
                </c:pt>
                <c:pt idx="12">
                  <c:v>1492.2</c:v>
                </c:pt>
                <c:pt idx="13">
                  <c:v>1682.01</c:v>
                </c:pt>
                <c:pt idx="14">
                  <c:v>1575.61</c:v>
                </c:pt>
                <c:pt idx="15">
                  <c:v>1614.94</c:v>
                </c:pt>
                <c:pt idx="16">
                  <c:v>1409.7249999999999</c:v>
                </c:pt>
                <c:pt idx="17">
                  <c:v>1369.23</c:v>
                </c:pt>
                <c:pt idx="18">
                  <c:v>1551.42</c:v>
                </c:pt>
                <c:pt idx="19">
                  <c:v>1410.1999999999998</c:v>
                </c:pt>
                <c:pt idx="20">
                  <c:v>1605.22</c:v>
                </c:pt>
                <c:pt idx="21">
                  <c:v>1487.2</c:v>
                </c:pt>
                <c:pt idx="22">
                  <c:v>1436.511</c:v>
                </c:pt>
                <c:pt idx="23">
                  <c:v>1486.527</c:v>
                </c:pt>
                <c:pt idx="24">
                  <c:v>1589</c:v>
                </c:pt>
                <c:pt idx="25">
                  <c:v>1598.8</c:v>
                </c:pt>
                <c:pt idx="26">
                  <c:v>1532.6299999999999</c:v>
                </c:pt>
                <c:pt idx="27">
                  <c:v>1625.5</c:v>
                </c:pt>
                <c:pt idx="28">
                  <c:v>1488.1000000000001</c:v>
                </c:pt>
                <c:pt idx="29">
                  <c:v>1534.56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E-4C33-BC62-6F71D8F4628F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Summary!$AB$8:$AB$38</c:f>
              <c:numCache>
                <c:formatCode>_-* #,##0_-;\-* #,##0_-;_-* "-"??_-;_-@_-</c:formatCode>
                <c:ptCount val="31"/>
                <c:pt idx="0">
                  <c:v>1615.79</c:v>
                </c:pt>
                <c:pt idx="1">
                  <c:v>1670.92</c:v>
                </c:pt>
                <c:pt idx="2">
                  <c:v>1372.96</c:v>
                </c:pt>
                <c:pt idx="3">
                  <c:v>1734.09</c:v>
                </c:pt>
                <c:pt idx="4">
                  <c:v>1567.87</c:v>
                </c:pt>
                <c:pt idx="5">
                  <c:v>1578.76</c:v>
                </c:pt>
                <c:pt idx="6">
                  <c:v>1279.24</c:v>
                </c:pt>
                <c:pt idx="7">
                  <c:v>1085.7</c:v>
                </c:pt>
                <c:pt idx="8">
                  <c:v>0</c:v>
                </c:pt>
                <c:pt idx="9">
                  <c:v>1467.9099999999999</c:v>
                </c:pt>
                <c:pt idx="10">
                  <c:v>1636.5899999999997</c:v>
                </c:pt>
                <c:pt idx="11">
                  <c:v>1445.96</c:v>
                </c:pt>
                <c:pt idx="12">
                  <c:v>1492.2</c:v>
                </c:pt>
                <c:pt idx="13">
                  <c:v>1682.01</c:v>
                </c:pt>
                <c:pt idx="14">
                  <c:v>1575.61</c:v>
                </c:pt>
                <c:pt idx="15">
                  <c:v>1614.94</c:v>
                </c:pt>
                <c:pt idx="16">
                  <c:v>1409.7249999999999</c:v>
                </c:pt>
                <c:pt idx="17">
                  <c:v>1369.23</c:v>
                </c:pt>
                <c:pt idx="18">
                  <c:v>1551.42</c:v>
                </c:pt>
                <c:pt idx="19">
                  <c:v>1410.1999999999998</c:v>
                </c:pt>
                <c:pt idx="20">
                  <c:v>1605.22</c:v>
                </c:pt>
                <c:pt idx="21">
                  <c:v>1487.2</c:v>
                </c:pt>
                <c:pt idx="22">
                  <c:v>1436.511</c:v>
                </c:pt>
                <c:pt idx="23">
                  <c:v>1486.527</c:v>
                </c:pt>
                <c:pt idx="24">
                  <c:v>1589</c:v>
                </c:pt>
                <c:pt idx="25">
                  <c:v>1598.8</c:v>
                </c:pt>
                <c:pt idx="26">
                  <c:v>1532.6299999999999</c:v>
                </c:pt>
                <c:pt idx="27">
                  <c:v>1625.5</c:v>
                </c:pt>
                <c:pt idx="28">
                  <c:v>1488.1000000000001</c:v>
                </c:pt>
                <c:pt idx="29">
                  <c:v>1534.56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6E-4C33-BC62-6F71D8F462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190720"/>
        <c:axId val="106192256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Summary!$AA$8:$AA$38</c:f>
              <c:numCache>
                <c:formatCode>_-* #,##0_-;\-* #,##0_-;_-* "-"??_-;_-@_-</c:formatCode>
                <c:ptCount val="31"/>
                <c:pt idx="0">
                  <c:v>1737</c:v>
                </c:pt>
                <c:pt idx="1">
                  <c:v>1737</c:v>
                </c:pt>
                <c:pt idx="2">
                  <c:v>1737</c:v>
                </c:pt>
                <c:pt idx="3">
                  <c:v>1737</c:v>
                </c:pt>
                <c:pt idx="4">
                  <c:v>1737</c:v>
                </c:pt>
                <c:pt idx="5">
                  <c:v>1737</c:v>
                </c:pt>
                <c:pt idx="6">
                  <c:v>1737</c:v>
                </c:pt>
                <c:pt idx="7">
                  <c:v>1737</c:v>
                </c:pt>
                <c:pt idx="8">
                  <c:v>1737</c:v>
                </c:pt>
                <c:pt idx="9">
                  <c:v>1737</c:v>
                </c:pt>
                <c:pt idx="10">
                  <c:v>1737</c:v>
                </c:pt>
                <c:pt idx="11">
                  <c:v>1737</c:v>
                </c:pt>
                <c:pt idx="12">
                  <c:v>1737</c:v>
                </c:pt>
                <c:pt idx="13">
                  <c:v>1737</c:v>
                </c:pt>
                <c:pt idx="14">
                  <c:v>1737</c:v>
                </c:pt>
                <c:pt idx="15">
                  <c:v>1737</c:v>
                </c:pt>
                <c:pt idx="16">
                  <c:v>1737</c:v>
                </c:pt>
                <c:pt idx="17">
                  <c:v>1737</c:v>
                </c:pt>
                <c:pt idx="18">
                  <c:v>1737</c:v>
                </c:pt>
                <c:pt idx="19">
                  <c:v>1737</c:v>
                </c:pt>
                <c:pt idx="20">
                  <c:v>1737</c:v>
                </c:pt>
                <c:pt idx="21">
                  <c:v>1737</c:v>
                </c:pt>
                <c:pt idx="22">
                  <c:v>1737</c:v>
                </c:pt>
                <c:pt idx="23">
                  <c:v>1737</c:v>
                </c:pt>
                <c:pt idx="24">
                  <c:v>1737</c:v>
                </c:pt>
                <c:pt idx="25">
                  <c:v>1737</c:v>
                </c:pt>
                <c:pt idx="26">
                  <c:v>1737</c:v>
                </c:pt>
                <c:pt idx="27">
                  <c:v>1737</c:v>
                </c:pt>
                <c:pt idx="28">
                  <c:v>1737</c:v>
                </c:pt>
                <c:pt idx="29">
                  <c:v>1737</c:v>
                </c:pt>
                <c:pt idx="30">
                  <c:v>1737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6E-4C33-BC62-6F71D8F462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190720"/>
        <c:axId val="106192256"/>
      </c:lineChart>
      <c:catAx>
        <c:axId val="10619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192256"/>
        <c:crosses val="autoZero"/>
        <c:auto val="1"/>
        <c:lblAlgn val="ctr"/>
        <c:lblOffset val="100"/>
        <c:noMultiLvlLbl val="0"/>
      </c:catAx>
      <c:valAx>
        <c:axId val="106192256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619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Weekly Packing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16465348621923734"/>
          <c:w val="0.97186259727829893"/>
          <c:h val="0.71707142092596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Summary!$Z$44</c:f>
              <c:strCache>
                <c:ptCount val="1"/>
                <c:pt idx="0">
                  <c:v>Packing (MT)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Summary!$Z$45:$Z$49</c:f>
              <c:numCache>
                <c:formatCode>_-* #,##0_-;\-* #,##0_-;_-* "-"??_-;_-@_-</c:formatCode>
                <c:ptCount val="5"/>
                <c:pt idx="0">
                  <c:v>10289.540000000001</c:v>
                </c:pt>
                <c:pt idx="1">
                  <c:v>11038.22</c:v>
                </c:pt>
                <c:pt idx="2">
                  <c:v>10447.935000000001</c:v>
                </c:pt>
                <c:pt idx="3">
                  <c:v>10757.068000000001</c:v>
                </c:pt>
                <c:pt idx="4">
                  <c:v>1534.56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3A-4597-B413-F79C7C5F8331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Summary!$AB$45:$AB$49</c:f>
              <c:numCache>
                <c:formatCode>_-* #,##0_-;\-* #,##0_-;_-* "-"??_-;_-@_-</c:formatCode>
                <c:ptCount val="5"/>
                <c:pt idx="0">
                  <c:v>0</c:v>
                </c:pt>
                <c:pt idx="1">
                  <c:v>11038.22</c:v>
                </c:pt>
                <c:pt idx="2">
                  <c:v>10447.935000000001</c:v>
                </c:pt>
                <c:pt idx="3">
                  <c:v>10757.068000000001</c:v>
                </c:pt>
                <c:pt idx="4">
                  <c:v>1534.56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3A-4597-B413-F79C7C5F83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252544"/>
        <c:axId val="106262528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Summary!$AA$45:$AA$49</c:f>
              <c:numCache>
                <c:formatCode>_-* #,##0_-;\-* #,##0_-;_-* "-"??_-;_-@_-</c:formatCode>
                <c:ptCount val="5"/>
                <c:pt idx="0">
                  <c:v>5211</c:v>
                </c:pt>
                <c:pt idx="1">
                  <c:v>12159</c:v>
                </c:pt>
                <c:pt idx="2">
                  <c:v>12159</c:v>
                </c:pt>
                <c:pt idx="3">
                  <c:v>12159</c:v>
                </c:pt>
                <c:pt idx="4">
                  <c:v>10422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3A-4597-B413-F79C7C5F83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252544"/>
        <c:axId val="106262528"/>
      </c:lineChart>
      <c:catAx>
        <c:axId val="10625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262528"/>
        <c:crosses val="autoZero"/>
        <c:auto val="1"/>
        <c:lblAlgn val="ctr"/>
        <c:lblOffset val="100"/>
        <c:noMultiLvlLbl val="0"/>
      </c:catAx>
      <c:valAx>
        <c:axId val="106262528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0625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Weekly Final Yield%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16465348621923734"/>
          <c:w val="0.97186259727829893"/>
          <c:h val="0.71707142092596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Summary!$AC$44</c:f>
              <c:strCache>
                <c:ptCount val="1"/>
                <c:pt idx="0">
                  <c:v>Final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Summary!$AC$45:$AC$49</c:f>
              <c:numCache>
                <c:formatCode>0%</c:formatCode>
                <c:ptCount val="5"/>
                <c:pt idx="0">
                  <c:v>0.95070580059004672</c:v>
                </c:pt>
                <c:pt idx="1">
                  <c:v>0.8949165096964049</c:v>
                </c:pt>
                <c:pt idx="2">
                  <c:v>0.89397241284300988</c:v>
                </c:pt>
                <c:pt idx="3">
                  <c:v>0.92286138788810423</c:v>
                </c:pt>
                <c:pt idx="4">
                  <c:v>1.0763029561227562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F7-4BC3-AD5D-F762EF7E2E3E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Summary!$AE$45:$AE$49</c:f>
              <c:numCache>
                <c:formatCode>0.0%</c:formatCode>
                <c:ptCount val="5"/>
                <c:pt idx="0">
                  <c:v>0.95070580059004672</c:v>
                </c:pt>
                <c:pt idx="1">
                  <c:v>0.8949165096964049</c:v>
                </c:pt>
                <c:pt idx="2">
                  <c:v>0.89397241284300988</c:v>
                </c:pt>
                <c:pt idx="3">
                  <c:v>0.92286138788810423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F7-4BC3-AD5D-F762EF7E2E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93657728"/>
        <c:axId val="93684096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Summary!$AD$45:$AD$49</c:f>
              <c:numCache>
                <c:formatCode>0.0%</c:formatCode>
                <c:ptCount val="5"/>
                <c:pt idx="0">
                  <c:v>0.96499999999999997</c:v>
                </c:pt>
                <c:pt idx="1">
                  <c:v>0.96499999999999997</c:v>
                </c:pt>
                <c:pt idx="2">
                  <c:v>0.96499999999999997</c:v>
                </c:pt>
                <c:pt idx="3">
                  <c:v>0.96499999999999997</c:v>
                </c:pt>
                <c:pt idx="4">
                  <c:v>0.96499999999999997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F7-4BC3-AD5D-F762EF7E2E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3657728"/>
        <c:axId val="93684096"/>
      </c:lineChart>
      <c:catAx>
        <c:axId val="9365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684096"/>
        <c:crosses val="autoZero"/>
        <c:auto val="1"/>
        <c:lblAlgn val="ctr"/>
        <c:lblOffset val="100"/>
        <c:noMultiLvlLbl val="0"/>
      </c:catAx>
      <c:valAx>
        <c:axId val="93684096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9365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Final Yield</a:t>
            </a:r>
            <a:r>
              <a:rPr lang="en-US" sz="1800" baseline="0"/>
              <a:t> %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Summary!$AC$7</c:f>
              <c:strCache>
                <c:ptCount val="1"/>
                <c:pt idx="0">
                  <c:v>Final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Summary!$AC$8:$AC$38</c:f>
              <c:numCache>
                <c:formatCode>0.0%</c:formatCode>
                <c:ptCount val="31"/>
                <c:pt idx="0">
                  <c:v>1.2486205577020404</c:v>
                </c:pt>
                <c:pt idx="1">
                  <c:v>1.1565775869742347</c:v>
                </c:pt>
                <c:pt idx="2">
                  <c:v>0.819140179442857</c:v>
                </c:pt>
                <c:pt idx="3">
                  <c:v>0.82642935511398263</c:v>
                </c:pt>
                <c:pt idx="4">
                  <c:v>1.074782857142857</c:v>
                </c:pt>
                <c:pt idx="5">
                  <c:v>1.1031888091104971</c:v>
                </c:pt>
                <c:pt idx="6">
                  <c:v>0.80534095318728605</c:v>
                </c:pt>
                <c:pt idx="7">
                  <c:v>0.8601028018366319</c:v>
                </c:pt>
                <c:pt idx="8">
                  <c:v>1.0002348619433319</c:v>
                </c:pt>
                <c:pt idx="9">
                  <c:v>0.96161296002817387</c:v>
                </c:pt>
                <c:pt idx="10">
                  <c:v>0.81566922927542496</c:v>
                </c:pt>
                <c:pt idx="11">
                  <c:v>0.87866222386770343</c:v>
                </c:pt>
                <c:pt idx="12">
                  <c:v>0.98294821627488504</c:v>
                </c:pt>
                <c:pt idx="13">
                  <c:v>0.8637934159217534</c:v>
                </c:pt>
                <c:pt idx="14">
                  <c:v>0.90051879439797244</c:v>
                </c:pt>
                <c:pt idx="15">
                  <c:v>0.92779115982175131</c:v>
                </c:pt>
                <c:pt idx="16">
                  <c:v>0.85585045745520427</c:v>
                </c:pt>
                <c:pt idx="17">
                  <c:v>0.83371851642761796</c:v>
                </c:pt>
                <c:pt idx="18">
                  <c:v>0.9929665231179281</c:v>
                </c:pt>
                <c:pt idx="19">
                  <c:v>0.85716914019379364</c:v>
                </c:pt>
                <c:pt idx="20">
                  <c:v>0.95695259383440434</c:v>
                </c:pt>
                <c:pt idx="21">
                  <c:v>0.86742557230331629</c:v>
                </c:pt>
                <c:pt idx="22">
                  <c:v>0.84506707102372747</c:v>
                </c:pt>
                <c:pt idx="23">
                  <c:v>0.850591072881553</c:v>
                </c:pt>
                <c:pt idx="24">
                  <c:v>0.89813156558231544</c:v>
                </c:pt>
                <c:pt idx="25">
                  <c:v>0.91937096301085308</c:v>
                </c:pt>
                <c:pt idx="26">
                  <c:v>0.97068315651304771</c:v>
                </c:pt>
                <c:pt idx="27">
                  <c:v>0.89279300849994014</c:v>
                </c:pt>
                <c:pt idx="28">
                  <c:v>0.8727176501720032</c:v>
                </c:pt>
                <c:pt idx="29">
                  <c:v>1.0144634057251247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66-4709-AB5C-B413261286CB}"/>
            </c:ext>
          </c:extLst>
        </c:ser>
        <c:ser>
          <c:idx val="1"/>
          <c:order val="1"/>
          <c:tx>
            <c:strRef>
              <c:f>Summary!$AE$7</c:f>
              <c:strCache>
                <c:ptCount val="1"/>
                <c:pt idx="0">
                  <c:v>Target missed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Summary!$AE$8:$AE$38</c:f>
              <c:numCache>
                <c:formatCode>0.0%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0.819140179442857</c:v>
                </c:pt>
                <c:pt idx="3">
                  <c:v>0.82642935511398263</c:v>
                </c:pt>
                <c:pt idx="4">
                  <c:v>0</c:v>
                </c:pt>
                <c:pt idx="5">
                  <c:v>0</c:v>
                </c:pt>
                <c:pt idx="6">
                  <c:v>0.80534095318728605</c:v>
                </c:pt>
                <c:pt idx="7">
                  <c:v>0.8601028018366319</c:v>
                </c:pt>
                <c:pt idx="8">
                  <c:v>0</c:v>
                </c:pt>
                <c:pt idx="9">
                  <c:v>0.96161296002817387</c:v>
                </c:pt>
                <c:pt idx="10">
                  <c:v>0.81566922927542496</c:v>
                </c:pt>
                <c:pt idx="11">
                  <c:v>0.87866222386770343</c:v>
                </c:pt>
                <c:pt idx="12">
                  <c:v>0</c:v>
                </c:pt>
                <c:pt idx="13">
                  <c:v>0.8637934159217534</c:v>
                </c:pt>
                <c:pt idx="14">
                  <c:v>0.90051879439797244</c:v>
                </c:pt>
                <c:pt idx="15">
                  <c:v>0.92779115982175131</c:v>
                </c:pt>
                <c:pt idx="16">
                  <c:v>0.85585045745520427</c:v>
                </c:pt>
                <c:pt idx="17">
                  <c:v>0.83371851642761796</c:v>
                </c:pt>
                <c:pt idx="18">
                  <c:v>0</c:v>
                </c:pt>
                <c:pt idx="19">
                  <c:v>0.85716914019379364</c:v>
                </c:pt>
                <c:pt idx="20">
                  <c:v>0.95695259383440434</c:v>
                </c:pt>
                <c:pt idx="21">
                  <c:v>0.86742557230331629</c:v>
                </c:pt>
                <c:pt idx="22">
                  <c:v>0.84506707102372747</c:v>
                </c:pt>
                <c:pt idx="23">
                  <c:v>0.850591072881553</c:v>
                </c:pt>
                <c:pt idx="24">
                  <c:v>0.89813156558231544</c:v>
                </c:pt>
                <c:pt idx="25">
                  <c:v>0.91937096301085308</c:v>
                </c:pt>
                <c:pt idx="26">
                  <c:v>0</c:v>
                </c:pt>
                <c:pt idx="27">
                  <c:v>0.89279300849994014</c:v>
                </c:pt>
                <c:pt idx="28">
                  <c:v>0.8727176501720032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66-4709-AB5C-B413261286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93711360"/>
        <c:axId val="102798080"/>
      </c:barChart>
      <c:lineChart>
        <c:grouping val="standard"/>
        <c:varyColors val="0"/>
        <c:ser>
          <c:idx val="2"/>
          <c:order val="2"/>
          <c:tx>
            <c:strRef>
              <c:f>Summary!$AD$7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Summary!$AD$8:$AD$38</c:f>
              <c:numCache>
                <c:formatCode>0.0%</c:formatCode>
                <c:ptCount val="31"/>
                <c:pt idx="0">
                  <c:v>0.96499999999999997</c:v>
                </c:pt>
                <c:pt idx="1">
                  <c:v>0.96499999999999997</c:v>
                </c:pt>
                <c:pt idx="2">
                  <c:v>0.96499999999999997</c:v>
                </c:pt>
                <c:pt idx="3">
                  <c:v>0.96499999999999997</c:v>
                </c:pt>
                <c:pt idx="4">
                  <c:v>0.96499999999999997</c:v>
                </c:pt>
                <c:pt idx="5">
                  <c:v>0.96499999999999997</c:v>
                </c:pt>
                <c:pt idx="6">
                  <c:v>0.96499999999999997</c:v>
                </c:pt>
                <c:pt idx="7">
                  <c:v>0.96499999999999997</c:v>
                </c:pt>
                <c:pt idx="8">
                  <c:v>0.96499999999999997</c:v>
                </c:pt>
                <c:pt idx="9">
                  <c:v>0.96499999999999997</c:v>
                </c:pt>
                <c:pt idx="10">
                  <c:v>0.96499999999999997</c:v>
                </c:pt>
                <c:pt idx="11">
                  <c:v>0.96499999999999997</c:v>
                </c:pt>
                <c:pt idx="12">
                  <c:v>0.96499999999999997</c:v>
                </c:pt>
                <c:pt idx="13">
                  <c:v>0.96499999999999997</c:v>
                </c:pt>
                <c:pt idx="14">
                  <c:v>0.96499999999999997</c:v>
                </c:pt>
                <c:pt idx="15">
                  <c:v>0.96499999999999997</c:v>
                </c:pt>
                <c:pt idx="16">
                  <c:v>0.96499999999999997</c:v>
                </c:pt>
                <c:pt idx="17">
                  <c:v>0.96499999999999997</c:v>
                </c:pt>
                <c:pt idx="18">
                  <c:v>0.96499999999999997</c:v>
                </c:pt>
                <c:pt idx="19">
                  <c:v>0.96499999999999997</c:v>
                </c:pt>
                <c:pt idx="20">
                  <c:v>0.96499999999999997</c:v>
                </c:pt>
                <c:pt idx="21">
                  <c:v>0.96499999999999997</c:v>
                </c:pt>
                <c:pt idx="22">
                  <c:v>0.96499999999999997</c:v>
                </c:pt>
                <c:pt idx="23">
                  <c:v>0.96499999999999997</c:v>
                </c:pt>
                <c:pt idx="24">
                  <c:v>0.96499999999999997</c:v>
                </c:pt>
                <c:pt idx="25">
                  <c:v>0.96499999999999997</c:v>
                </c:pt>
                <c:pt idx="26">
                  <c:v>0.96499999999999997</c:v>
                </c:pt>
                <c:pt idx="27">
                  <c:v>0.96499999999999997</c:v>
                </c:pt>
                <c:pt idx="28">
                  <c:v>0.96499999999999997</c:v>
                </c:pt>
                <c:pt idx="29">
                  <c:v>0.96499999999999997</c:v>
                </c:pt>
                <c:pt idx="30">
                  <c:v>0.96499999999999997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66-4709-AB5C-B413261286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3711360"/>
        <c:axId val="102798080"/>
      </c:lineChart>
      <c:catAx>
        <c:axId val="9371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2798080"/>
        <c:crosses val="autoZero"/>
        <c:auto val="1"/>
        <c:lblAlgn val="ctr"/>
        <c:lblOffset val="100"/>
        <c:noMultiLvlLbl val="0"/>
      </c:catAx>
      <c:valAx>
        <c:axId val="102798080"/>
        <c:scaling>
          <c:orientation val="minMax"/>
        </c:scaling>
        <c:delete val="1"/>
        <c:axPos val="l"/>
        <c:numFmt formatCode="0.0%" sourceLinked="0"/>
        <c:majorTickMark val="out"/>
        <c:minorTickMark val="none"/>
        <c:tickLblPos val="none"/>
        <c:crossAx val="93711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Weekly Packing Yield%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16465348621923734"/>
          <c:w val="0.97186259727829893"/>
          <c:h val="0.71707142092596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Summary!$AF$44</c:f>
              <c:strCache>
                <c:ptCount val="1"/>
                <c:pt idx="0">
                  <c:v>Packing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Summary!$AF$45:$AF$49</c:f>
              <c:numCache>
                <c:formatCode>0.0%</c:formatCode>
                <c:ptCount val="5"/>
                <c:pt idx="0">
                  <c:v>0.42892700820634144</c:v>
                </c:pt>
                <c:pt idx="1">
                  <c:v>0.87575245175259253</c:v>
                </c:pt>
                <c:pt idx="2">
                  <c:v>0.93481500934209272</c:v>
                </c:pt>
                <c:pt idx="3">
                  <c:v>0.85829923107106687</c:v>
                </c:pt>
                <c:pt idx="4">
                  <c:v>6.003620657613955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54-4C13-BAC6-1A533097CC8A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Summary!$AH$45:$AH$49</c:f>
              <c:numCache>
                <c:formatCode>0.0%</c:formatCode>
                <c:ptCount val="5"/>
                <c:pt idx="0">
                  <c:v>0.42892700820634144</c:v>
                </c:pt>
                <c:pt idx="1">
                  <c:v>0.87575245175259253</c:v>
                </c:pt>
                <c:pt idx="2">
                  <c:v>0.93481500934209272</c:v>
                </c:pt>
                <c:pt idx="3">
                  <c:v>0.85829923107106687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54-4C13-BAC6-1A533097CC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388864"/>
        <c:axId val="106398848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Summary!$AG$45:$AG$49</c:f>
              <c:numCache>
                <c:formatCode>0.0%</c:formatCode>
                <c:ptCount val="5"/>
                <c:pt idx="0">
                  <c:v>0.96499999999999997</c:v>
                </c:pt>
                <c:pt idx="1">
                  <c:v>0.96499999999999997</c:v>
                </c:pt>
                <c:pt idx="2">
                  <c:v>0.96499999999999997</c:v>
                </c:pt>
                <c:pt idx="3">
                  <c:v>0.96499999999999997</c:v>
                </c:pt>
                <c:pt idx="4">
                  <c:v>0.96499999999999997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54-4C13-BAC6-1A533097CC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388864"/>
        <c:axId val="106398848"/>
      </c:lineChart>
      <c:catAx>
        <c:axId val="10638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398848"/>
        <c:crosses val="autoZero"/>
        <c:auto val="1"/>
        <c:lblAlgn val="ctr"/>
        <c:lblOffset val="100"/>
        <c:noMultiLvlLbl val="0"/>
      </c:catAx>
      <c:valAx>
        <c:axId val="106398848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0638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Packing Yield</a:t>
            </a:r>
            <a:r>
              <a:rPr lang="en-US" sz="1800" baseline="0"/>
              <a:t> %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Summary!$AF$7</c:f>
              <c:strCache>
                <c:ptCount val="1"/>
                <c:pt idx="0">
                  <c:v>Packing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Summary!$AF$8:$AF$38</c:f>
              <c:numCache>
                <c:formatCode>0.0%</c:formatCode>
                <c:ptCount val="31"/>
                <c:pt idx="0">
                  <c:v>0.99726580340941351</c:v>
                </c:pt>
                <c:pt idx="1">
                  <c:v>1.1440817807722066</c:v>
                </c:pt>
                <c:pt idx="2">
                  <c:v>0.80723415764160822</c:v>
                </c:pt>
                <c:pt idx="3">
                  <c:v>1.056985249299037</c:v>
                </c:pt>
                <c:pt idx="4">
                  <c:v>0.89592571428571421</c:v>
                </c:pt>
                <c:pt idx="5">
                  <c:v>1.0663766725881296</c:v>
                </c:pt>
                <c:pt idx="6">
                  <c:v>0.75213132489034695</c:v>
                </c:pt>
                <c:pt idx="7">
                  <c:v>0.96051595551741542</c:v>
                </c:pt>
                <c:pt idx="8">
                  <c:v>1.0466050404986298</c:v>
                </c:pt>
                <c:pt idx="9">
                  <c:v>0.83380763310214756</c:v>
                </c:pt>
                <c:pt idx="10">
                  <c:v>0.93475628562616353</c:v>
                </c:pt>
                <c:pt idx="11">
                  <c:v>0.8922374429223745</c:v>
                </c:pt>
                <c:pt idx="12">
                  <c:v>0.85241781154494312</c:v>
                </c:pt>
                <c:pt idx="13">
                  <c:v>0.98334980034960739</c:v>
                </c:pt>
                <c:pt idx="14">
                  <c:v>0.93740555205197462</c:v>
                </c:pt>
                <c:pt idx="15">
                  <c:v>0.97250391424786231</c:v>
                </c:pt>
                <c:pt idx="16">
                  <c:v>0.82413551196983414</c:v>
                </c:pt>
                <c:pt idx="17">
                  <c:v>0.80519732547677436</c:v>
                </c:pt>
                <c:pt idx="18">
                  <c:v>0.9571821670512457</c:v>
                </c:pt>
                <c:pt idx="19">
                  <c:v>0.86483503005028817</c:v>
                </c:pt>
                <c:pt idx="20">
                  <c:v>0.99669057154388241</c:v>
                </c:pt>
                <c:pt idx="21">
                  <c:v>0.88497997607840573</c:v>
                </c:pt>
                <c:pt idx="22">
                  <c:v>0.81581933417385077</c:v>
                </c:pt>
                <c:pt idx="23">
                  <c:v>0.86395850284784381</c:v>
                </c:pt>
                <c:pt idx="24">
                  <c:v>0.84948277244660664</c:v>
                </c:pt>
                <c:pt idx="25">
                  <c:v>0.95708444827565564</c:v>
                </c:pt>
                <c:pt idx="26">
                  <c:v>0.92281523584735248</c:v>
                </c:pt>
                <c:pt idx="27">
                  <c:v>0.97300371124147023</c:v>
                </c:pt>
                <c:pt idx="28">
                  <c:v>0.87506983034900476</c:v>
                </c:pt>
                <c:pt idx="29">
                  <c:v>0.98338342443719595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D-483D-954E-0FF5936DDE4D}"/>
            </c:ext>
          </c:extLst>
        </c:ser>
        <c:ser>
          <c:idx val="1"/>
          <c:order val="1"/>
          <c:tx>
            <c:strRef>
              <c:f>Summary!$AE$7</c:f>
              <c:strCache>
                <c:ptCount val="1"/>
                <c:pt idx="0">
                  <c:v>Target missed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Summary!$AH$8:$AH$38</c:f>
              <c:numCache>
                <c:formatCode>0.0%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0.80723415764160822</c:v>
                </c:pt>
                <c:pt idx="3">
                  <c:v>0</c:v>
                </c:pt>
                <c:pt idx="4">
                  <c:v>0.89592571428571421</c:v>
                </c:pt>
                <c:pt idx="5">
                  <c:v>0</c:v>
                </c:pt>
                <c:pt idx="6">
                  <c:v>0.75213132489034695</c:v>
                </c:pt>
                <c:pt idx="7">
                  <c:v>0</c:v>
                </c:pt>
                <c:pt idx="8">
                  <c:v>0</c:v>
                </c:pt>
                <c:pt idx="9">
                  <c:v>0.83380763310214756</c:v>
                </c:pt>
                <c:pt idx="10">
                  <c:v>0.93475628562616353</c:v>
                </c:pt>
                <c:pt idx="11">
                  <c:v>0.8922374429223745</c:v>
                </c:pt>
                <c:pt idx="12">
                  <c:v>0.85241781154494312</c:v>
                </c:pt>
                <c:pt idx="13">
                  <c:v>0</c:v>
                </c:pt>
                <c:pt idx="14">
                  <c:v>0.93740555205197462</c:v>
                </c:pt>
                <c:pt idx="15">
                  <c:v>0</c:v>
                </c:pt>
                <c:pt idx="16">
                  <c:v>0.82413551196983414</c:v>
                </c:pt>
                <c:pt idx="17">
                  <c:v>0.80519732547677436</c:v>
                </c:pt>
                <c:pt idx="18">
                  <c:v>0</c:v>
                </c:pt>
                <c:pt idx="19">
                  <c:v>0.86483503005028817</c:v>
                </c:pt>
                <c:pt idx="20">
                  <c:v>0</c:v>
                </c:pt>
                <c:pt idx="21">
                  <c:v>0.88497997607840573</c:v>
                </c:pt>
                <c:pt idx="22">
                  <c:v>0.81581933417385077</c:v>
                </c:pt>
                <c:pt idx="23">
                  <c:v>0.86395850284784381</c:v>
                </c:pt>
                <c:pt idx="24">
                  <c:v>0.84948277244660664</c:v>
                </c:pt>
                <c:pt idx="25">
                  <c:v>0</c:v>
                </c:pt>
                <c:pt idx="26">
                  <c:v>0.92281523584735248</c:v>
                </c:pt>
                <c:pt idx="27">
                  <c:v>0</c:v>
                </c:pt>
                <c:pt idx="28">
                  <c:v>0.87506983034900476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DD-483D-954E-0FF5936DDE4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312064"/>
        <c:axId val="106313600"/>
      </c:barChart>
      <c:lineChart>
        <c:grouping val="standard"/>
        <c:varyColors val="0"/>
        <c:ser>
          <c:idx val="2"/>
          <c:order val="2"/>
          <c:tx>
            <c:strRef>
              <c:f>Summary!$AD$7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Summary!$AG$8:$AG$38</c:f>
              <c:numCache>
                <c:formatCode>0.0%</c:formatCode>
                <c:ptCount val="31"/>
                <c:pt idx="0">
                  <c:v>0.95499999999999996</c:v>
                </c:pt>
                <c:pt idx="1">
                  <c:v>0.95499999999999996</c:v>
                </c:pt>
                <c:pt idx="2">
                  <c:v>0.95499999999999996</c:v>
                </c:pt>
                <c:pt idx="3">
                  <c:v>0.95499999999999996</c:v>
                </c:pt>
                <c:pt idx="4">
                  <c:v>0.95499999999999996</c:v>
                </c:pt>
                <c:pt idx="5">
                  <c:v>0.95499999999999996</c:v>
                </c:pt>
                <c:pt idx="6">
                  <c:v>0.95499999999999996</c:v>
                </c:pt>
                <c:pt idx="7">
                  <c:v>0.95499999999999996</c:v>
                </c:pt>
                <c:pt idx="8">
                  <c:v>0.95499999999999996</c:v>
                </c:pt>
                <c:pt idx="9">
                  <c:v>0.95499999999999996</c:v>
                </c:pt>
                <c:pt idx="10">
                  <c:v>0.95499999999999996</c:v>
                </c:pt>
                <c:pt idx="11">
                  <c:v>0.95499999999999996</c:v>
                </c:pt>
                <c:pt idx="12">
                  <c:v>0.95499999999999996</c:v>
                </c:pt>
                <c:pt idx="13">
                  <c:v>0.95499999999999996</c:v>
                </c:pt>
                <c:pt idx="14">
                  <c:v>0.95499999999999996</c:v>
                </c:pt>
                <c:pt idx="15">
                  <c:v>0.95499999999999996</c:v>
                </c:pt>
                <c:pt idx="16">
                  <c:v>0.95499999999999996</c:v>
                </c:pt>
                <c:pt idx="17">
                  <c:v>0.95499999999999996</c:v>
                </c:pt>
                <c:pt idx="18">
                  <c:v>0.95499999999999996</c:v>
                </c:pt>
                <c:pt idx="19">
                  <c:v>0.95499999999999996</c:v>
                </c:pt>
                <c:pt idx="20">
                  <c:v>0.95499999999999996</c:v>
                </c:pt>
                <c:pt idx="21">
                  <c:v>0.95499999999999996</c:v>
                </c:pt>
                <c:pt idx="22">
                  <c:v>0.95499999999999996</c:v>
                </c:pt>
                <c:pt idx="23">
                  <c:v>0.95499999999999996</c:v>
                </c:pt>
                <c:pt idx="24">
                  <c:v>0.95499999999999996</c:v>
                </c:pt>
                <c:pt idx="25">
                  <c:v>0.95499999999999996</c:v>
                </c:pt>
                <c:pt idx="26">
                  <c:v>0.95499999999999996</c:v>
                </c:pt>
                <c:pt idx="27">
                  <c:v>0.95499999999999996</c:v>
                </c:pt>
                <c:pt idx="28">
                  <c:v>0.95499999999999996</c:v>
                </c:pt>
                <c:pt idx="29">
                  <c:v>0.95499999999999996</c:v>
                </c:pt>
                <c:pt idx="30">
                  <c:v>0.95499999999999996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DD-483D-954E-0FF5936DDE4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312064"/>
        <c:axId val="106313600"/>
      </c:lineChart>
      <c:catAx>
        <c:axId val="106312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313600"/>
        <c:crosses val="autoZero"/>
        <c:auto val="1"/>
        <c:lblAlgn val="ctr"/>
        <c:lblOffset val="100"/>
        <c:noMultiLvlLbl val="0"/>
      </c:catAx>
      <c:valAx>
        <c:axId val="106313600"/>
        <c:scaling>
          <c:orientation val="minMax"/>
        </c:scaling>
        <c:delete val="1"/>
        <c:axPos val="l"/>
        <c:numFmt formatCode="0.0%" sourceLinked="0"/>
        <c:majorTickMark val="out"/>
        <c:minorTickMark val="none"/>
        <c:tickLblPos val="none"/>
        <c:crossAx val="10631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</a:t>
            </a:r>
            <a:r>
              <a:rPr lang="en-US" sz="1800" baseline="0"/>
              <a:t> Melt for Week 46 (MT)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v>Melting Rate (MT)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</c:numCache>
            </c:numRef>
          </c:cat>
          <c:val>
            <c:numRef>
              <c:f>Summary!$W$59:$W$65</c:f>
              <c:numCache>
                <c:formatCode>_-* #,##0_-;\-* #,##0_-;_-* "-"??_-;_-@_-</c:formatCode>
                <c:ptCount val="7"/>
                <c:pt idx="0">
                  <c:v>1670.6</c:v>
                </c:pt>
                <c:pt idx="1">
                  <c:v>1700.5500000000002</c:v>
                </c:pt>
                <c:pt idx="2">
                  <c:v>1560.49</c:v>
                </c:pt>
                <c:pt idx="3">
                  <c:v>1720.6</c:v>
                </c:pt>
                <c:pt idx="4">
                  <c:v>1870.55</c:v>
                </c:pt>
                <c:pt idx="5">
                  <c:v>1670.49</c:v>
                </c:pt>
                <c:pt idx="6">
                  <c:v>1660.82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F-47F2-BA4C-E340CF930E75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</c:numCache>
            </c:numRef>
          </c:cat>
          <c:val>
            <c:numRef>
              <c:f>Summary!$Y$59:$Y$65</c:f>
              <c:numCache>
                <c:formatCode>_-* #,##0_-;\-* #,##0_-;_-* "-"??_-;_-@_-</c:formatCode>
                <c:ptCount val="7"/>
                <c:pt idx="0">
                  <c:v>1670.6</c:v>
                </c:pt>
                <c:pt idx="1">
                  <c:v>1700.5500000000002</c:v>
                </c:pt>
                <c:pt idx="2">
                  <c:v>1560.49</c:v>
                </c:pt>
                <c:pt idx="3">
                  <c:v>1720.6</c:v>
                </c:pt>
                <c:pt idx="4">
                  <c:v>0</c:v>
                </c:pt>
                <c:pt idx="5">
                  <c:v>1670.49</c:v>
                </c:pt>
                <c:pt idx="6">
                  <c:v>1660.82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FF-47F2-BA4C-E340CF930E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447232"/>
        <c:axId val="106448768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Summary!$V$59:$V$63</c:f>
              <c:numCache>
                <c:formatCode>General</c:formatCode>
                <c:ptCount val="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24</c:v>
                </c:pt>
                <c:pt idx="4">
                  <c:v>25</c:v>
                </c:pt>
              </c:numCache>
            </c:numRef>
          </c:cat>
          <c:val>
            <c:numRef>
              <c:f>Summary!$X$59:$X$65</c:f>
              <c:numCache>
                <c:formatCode>_-* #,##0_-;\-* #,##0_-;_-* "-"??_-;_-@_-</c:formatCode>
                <c:ptCount val="7"/>
                <c:pt idx="0">
                  <c:v>1800</c:v>
                </c:pt>
                <c:pt idx="1">
                  <c:v>1800</c:v>
                </c:pt>
                <c:pt idx="2">
                  <c:v>1800</c:v>
                </c:pt>
                <c:pt idx="3">
                  <c:v>1800</c:v>
                </c:pt>
                <c:pt idx="4">
                  <c:v>1800</c:v>
                </c:pt>
                <c:pt idx="5">
                  <c:v>1800</c:v>
                </c:pt>
                <c:pt idx="6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FF-47F2-BA4C-E340CF930E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447232"/>
        <c:axId val="106448768"/>
      </c:lineChart>
      <c:catAx>
        <c:axId val="106447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448768"/>
        <c:crosses val="autoZero"/>
        <c:auto val="1"/>
        <c:lblAlgn val="ctr"/>
        <c:lblOffset val="100"/>
        <c:noMultiLvlLbl val="0"/>
      </c:catAx>
      <c:valAx>
        <c:axId val="106448768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644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Pack for Week 46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Summary!$Z$7</c:f>
              <c:strCache>
                <c:ptCount val="1"/>
                <c:pt idx="0">
                  <c:v>Packing (MT)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</c:numCache>
            </c:numRef>
          </c:cat>
          <c:val>
            <c:numRef>
              <c:f>Summary!$Z$59:$Z$65</c:f>
              <c:numCache>
                <c:formatCode>_-* #,##0_-;\-* #,##0_-;_-* "-"??_-;_-@_-</c:formatCode>
                <c:ptCount val="7"/>
                <c:pt idx="0">
                  <c:v>1625.5</c:v>
                </c:pt>
                <c:pt idx="1">
                  <c:v>1488.1000000000001</c:v>
                </c:pt>
                <c:pt idx="2">
                  <c:v>1534.56</c:v>
                </c:pt>
                <c:pt idx="3">
                  <c:v>1486.527</c:v>
                </c:pt>
                <c:pt idx="4">
                  <c:v>1589</c:v>
                </c:pt>
                <c:pt idx="5">
                  <c:v>1598.8</c:v>
                </c:pt>
                <c:pt idx="6">
                  <c:v>1532.6299999999999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08-4360-B9A2-9BA76423A222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</c:numCache>
            </c:numRef>
          </c:cat>
          <c:val>
            <c:numRef>
              <c:f>Summary!$AB$59:$AB$65</c:f>
              <c:numCache>
                <c:formatCode>_-* #,##0_-;\-* #,##0_-;_-* "-"??_-;_-@_-</c:formatCode>
                <c:ptCount val="7"/>
                <c:pt idx="0">
                  <c:v>1625.5</c:v>
                </c:pt>
                <c:pt idx="1">
                  <c:v>1488.1000000000001</c:v>
                </c:pt>
                <c:pt idx="2">
                  <c:v>1534.56</c:v>
                </c:pt>
                <c:pt idx="3">
                  <c:v>1486.527</c:v>
                </c:pt>
                <c:pt idx="4">
                  <c:v>1589</c:v>
                </c:pt>
                <c:pt idx="5">
                  <c:v>1598.8</c:v>
                </c:pt>
                <c:pt idx="6">
                  <c:v>1532.6299999999999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08-4360-B9A2-9BA76423A2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492672"/>
        <c:axId val="106494208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Summary!$AA$59:$AA$65</c:f>
              <c:numCache>
                <c:formatCode>_-* #,##0_-;\-* #,##0_-;_-* "-"??_-;_-@_-</c:formatCode>
                <c:ptCount val="7"/>
                <c:pt idx="0">
                  <c:v>1737</c:v>
                </c:pt>
                <c:pt idx="1">
                  <c:v>1737</c:v>
                </c:pt>
                <c:pt idx="2">
                  <c:v>1737</c:v>
                </c:pt>
                <c:pt idx="3">
                  <c:v>1737</c:v>
                </c:pt>
                <c:pt idx="4">
                  <c:v>1737</c:v>
                </c:pt>
                <c:pt idx="5">
                  <c:v>1737</c:v>
                </c:pt>
                <c:pt idx="6">
                  <c:v>1737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08-4360-B9A2-9BA76423A2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492672"/>
        <c:axId val="106494208"/>
      </c:lineChart>
      <c:catAx>
        <c:axId val="106492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494208"/>
        <c:crosses val="autoZero"/>
        <c:auto val="1"/>
        <c:lblAlgn val="ctr"/>
        <c:lblOffset val="100"/>
        <c:noMultiLvlLbl val="0"/>
      </c:catAx>
      <c:valAx>
        <c:axId val="106494208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649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Final Yield</a:t>
            </a:r>
            <a:r>
              <a:rPr lang="en-US" sz="1800" baseline="0"/>
              <a:t> % for Week 46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Summary!$AC$7</c:f>
              <c:strCache>
                <c:ptCount val="1"/>
                <c:pt idx="0">
                  <c:v>Final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</c:numCache>
            </c:numRef>
          </c:cat>
          <c:val>
            <c:numRef>
              <c:f>Summary!$AC$59:$AC$65</c:f>
              <c:numCache>
                <c:formatCode>0.0%</c:formatCode>
                <c:ptCount val="7"/>
                <c:pt idx="0">
                  <c:v>0.89279300849994014</c:v>
                </c:pt>
                <c:pt idx="1">
                  <c:v>0.8727176501720032</c:v>
                </c:pt>
                <c:pt idx="2">
                  <c:v>1.0144634057251247</c:v>
                </c:pt>
                <c:pt idx="3">
                  <c:v>0.850591072881553</c:v>
                </c:pt>
                <c:pt idx="4">
                  <c:v>0.89813156558231544</c:v>
                </c:pt>
                <c:pt idx="5">
                  <c:v>0.91937096301085308</c:v>
                </c:pt>
                <c:pt idx="6">
                  <c:v>0.97068315651304771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66-4225-97B6-500592825395}"/>
            </c:ext>
          </c:extLst>
        </c:ser>
        <c:ser>
          <c:idx val="1"/>
          <c:order val="1"/>
          <c:tx>
            <c:strRef>
              <c:f>Summary!$AE$7</c:f>
              <c:strCache>
                <c:ptCount val="1"/>
                <c:pt idx="0">
                  <c:v>Target missed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</c:numCache>
            </c:numRef>
          </c:cat>
          <c:val>
            <c:numRef>
              <c:f>Summary!$AE$59:$AE$65</c:f>
              <c:numCache>
                <c:formatCode>0.0%</c:formatCode>
                <c:ptCount val="7"/>
                <c:pt idx="0">
                  <c:v>0.89279300849994014</c:v>
                </c:pt>
                <c:pt idx="1">
                  <c:v>0.8727176501720032</c:v>
                </c:pt>
                <c:pt idx="2">
                  <c:v>0</c:v>
                </c:pt>
                <c:pt idx="3">
                  <c:v>0.850591072881553</c:v>
                </c:pt>
                <c:pt idx="4">
                  <c:v>0.89813156558231544</c:v>
                </c:pt>
                <c:pt idx="5">
                  <c:v>0.91937096301085308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6-4225-97B6-5005928253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566784"/>
        <c:axId val="106568320"/>
      </c:barChart>
      <c:lineChart>
        <c:grouping val="standard"/>
        <c:varyColors val="0"/>
        <c:ser>
          <c:idx val="2"/>
          <c:order val="2"/>
          <c:tx>
            <c:strRef>
              <c:f>Summary!$AD$7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Summary!$AD$59:$AD$65</c:f>
              <c:numCache>
                <c:formatCode>0.0%</c:formatCode>
                <c:ptCount val="7"/>
                <c:pt idx="0">
                  <c:v>0.96499999999999997</c:v>
                </c:pt>
                <c:pt idx="1">
                  <c:v>0.96499999999999997</c:v>
                </c:pt>
                <c:pt idx="2">
                  <c:v>0.96499999999999997</c:v>
                </c:pt>
                <c:pt idx="3">
                  <c:v>0.96499999999999997</c:v>
                </c:pt>
                <c:pt idx="4">
                  <c:v>0.96499999999999997</c:v>
                </c:pt>
                <c:pt idx="5">
                  <c:v>0.96499999999999997</c:v>
                </c:pt>
                <c:pt idx="6">
                  <c:v>0.96499999999999997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66-4225-97B6-5005928253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566784"/>
        <c:axId val="106568320"/>
      </c:lineChart>
      <c:catAx>
        <c:axId val="106566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568320"/>
        <c:crosses val="autoZero"/>
        <c:auto val="1"/>
        <c:lblAlgn val="ctr"/>
        <c:lblOffset val="100"/>
        <c:noMultiLvlLbl val="0"/>
      </c:catAx>
      <c:valAx>
        <c:axId val="106568320"/>
        <c:scaling>
          <c:orientation val="minMax"/>
        </c:scaling>
        <c:delete val="1"/>
        <c:axPos val="l"/>
        <c:numFmt formatCode="0.0%" sourceLinked="0"/>
        <c:majorTickMark val="out"/>
        <c:minorTickMark val="none"/>
        <c:tickLblPos val="none"/>
        <c:crossAx val="10656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Packing Yield</a:t>
            </a:r>
            <a:r>
              <a:rPr lang="en-US" sz="1800" baseline="0"/>
              <a:t> % for Week 46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Summary!$AF$58</c:f>
              <c:strCache>
                <c:ptCount val="1"/>
                <c:pt idx="0">
                  <c:v>Packing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</c:numCache>
            </c:numRef>
          </c:cat>
          <c:val>
            <c:numRef>
              <c:f>Summary!$AF$59:$AF$65</c:f>
              <c:numCache>
                <c:formatCode>0.0%</c:formatCode>
                <c:ptCount val="7"/>
                <c:pt idx="0">
                  <c:v>0.97300371124147023</c:v>
                </c:pt>
                <c:pt idx="1">
                  <c:v>0.87506983034900476</c:v>
                </c:pt>
                <c:pt idx="2">
                  <c:v>0.98338342443719595</c:v>
                </c:pt>
                <c:pt idx="3">
                  <c:v>0.86395850284784381</c:v>
                </c:pt>
                <c:pt idx="4">
                  <c:v>0.84948277244660664</c:v>
                </c:pt>
                <c:pt idx="5">
                  <c:v>0.95708444827565564</c:v>
                </c:pt>
                <c:pt idx="6">
                  <c:v>0.92281523584735248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4B-49F8-892D-B39CAF8C2E7D}"/>
            </c:ext>
          </c:extLst>
        </c:ser>
        <c:ser>
          <c:idx val="1"/>
          <c:order val="1"/>
          <c:tx>
            <c:strRef>
              <c:f>Summary!$AE$7</c:f>
              <c:strCache>
                <c:ptCount val="1"/>
                <c:pt idx="0">
                  <c:v>Target missed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</c:numCache>
            </c:numRef>
          </c:cat>
          <c:val>
            <c:numRef>
              <c:f>Summary!$AH$59:$AH$65</c:f>
              <c:numCache>
                <c:formatCode>0.0%</c:formatCode>
                <c:ptCount val="7"/>
                <c:pt idx="0">
                  <c:v>0</c:v>
                </c:pt>
                <c:pt idx="1">
                  <c:v>0.87506983034900476</c:v>
                </c:pt>
                <c:pt idx="2">
                  <c:v>0</c:v>
                </c:pt>
                <c:pt idx="3">
                  <c:v>0.86395850284784381</c:v>
                </c:pt>
                <c:pt idx="4">
                  <c:v>0.84948277244660664</c:v>
                </c:pt>
                <c:pt idx="5">
                  <c:v>0</c:v>
                </c:pt>
                <c:pt idx="6">
                  <c:v>0.92281523584735248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4B-49F8-892D-B39CAF8C2E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608512"/>
        <c:axId val="106610048"/>
      </c:barChart>
      <c:lineChart>
        <c:grouping val="standard"/>
        <c:varyColors val="0"/>
        <c:ser>
          <c:idx val="2"/>
          <c:order val="2"/>
          <c:tx>
            <c:strRef>
              <c:f>Summary!$AD$7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Summary!$AG$59:$AG$65</c:f>
              <c:numCache>
                <c:formatCode>0.0%</c:formatCode>
                <c:ptCount val="7"/>
                <c:pt idx="0">
                  <c:v>0.95499999999999996</c:v>
                </c:pt>
                <c:pt idx="1">
                  <c:v>0.95499999999999996</c:v>
                </c:pt>
                <c:pt idx="2">
                  <c:v>0.95499999999999996</c:v>
                </c:pt>
                <c:pt idx="3">
                  <c:v>0.95499999999999996</c:v>
                </c:pt>
                <c:pt idx="4">
                  <c:v>0.95499999999999996</c:v>
                </c:pt>
                <c:pt idx="5">
                  <c:v>0.95499999999999996</c:v>
                </c:pt>
                <c:pt idx="6">
                  <c:v>0.95499999999999996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4B-49F8-892D-B39CAF8C2E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608512"/>
        <c:axId val="106610048"/>
      </c:lineChart>
      <c:catAx>
        <c:axId val="10660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610048"/>
        <c:crosses val="autoZero"/>
        <c:auto val="1"/>
        <c:lblAlgn val="ctr"/>
        <c:lblOffset val="100"/>
        <c:noMultiLvlLbl val="0"/>
      </c:catAx>
      <c:valAx>
        <c:axId val="106610048"/>
        <c:scaling>
          <c:orientation val="minMax"/>
        </c:scaling>
        <c:delete val="1"/>
        <c:axPos val="l"/>
        <c:numFmt formatCode="0.0%" sourceLinked="0"/>
        <c:majorTickMark val="out"/>
        <c:minorTickMark val="none"/>
        <c:tickLblPos val="none"/>
        <c:crossAx val="10660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Melting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1519884282506265"/>
        </c:manualLayout>
      </c:layout>
      <c:barChart>
        <c:barDir val="col"/>
        <c:grouping val="clustered"/>
        <c:varyColors val="0"/>
        <c:ser>
          <c:idx val="0"/>
          <c:order val="0"/>
          <c:tx>
            <c:v>Melting Rate (MT)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Summary!$W$8:$W$38</c:f>
              <c:numCache>
                <c:formatCode>_-* #,##0_-;\-* #,##0_-;_-* "-"??_-;_-@_-</c:formatCode>
                <c:ptCount val="31"/>
                <c:pt idx="0">
                  <c:v>1620.22</c:v>
                </c:pt>
                <c:pt idx="1">
                  <c:v>1460.49</c:v>
                </c:pt>
                <c:pt idx="2">
                  <c:v>1700.82</c:v>
                </c:pt>
                <c:pt idx="3">
                  <c:v>1640.6</c:v>
                </c:pt>
                <c:pt idx="4">
                  <c:v>1750</c:v>
                </c:pt>
                <c:pt idx="5">
                  <c:v>1480.49</c:v>
                </c:pt>
                <c:pt idx="6">
                  <c:v>1700.8200000000002</c:v>
                </c:pt>
                <c:pt idx="7">
                  <c:v>1130.33</c:v>
                </c:pt>
                <c:pt idx="8">
                  <c:v>1660.5500000000002</c:v>
                </c:pt>
                <c:pt idx="9">
                  <c:v>1760.49</c:v>
                </c:pt>
                <c:pt idx="10">
                  <c:v>1750.8200000000002</c:v>
                </c:pt>
                <c:pt idx="11">
                  <c:v>1620.6</c:v>
                </c:pt>
                <c:pt idx="12">
                  <c:v>1750.55</c:v>
                </c:pt>
                <c:pt idx="13">
                  <c:v>1710.49</c:v>
                </c:pt>
                <c:pt idx="14">
                  <c:v>1680.82</c:v>
                </c:pt>
                <c:pt idx="15">
                  <c:v>1660.6</c:v>
                </c:pt>
                <c:pt idx="16">
                  <c:v>1710.5500000000002</c:v>
                </c:pt>
                <c:pt idx="17">
                  <c:v>1700.49</c:v>
                </c:pt>
                <c:pt idx="18">
                  <c:v>1620.82</c:v>
                </c:pt>
                <c:pt idx="19">
                  <c:v>1630.6</c:v>
                </c:pt>
                <c:pt idx="20">
                  <c:v>1610.5500000000002</c:v>
                </c:pt>
                <c:pt idx="21">
                  <c:v>1680.49</c:v>
                </c:pt>
                <c:pt idx="22">
                  <c:v>1760.8200000000002</c:v>
                </c:pt>
                <c:pt idx="23">
                  <c:v>1720.6</c:v>
                </c:pt>
                <c:pt idx="24">
                  <c:v>1870.55</c:v>
                </c:pt>
                <c:pt idx="25">
                  <c:v>1670.49</c:v>
                </c:pt>
                <c:pt idx="26">
                  <c:v>1660.82</c:v>
                </c:pt>
                <c:pt idx="27">
                  <c:v>1670.6</c:v>
                </c:pt>
                <c:pt idx="28">
                  <c:v>1700.5500000000002</c:v>
                </c:pt>
                <c:pt idx="29">
                  <c:v>1560.49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9D-46FE-98F8-14C1A57224A4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Summary!$Y$8:$Y$38</c:f>
              <c:numCache>
                <c:formatCode>_-* #,##0_-;\-* #,##0_-;_-* "-"??_-;_-@_-</c:formatCode>
                <c:ptCount val="31"/>
                <c:pt idx="0">
                  <c:v>1620.22</c:v>
                </c:pt>
                <c:pt idx="1">
                  <c:v>1460.49</c:v>
                </c:pt>
                <c:pt idx="2">
                  <c:v>1700.82</c:v>
                </c:pt>
                <c:pt idx="3">
                  <c:v>1640.6</c:v>
                </c:pt>
                <c:pt idx="4">
                  <c:v>1750</c:v>
                </c:pt>
                <c:pt idx="5">
                  <c:v>1480.49</c:v>
                </c:pt>
                <c:pt idx="6">
                  <c:v>1700.8200000000002</c:v>
                </c:pt>
                <c:pt idx="7">
                  <c:v>1130.33</c:v>
                </c:pt>
                <c:pt idx="8">
                  <c:v>1660.5500000000002</c:v>
                </c:pt>
                <c:pt idx="9">
                  <c:v>1760.49</c:v>
                </c:pt>
                <c:pt idx="10">
                  <c:v>1750.8200000000002</c:v>
                </c:pt>
                <c:pt idx="11">
                  <c:v>1620.6</c:v>
                </c:pt>
                <c:pt idx="12">
                  <c:v>1750.55</c:v>
                </c:pt>
                <c:pt idx="13">
                  <c:v>1710.49</c:v>
                </c:pt>
                <c:pt idx="14">
                  <c:v>1680.82</c:v>
                </c:pt>
                <c:pt idx="15">
                  <c:v>1660.6</c:v>
                </c:pt>
                <c:pt idx="16">
                  <c:v>1710.5500000000002</c:v>
                </c:pt>
                <c:pt idx="17">
                  <c:v>1700.49</c:v>
                </c:pt>
                <c:pt idx="18">
                  <c:v>1620.82</c:v>
                </c:pt>
                <c:pt idx="19">
                  <c:v>1630.6</c:v>
                </c:pt>
                <c:pt idx="20">
                  <c:v>1610.5500000000002</c:v>
                </c:pt>
                <c:pt idx="21">
                  <c:v>1680.49</c:v>
                </c:pt>
                <c:pt idx="22">
                  <c:v>1760.8200000000002</c:v>
                </c:pt>
                <c:pt idx="23">
                  <c:v>1720.6</c:v>
                </c:pt>
                <c:pt idx="24">
                  <c:v>0</c:v>
                </c:pt>
                <c:pt idx="25">
                  <c:v>1670.49</c:v>
                </c:pt>
                <c:pt idx="26">
                  <c:v>1660.82</c:v>
                </c:pt>
                <c:pt idx="27">
                  <c:v>1670.6</c:v>
                </c:pt>
                <c:pt idx="28">
                  <c:v>1700.5500000000002</c:v>
                </c:pt>
                <c:pt idx="29">
                  <c:v>1560.49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9D-46FE-98F8-14C1A57224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805888"/>
        <c:axId val="106697472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Summary!$X$8:$X$38</c:f>
              <c:numCache>
                <c:formatCode>_-* #,##0_-;\-* #,##0_-;_-* "-"??_-;_-@_-</c:formatCode>
                <c:ptCount val="31"/>
                <c:pt idx="0">
                  <c:v>1800</c:v>
                </c:pt>
                <c:pt idx="1">
                  <c:v>1800</c:v>
                </c:pt>
                <c:pt idx="2">
                  <c:v>1800</c:v>
                </c:pt>
                <c:pt idx="3">
                  <c:v>1800</c:v>
                </c:pt>
                <c:pt idx="4">
                  <c:v>1800</c:v>
                </c:pt>
                <c:pt idx="5">
                  <c:v>1800</c:v>
                </c:pt>
                <c:pt idx="6">
                  <c:v>1800</c:v>
                </c:pt>
                <c:pt idx="7">
                  <c:v>1800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1800</c:v>
                </c:pt>
                <c:pt idx="23">
                  <c:v>1800</c:v>
                </c:pt>
                <c:pt idx="24">
                  <c:v>1800</c:v>
                </c:pt>
                <c:pt idx="25">
                  <c:v>1800</c:v>
                </c:pt>
                <c:pt idx="26">
                  <c:v>1800</c:v>
                </c:pt>
                <c:pt idx="27">
                  <c:v>1800</c:v>
                </c:pt>
                <c:pt idx="28">
                  <c:v>1800</c:v>
                </c:pt>
                <c:pt idx="29">
                  <c:v>1800</c:v>
                </c:pt>
                <c:pt idx="30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9D-46FE-98F8-14C1A57224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805888"/>
        <c:axId val="106697472"/>
      </c:lineChart>
      <c:catAx>
        <c:axId val="10680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MY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697472"/>
        <c:crosses val="autoZero"/>
        <c:auto val="1"/>
        <c:lblAlgn val="ctr"/>
        <c:lblOffset val="100"/>
        <c:noMultiLvlLbl val="0"/>
      </c:catAx>
      <c:valAx>
        <c:axId val="106697472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680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Packing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2873115742783792"/>
        </c:manualLayout>
      </c:layout>
      <c:barChart>
        <c:barDir val="col"/>
        <c:grouping val="clustered"/>
        <c:varyColors val="0"/>
        <c:ser>
          <c:idx val="0"/>
          <c:order val="0"/>
          <c:tx>
            <c:v>Packing Rate (MT)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Summary!$Z$8:$Z$38</c:f>
              <c:numCache>
                <c:formatCode>_-* #,##0_-;\-* #,##0_-;_-* "-"??_-;_-@_-</c:formatCode>
                <c:ptCount val="31"/>
                <c:pt idx="0">
                  <c:v>1615.79</c:v>
                </c:pt>
                <c:pt idx="1">
                  <c:v>1670.92</c:v>
                </c:pt>
                <c:pt idx="2">
                  <c:v>1372.96</c:v>
                </c:pt>
                <c:pt idx="3">
                  <c:v>1734.09</c:v>
                </c:pt>
                <c:pt idx="4">
                  <c:v>1567.87</c:v>
                </c:pt>
                <c:pt idx="5">
                  <c:v>1578.76</c:v>
                </c:pt>
                <c:pt idx="6">
                  <c:v>1279.24</c:v>
                </c:pt>
                <c:pt idx="7">
                  <c:v>1085.7</c:v>
                </c:pt>
                <c:pt idx="8">
                  <c:v>1737.94</c:v>
                </c:pt>
                <c:pt idx="9">
                  <c:v>1467.9099999999999</c:v>
                </c:pt>
                <c:pt idx="10">
                  <c:v>1636.5899999999997</c:v>
                </c:pt>
                <c:pt idx="11">
                  <c:v>1445.96</c:v>
                </c:pt>
                <c:pt idx="12">
                  <c:v>1492.2</c:v>
                </c:pt>
                <c:pt idx="13">
                  <c:v>1682.01</c:v>
                </c:pt>
                <c:pt idx="14">
                  <c:v>1575.61</c:v>
                </c:pt>
                <c:pt idx="15">
                  <c:v>1614.94</c:v>
                </c:pt>
                <c:pt idx="16">
                  <c:v>1409.7249999999999</c:v>
                </c:pt>
                <c:pt idx="17">
                  <c:v>1369.23</c:v>
                </c:pt>
                <c:pt idx="18">
                  <c:v>1551.42</c:v>
                </c:pt>
                <c:pt idx="19">
                  <c:v>1410.1999999999998</c:v>
                </c:pt>
                <c:pt idx="20">
                  <c:v>1605.22</c:v>
                </c:pt>
                <c:pt idx="21">
                  <c:v>1487.2</c:v>
                </c:pt>
                <c:pt idx="22">
                  <c:v>1436.511</c:v>
                </c:pt>
                <c:pt idx="23">
                  <c:v>1486.527</c:v>
                </c:pt>
                <c:pt idx="24">
                  <c:v>1589</c:v>
                </c:pt>
                <c:pt idx="25">
                  <c:v>1598.8</c:v>
                </c:pt>
                <c:pt idx="26">
                  <c:v>1532.6299999999999</c:v>
                </c:pt>
                <c:pt idx="27">
                  <c:v>1625.5</c:v>
                </c:pt>
                <c:pt idx="28">
                  <c:v>1488.1000000000001</c:v>
                </c:pt>
                <c:pt idx="29">
                  <c:v>1534.56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63-4262-AF81-2E2C90969B8B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Summary!$AB$8:$AB$38</c:f>
              <c:numCache>
                <c:formatCode>_-* #,##0_-;\-* #,##0_-;_-* "-"??_-;_-@_-</c:formatCode>
                <c:ptCount val="31"/>
                <c:pt idx="0">
                  <c:v>1615.79</c:v>
                </c:pt>
                <c:pt idx="1">
                  <c:v>1670.92</c:v>
                </c:pt>
                <c:pt idx="2">
                  <c:v>1372.96</c:v>
                </c:pt>
                <c:pt idx="3">
                  <c:v>1734.09</c:v>
                </c:pt>
                <c:pt idx="4">
                  <c:v>1567.87</c:v>
                </c:pt>
                <c:pt idx="5">
                  <c:v>1578.76</c:v>
                </c:pt>
                <c:pt idx="6">
                  <c:v>1279.24</c:v>
                </c:pt>
                <c:pt idx="7">
                  <c:v>1085.7</c:v>
                </c:pt>
                <c:pt idx="8">
                  <c:v>0</c:v>
                </c:pt>
                <c:pt idx="9">
                  <c:v>1467.9099999999999</c:v>
                </c:pt>
                <c:pt idx="10">
                  <c:v>1636.5899999999997</c:v>
                </c:pt>
                <c:pt idx="11">
                  <c:v>1445.96</c:v>
                </c:pt>
                <c:pt idx="12">
                  <c:v>1492.2</c:v>
                </c:pt>
                <c:pt idx="13">
                  <c:v>1682.01</c:v>
                </c:pt>
                <c:pt idx="14">
                  <c:v>1575.61</c:v>
                </c:pt>
                <c:pt idx="15">
                  <c:v>1614.94</c:v>
                </c:pt>
                <c:pt idx="16">
                  <c:v>1409.7249999999999</c:v>
                </c:pt>
                <c:pt idx="17">
                  <c:v>1369.23</c:v>
                </c:pt>
                <c:pt idx="18">
                  <c:v>1551.42</c:v>
                </c:pt>
                <c:pt idx="19">
                  <c:v>1410.1999999999998</c:v>
                </c:pt>
                <c:pt idx="20">
                  <c:v>1605.22</c:v>
                </c:pt>
                <c:pt idx="21">
                  <c:v>1487.2</c:v>
                </c:pt>
                <c:pt idx="22">
                  <c:v>1436.511</c:v>
                </c:pt>
                <c:pt idx="23">
                  <c:v>1486.527</c:v>
                </c:pt>
                <c:pt idx="24">
                  <c:v>1589</c:v>
                </c:pt>
                <c:pt idx="25">
                  <c:v>1598.8</c:v>
                </c:pt>
                <c:pt idx="26">
                  <c:v>1532.6299999999999</c:v>
                </c:pt>
                <c:pt idx="27">
                  <c:v>1625.5</c:v>
                </c:pt>
                <c:pt idx="28">
                  <c:v>1488.1000000000001</c:v>
                </c:pt>
                <c:pt idx="29">
                  <c:v>1534.56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63-4262-AF81-2E2C90969B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934272"/>
        <c:axId val="106936192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Summary!$AA$8:$AA$38</c:f>
              <c:numCache>
                <c:formatCode>_-* #,##0_-;\-* #,##0_-;_-* "-"??_-;_-@_-</c:formatCode>
                <c:ptCount val="31"/>
                <c:pt idx="0">
                  <c:v>1737</c:v>
                </c:pt>
                <c:pt idx="1">
                  <c:v>1737</c:v>
                </c:pt>
                <c:pt idx="2">
                  <c:v>1737</c:v>
                </c:pt>
                <c:pt idx="3">
                  <c:v>1737</c:v>
                </c:pt>
                <c:pt idx="4">
                  <c:v>1737</c:v>
                </c:pt>
                <c:pt idx="5">
                  <c:v>1737</c:v>
                </c:pt>
                <c:pt idx="6">
                  <c:v>1737</c:v>
                </c:pt>
                <c:pt idx="7">
                  <c:v>1737</c:v>
                </c:pt>
                <c:pt idx="8">
                  <c:v>1737</c:v>
                </c:pt>
                <c:pt idx="9">
                  <c:v>1737</c:v>
                </c:pt>
                <c:pt idx="10">
                  <c:v>1737</c:v>
                </c:pt>
                <c:pt idx="11">
                  <c:v>1737</c:v>
                </c:pt>
                <c:pt idx="12">
                  <c:v>1737</c:v>
                </c:pt>
                <c:pt idx="13">
                  <c:v>1737</c:v>
                </c:pt>
                <c:pt idx="14">
                  <c:v>1737</c:v>
                </c:pt>
                <c:pt idx="15">
                  <c:v>1737</c:v>
                </c:pt>
                <c:pt idx="16">
                  <c:v>1737</c:v>
                </c:pt>
                <c:pt idx="17">
                  <c:v>1737</c:v>
                </c:pt>
                <c:pt idx="18">
                  <c:v>1737</c:v>
                </c:pt>
                <c:pt idx="19">
                  <c:v>1737</c:v>
                </c:pt>
                <c:pt idx="20">
                  <c:v>1737</c:v>
                </c:pt>
                <c:pt idx="21">
                  <c:v>1737</c:v>
                </c:pt>
                <c:pt idx="22">
                  <c:v>1737</c:v>
                </c:pt>
                <c:pt idx="23">
                  <c:v>1737</c:v>
                </c:pt>
                <c:pt idx="24">
                  <c:v>1737</c:v>
                </c:pt>
                <c:pt idx="25">
                  <c:v>1737</c:v>
                </c:pt>
                <c:pt idx="26">
                  <c:v>1737</c:v>
                </c:pt>
                <c:pt idx="27">
                  <c:v>1737</c:v>
                </c:pt>
                <c:pt idx="28">
                  <c:v>1737</c:v>
                </c:pt>
                <c:pt idx="29">
                  <c:v>1737</c:v>
                </c:pt>
                <c:pt idx="30">
                  <c:v>1737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63-4262-AF81-2E2C90969B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934272"/>
        <c:axId val="106936192"/>
      </c:lineChart>
      <c:catAx>
        <c:axId val="106934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MY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936192"/>
        <c:crosses val="autoZero"/>
        <c:auto val="1"/>
        <c:lblAlgn val="ctr"/>
        <c:lblOffset val="100"/>
        <c:noMultiLvlLbl val="0"/>
      </c:catAx>
      <c:valAx>
        <c:axId val="106936192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693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Steam Usage (Steam/MT)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2873115742783792"/>
        </c:manualLayout>
      </c:layout>
      <c:barChart>
        <c:barDir val="col"/>
        <c:grouping val="clustered"/>
        <c:varyColors val="0"/>
        <c:ser>
          <c:idx val="0"/>
          <c:order val="0"/>
          <c:tx>
            <c:v>Steam Usage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Summary!$AC$8:$AC$38</c:f>
              <c:numCache>
                <c:formatCode>0.0%</c:formatCode>
                <c:ptCount val="31"/>
                <c:pt idx="0">
                  <c:v>1.2486205577020404</c:v>
                </c:pt>
                <c:pt idx="1">
                  <c:v>1.1565775869742347</c:v>
                </c:pt>
                <c:pt idx="2">
                  <c:v>0.819140179442857</c:v>
                </c:pt>
                <c:pt idx="3">
                  <c:v>0.82642935511398263</c:v>
                </c:pt>
                <c:pt idx="4">
                  <c:v>1.074782857142857</c:v>
                </c:pt>
                <c:pt idx="5">
                  <c:v>1.1031888091104971</c:v>
                </c:pt>
                <c:pt idx="6">
                  <c:v>0.80534095318728605</c:v>
                </c:pt>
                <c:pt idx="7">
                  <c:v>0.8601028018366319</c:v>
                </c:pt>
                <c:pt idx="8">
                  <c:v>1.0002348619433319</c:v>
                </c:pt>
                <c:pt idx="9">
                  <c:v>0.96161296002817387</c:v>
                </c:pt>
                <c:pt idx="10">
                  <c:v>0.81566922927542496</c:v>
                </c:pt>
                <c:pt idx="11">
                  <c:v>0.87866222386770343</c:v>
                </c:pt>
                <c:pt idx="12">
                  <c:v>0.98294821627488504</c:v>
                </c:pt>
                <c:pt idx="13">
                  <c:v>0.8637934159217534</c:v>
                </c:pt>
                <c:pt idx="14">
                  <c:v>0.90051879439797244</c:v>
                </c:pt>
                <c:pt idx="15">
                  <c:v>0.92779115982175131</c:v>
                </c:pt>
                <c:pt idx="16">
                  <c:v>0.85585045745520427</c:v>
                </c:pt>
                <c:pt idx="17">
                  <c:v>0.83371851642761796</c:v>
                </c:pt>
                <c:pt idx="18">
                  <c:v>0.9929665231179281</c:v>
                </c:pt>
                <c:pt idx="19">
                  <c:v>0.85716914019379364</c:v>
                </c:pt>
                <c:pt idx="20">
                  <c:v>0.95695259383440434</c:v>
                </c:pt>
                <c:pt idx="21">
                  <c:v>0.86742557230331629</c:v>
                </c:pt>
                <c:pt idx="22">
                  <c:v>0.84506707102372747</c:v>
                </c:pt>
                <c:pt idx="23">
                  <c:v>0.850591072881553</c:v>
                </c:pt>
                <c:pt idx="24">
                  <c:v>0.89813156558231544</c:v>
                </c:pt>
                <c:pt idx="25">
                  <c:v>0.91937096301085308</c:v>
                </c:pt>
                <c:pt idx="26">
                  <c:v>0.97068315651304771</c:v>
                </c:pt>
                <c:pt idx="27">
                  <c:v>0.89279300849994014</c:v>
                </c:pt>
                <c:pt idx="28">
                  <c:v>0.8727176501720032</c:v>
                </c:pt>
                <c:pt idx="29">
                  <c:v>1.0144634057251247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0-4407-9503-6EAAEEB7992A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Summary!$AE$8:$AE$38</c:f>
              <c:numCache>
                <c:formatCode>0.0%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0.819140179442857</c:v>
                </c:pt>
                <c:pt idx="3">
                  <c:v>0.82642935511398263</c:v>
                </c:pt>
                <c:pt idx="4">
                  <c:v>0</c:v>
                </c:pt>
                <c:pt idx="5">
                  <c:v>0</c:v>
                </c:pt>
                <c:pt idx="6">
                  <c:v>0.80534095318728605</c:v>
                </c:pt>
                <c:pt idx="7">
                  <c:v>0.8601028018366319</c:v>
                </c:pt>
                <c:pt idx="8">
                  <c:v>0</c:v>
                </c:pt>
                <c:pt idx="9">
                  <c:v>0.96161296002817387</c:v>
                </c:pt>
                <c:pt idx="10">
                  <c:v>0.81566922927542496</c:v>
                </c:pt>
                <c:pt idx="11">
                  <c:v>0.87866222386770343</c:v>
                </c:pt>
                <c:pt idx="12">
                  <c:v>0</c:v>
                </c:pt>
                <c:pt idx="13">
                  <c:v>0.8637934159217534</c:v>
                </c:pt>
                <c:pt idx="14">
                  <c:v>0.90051879439797244</c:v>
                </c:pt>
                <c:pt idx="15">
                  <c:v>0.92779115982175131</c:v>
                </c:pt>
                <c:pt idx="16">
                  <c:v>0.85585045745520427</c:v>
                </c:pt>
                <c:pt idx="17">
                  <c:v>0.83371851642761796</c:v>
                </c:pt>
                <c:pt idx="18">
                  <c:v>0</c:v>
                </c:pt>
                <c:pt idx="19">
                  <c:v>0.85716914019379364</c:v>
                </c:pt>
                <c:pt idx="20">
                  <c:v>0.95695259383440434</c:v>
                </c:pt>
                <c:pt idx="21">
                  <c:v>0.86742557230331629</c:v>
                </c:pt>
                <c:pt idx="22">
                  <c:v>0.84506707102372747</c:v>
                </c:pt>
                <c:pt idx="23">
                  <c:v>0.850591072881553</c:v>
                </c:pt>
                <c:pt idx="24">
                  <c:v>0.89813156558231544</c:v>
                </c:pt>
                <c:pt idx="25">
                  <c:v>0.91937096301085308</c:v>
                </c:pt>
                <c:pt idx="26">
                  <c:v>0</c:v>
                </c:pt>
                <c:pt idx="27">
                  <c:v>0.89279300849994014</c:v>
                </c:pt>
                <c:pt idx="28">
                  <c:v>0.8727176501720032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80-4407-9503-6EAAEEB799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8049920"/>
        <c:axId val="108051840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Summary!$AD$8:$AD$38</c:f>
              <c:numCache>
                <c:formatCode>0.0%</c:formatCode>
                <c:ptCount val="31"/>
                <c:pt idx="0">
                  <c:v>0.96499999999999997</c:v>
                </c:pt>
                <c:pt idx="1">
                  <c:v>0.96499999999999997</c:v>
                </c:pt>
                <c:pt idx="2">
                  <c:v>0.96499999999999997</c:v>
                </c:pt>
                <c:pt idx="3">
                  <c:v>0.96499999999999997</c:v>
                </c:pt>
                <c:pt idx="4">
                  <c:v>0.96499999999999997</c:v>
                </c:pt>
                <c:pt idx="5">
                  <c:v>0.96499999999999997</c:v>
                </c:pt>
                <c:pt idx="6">
                  <c:v>0.96499999999999997</c:v>
                </c:pt>
                <c:pt idx="7">
                  <c:v>0.96499999999999997</c:v>
                </c:pt>
                <c:pt idx="8">
                  <c:v>0.96499999999999997</c:v>
                </c:pt>
                <c:pt idx="9">
                  <c:v>0.96499999999999997</c:v>
                </c:pt>
                <c:pt idx="10">
                  <c:v>0.96499999999999997</c:v>
                </c:pt>
                <c:pt idx="11">
                  <c:v>0.96499999999999997</c:v>
                </c:pt>
                <c:pt idx="12">
                  <c:v>0.96499999999999997</c:v>
                </c:pt>
                <c:pt idx="13">
                  <c:v>0.96499999999999997</c:v>
                </c:pt>
                <c:pt idx="14">
                  <c:v>0.96499999999999997</c:v>
                </c:pt>
                <c:pt idx="15">
                  <c:v>0.96499999999999997</c:v>
                </c:pt>
                <c:pt idx="16">
                  <c:v>0.96499999999999997</c:v>
                </c:pt>
                <c:pt idx="17">
                  <c:v>0.96499999999999997</c:v>
                </c:pt>
                <c:pt idx="18">
                  <c:v>0.96499999999999997</c:v>
                </c:pt>
                <c:pt idx="19">
                  <c:v>0.96499999999999997</c:v>
                </c:pt>
                <c:pt idx="20">
                  <c:v>0.96499999999999997</c:v>
                </c:pt>
                <c:pt idx="21">
                  <c:v>0.96499999999999997</c:v>
                </c:pt>
                <c:pt idx="22">
                  <c:v>0.96499999999999997</c:v>
                </c:pt>
                <c:pt idx="23">
                  <c:v>0.96499999999999997</c:v>
                </c:pt>
                <c:pt idx="24">
                  <c:v>0.96499999999999997</c:v>
                </c:pt>
                <c:pt idx="25">
                  <c:v>0.96499999999999997</c:v>
                </c:pt>
                <c:pt idx="26">
                  <c:v>0.96499999999999997</c:v>
                </c:pt>
                <c:pt idx="27">
                  <c:v>0.96499999999999997</c:v>
                </c:pt>
                <c:pt idx="28">
                  <c:v>0.96499999999999997</c:v>
                </c:pt>
                <c:pt idx="29">
                  <c:v>0.96499999999999997</c:v>
                </c:pt>
                <c:pt idx="30">
                  <c:v>0.96499999999999997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80-4407-9503-6EAAEEB799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049920"/>
        <c:axId val="108051840"/>
      </c:lineChart>
      <c:catAx>
        <c:axId val="10804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MY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8051840"/>
        <c:crosses val="autoZero"/>
        <c:auto val="1"/>
        <c:lblAlgn val="ctr"/>
        <c:lblOffset val="100"/>
        <c:noMultiLvlLbl val="0"/>
      </c:catAx>
      <c:valAx>
        <c:axId val="108051840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0804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133769</xdr:colOff>
      <xdr:row>31</xdr:row>
      <xdr:rowOff>9106</xdr:rowOff>
    </xdr:from>
    <xdr:to>
      <xdr:col>12</xdr:col>
      <xdr:colOff>773906</xdr:colOff>
      <xdr:row>56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810054-C900-4420-88A0-9BB979207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166688</xdr:colOff>
      <xdr:row>3</xdr:row>
      <xdr:rowOff>0</xdr:rowOff>
    </xdr:from>
    <xdr:to>
      <xdr:col>12</xdr:col>
      <xdr:colOff>750095</xdr:colOff>
      <xdr:row>26</xdr:row>
      <xdr:rowOff>155481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9E9D589-211B-4D84-A3E7-9EB77233F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133769</xdr:colOff>
      <xdr:row>31</xdr:row>
      <xdr:rowOff>9106</xdr:rowOff>
    </xdr:from>
    <xdr:to>
      <xdr:col>25</xdr:col>
      <xdr:colOff>773906</xdr:colOff>
      <xdr:row>56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08136B9-711D-466C-A692-C15B0905A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166688</xdr:colOff>
      <xdr:row>3</xdr:row>
      <xdr:rowOff>0</xdr:rowOff>
    </xdr:from>
    <xdr:to>
      <xdr:col>25</xdr:col>
      <xdr:colOff>750095</xdr:colOff>
      <xdr:row>26</xdr:row>
      <xdr:rowOff>155481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5222594-79BB-460D-B191-EF5D0EA1A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166688</xdr:colOff>
      <xdr:row>3</xdr:row>
      <xdr:rowOff>0</xdr:rowOff>
    </xdr:from>
    <xdr:to>
      <xdr:col>38</xdr:col>
      <xdr:colOff>750095</xdr:colOff>
      <xdr:row>26</xdr:row>
      <xdr:rowOff>155481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0201C72-2201-4749-A641-848711B06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133769</xdr:colOff>
      <xdr:row>31</xdr:row>
      <xdr:rowOff>9106</xdr:rowOff>
    </xdr:from>
    <xdr:to>
      <xdr:col>38</xdr:col>
      <xdr:colOff>773906</xdr:colOff>
      <xdr:row>56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5A8148-73D3-4CD0-9210-25367BB42C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40</xdr:col>
      <xdr:colOff>166688</xdr:colOff>
      <xdr:row>3</xdr:row>
      <xdr:rowOff>0</xdr:rowOff>
    </xdr:from>
    <xdr:to>
      <xdr:col>51</xdr:col>
      <xdr:colOff>750095</xdr:colOff>
      <xdr:row>26</xdr:row>
      <xdr:rowOff>155481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1291C19-616F-45D5-BD3F-B64884228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40</xdr:col>
      <xdr:colOff>133769</xdr:colOff>
      <xdr:row>31</xdr:row>
      <xdr:rowOff>9106</xdr:rowOff>
    </xdr:from>
    <xdr:to>
      <xdr:col>51</xdr:col>
      <xdr:colOff>773906</xdr:colOff>
      <xdr:row>56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21416BC-7F67-463D-B1A1-EB35CFBFD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76619</xdr:colOff>
      <xdr:row>62</xdr:row>
      <xdr:rowOff>56731</xdr:rowOff>
    </xdr:from>
    <xdr:to>
      <xdr:col>12</xdr:col>
      <xdr:colOff>716756</xdr:colOff>
      <xdr:row>87</xdr:row>
      <xdr:rowOff>38100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6034FBD-3FA1-4AA1-B93C-092DF24263A9}"/>
            </a:ext>
            <a:ext uri="{147F2762-F138-4A5C-976F-8EAC2B608ADB}">
              <a16:predDERef xmlns:a16="http://schemas.microsoft.com/office/drawing/2014/main" pred="{221416BC-7F67-463D-B1A1-EB35CFBFD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133769</xdr:colOff>
      <xdr:row>61</xdr:row>
      <xdr:rowOff>9106</xdr:rowOff>
    </xdr:from>
    <xdr:to>
      <xdr:col>25</xdr:col>
      <xdr:colOff>773906</xdr:colOff>
      <xdr:row>86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AA6E5B4-39EF-42F8-86A5-062B943EF9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133769</xdr:colOff>
      <xdr:row>61</xdr:row>
      <xdr:rowOff>9106</xdr:rowOff>
    </xdr:from>
    <xdr:to>
      <xdr:col>38</xdr:col>
      <xdr:colOff>773906</xdr:colOff>
      <xdr:row>86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2142475-A1AF-4A5B-A5BD-3A7C7D3BDB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40</xdr:col>
      <xdr:colOff>136072</xdr:colOff>
      <xdr:row>61</xdr:row>
      <xdr:rowOff>0</xdr:rowOff>
    </xdr:from>
    <xdr:to>
      <xdr:col>51</xdr:col>
      <xdr:colOff>776209</xdr:colOff>
      <xdr:row>85</xdr:row>
      <xdr:rowOff>154180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2BE941B-DFB0-4FAD-A88E-C45167E420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145676</xdr:colOff>
      <xdr:row>1</xdr:row>
      <xdr:rowOff>44824</xdr:rowOff>
    </xdr:from>
    <xdr:to>
      <xdr:col>11</xdr:col>
      <xdr:colOff>526677</xdr:colOff>
      <xdr:row>25</xdr:row>
      <xdr:rowOff>33617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8067412-BD39-4FFE-A66A-A4E6CD036834}"/>
            </a:ext>
          </a:extLst>
        </xdr:cNvPr>
        <xdr:cNvGrpSpPr/>
      </xdr:nvGrpSpPr>
      <xdr:grpSpPr>
        <a:xfrm>
          <a:off x="145676" y="201706"/>
          <a:ext cx="7037295" cy="3753970"/>
          <a:chOff x="313764" y="168089"/>
          <a:chExt cx="7916958" cy="375397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C2C3C0BF-A832-459E-9FEA-427FC4503948}"/>
              </a:ext>
            </a:extLst>
          </xdr:cNvPr>
          <xdr:cNvGraphicFramePr>
            <a:graphicFrameLocks/>
          </xdr:cNvGraphicFramePr>
        </xdr:nvGraphicFramePr>
        <xdr:xfrm>
          <a:off x="313764" y="168089"/>
          <a:ext cx="7916958" cy="37539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A399A038-5453-4E3B-9A15-5B341EB5FC20}"/>
              </a:ext>
            </a:extLst>
          </xdr:cNvPr>
          <xdr:cNvSpPr txBox="1"/>
        </xdr:nvSpPr>
        <xdr:spPr>
          <a:xfrm>
            <a:off x="6274571" y="224118"/>
            <a:ext cx="1866504" cy="302559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MY" sz="1100" b="1">
                <a:latin typeface="Arial" panose="020B0604020202020204" pitchFamily="34" charset="0"/>
                <a:cs typeface="Arial" panose="020B0604020202020204" pitchFamily="34" charset="0"/>
              </a:rPr>
              <a:t>Target = 1,645 MT/day</a:t>
            </a:r>
          </a:p>
        </xdr:txBody>
      </xdr:sp>
    </xdr:grpSp>
    <xdr:clientData/>
  </xdr:twoCellAnchor>
  <xdr:twoCellAnchor>
    <xdr:from>
      <xdr:col>12</xdr:col>
      <xdr:colOff>22412</xdr:colOff>
      <xdr:row>1</xdr:row>
      <xdr:rowOff>44822</xdr:rowOff>
    </xdr:from>
    <xdr:to>
      <xdr:col>23</xdr:col>
      <xdr:colOff>493059</xdr:colOff>
      <xdr:row>25</xdr:row>
      <xdr:rowOff>44822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ED96AD-BAC3-4178-A5C9-86E808168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515470</xdr:colOff>
      <xdr:row>1</xdr:row>
      <xdr:rowOff>96369</xdr:rowOff>
    </xdr:from>
    <xdr:to>
      <xdr:col>23</xdr:col>
      <xdr:colOff>410135</xdr:colOff>
      <xdr:row>3</xdr:row>
      <xdr:rowOff>85163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C033B72-57ED-46E8-85CA-E18844B556C0}"/>
            </a:ext>
          </a:extLst>
        </xdr:cNvPr>
        <xdr:cNvSpPr txBox="1"/>
      </xdr:nvSpPr>
      <xdr:spPr>
        <a:xfrm>
          <a:off x="12707470" y="258294"/>
          <a:ext cx="1723465" cy="31264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 b="1">
              <a:latin typeface="Arial" panose="020B0604020202020204" pitchFamily="34" charset="0"/>
              <a:cs typeface="Arial" panose="020B0604020202020204" pitchFamily="34" charset="0"/>
            </a:rPr>
            <a:t>Target = 1,588 MT/day</a:t>
          </a:r>
        </a:p>
      </xdr:txBody>
    </xdr:sp>
    <xdr:clientData/>
  </xdr:twoCellAnchor>
  <xdr:twoCellAnchor>
    <xdr:from>
      <xdr:col>0</xdr:col>
      <xdr:colOff>141195</xdr:colOff>
      <xdr:row>25</xdr:row>
      <xdr:rowOff>141193</xdr:rowOff>
    </xdr:from>
    <xdr:to>
      <xdr:col>11</xdr:col>
      <xdr:colOff>537882</xdr:colOff>
      <xdr:row>49</xdr:row>
      <xdr:rowOff>129987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7258BD-1C18-411E-A4F5-10C650FAB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11206</xdr:colOff>
      <xdr:row>26</xdr:row>
      <xdr:rowOff>47064</xdr:rowOff>
    </xdr:from>
    <xdr:to>
      <xdr:col>11</xdr:col>
      <xdr:colOff>465114</xdr:colOff>
      <xdr:row>28</xdr:row>
      <xdr:rowOff>35858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10FA97F-F0A3-44AA-AA7B-734FDB1350B8}"/>
            </a:ext>
          </a:extLst>
        </xdr:cNvPr>
        <xdr:cNvSpPr txBox="1"/>
      </xdr:nvSpPr>
      <xdr:spPr>
        <a:xfrm>
          <a:off x="6107206" y="4257114"/>
          <a:ext cx="1063508" cy="31264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 b="1">
              <a:latin typeface="Arial" panose="020B0604020202020204" pitchFamily="34" charset="0"/>
              <a:cs typeface="Arial" panose="020B0604020202020204" pitchFamily="34" charset="0"/>
            </a:rPr>
            <a:t>Target = 1.50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92</xdr:row>
      <xdr:rowOff>152400</xdr:rowOff>
    </xdr:from>
    <xdr:to>
      <xdr:col>17</xdr:col>
      <xdr:colOff>294355</xdr:colOff>
      <xdr:row>98</xdr:row>
      <xdr:rowOff>85590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21FA1D-1E7C-4B21-9A39-97EF305B8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9925" y="17706975"/>
          <a:ext cx="7361905" cy="10761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srmalaysia.sharepoint.com/sites/production.team/Shared%20Documents/PRODUCTION%20PERFORMANCE/Production%20Performance%202019/2020/Schedule/WK36%20Planning_1-Se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uirement (WK36)"/>
      <sheetName val="Production Plan"/>
      <sheetName val="Sheet1"/>
      <sheetName val="Sheet2"/>
      <sheetName val="Requirement (wk35)"/>
    </sheetNames>
    <sheetDataSet>
      <sheetData sheetId="0">
        <row r="2">
          <cell r="A2" t="str">
            <v>NO</v>
          </cell>
          <cell r="B2" t="str">
            <v>SKU</v>
          </cell>
          <cell r="C2" t="str">
            <v>SAP</v>
          </cell>
          <cell r="D2" t="str">
            <v>KEY</v>
          </cell>
          <cell r="E2" t="str">
            <v>Initial</v>
          </cell>
          <cell r="F2">
            <v>44075</v>
          </cell>
          <cell r="G2">
            <v>44076</v>
          </cell>
          <cell r="H2">
            <v>44077</v>
          </cell>
          <cell r="I2">
            <v>44078</v>
          </cell>
          <cell r="J2">
            <v>44079</v>
          </cell>
          <cell r="K2">
            <v>44080</v>
          </cell>
          <cell r="L2">
            <v>44081</v>
          </cell>
          <cell r="M2">
            <v>44082</v>
          </cell>
          <cell r="N2">
            <v>44083</v>
          </cell>
          <cell r="O2">
            <v>44084</v>
          </cell>
          <cell r="P2">
            <v>44085</v>
          </cell>
          <cell r="Q2">
            <v>44086</v>
          </cell>
          <cell r="R2">
            <v>44087</v>
          </cell>
          <cell r="S2">
            <v>44088</v>
          </cell>
          <cell r="T2">
            <v>44089</v>
          </cell>
          <cell r="U2">
            <v>44090</v>
          </cell>
          <cell r="V2">
            <v>44091</v>
          </cell>
          <cell r="W2">
            <v>44092</v>
          </cell>
          <cell r="X2">
            <v>44093</v>
          </cell>
          <cell r="Y2">
            <v>44094</v>
          </cell>
          <cell r="Z2">
            <v>44095</v>
          </cell>
          <cell r="AA2">
            <v>44096</v>
          </cell>
          <cell r="AB2">
            <v>44097</v>
          </cell>
          <cell r="AC2">
            <v>44098</v>
          </cell>
          <cell r="AD2">
            <v>44099</v>
          </cell>
          <cell r="AE2">
            <v>44100</v>
          </cell>
          <cell r="AF2">
            <v>44101</v>
          </cell>
          <cell r="AG2">
            <v>44102</v>
          </cell>
          <cell r="AH2">
            <v>44103</v>
          </cell>
          <cell r="AI2">
            <v>44104</v>
          </cell>
          <cell r="AJ2">
            <v>44105</v>
          </cell>
          <cell r="AK2">
            <v>44106</v>
          </cell>
        </row>
        <row r="3">
          <cell r="A3" t="str">
            <v>LOA1-500Forecast</v>
          </cell>
          <cell r="B3" t="str">
            <v>LOA1-500</v>
          </cell>
          <cell r="C3">
            <v>22000015</v>
          </cell>
          <cell r="D3" t="str">
            <v>Forecast</v>
          </cell>
          <cell r="E3">
            <v>40</v>
          </cell>
          <cell r="F3">
            <v>40</v>
          </cell>
          <cell r="G3">
            <v>40</v>
          </cell>
          <cell r="H3">
            <v>40</v>
          </cell>
          <cell r="I3">
            <v>40</v>
          </cell>
          <cell r="J3">
            <v>40</v>
          </cell>
          <cell r="K3">
            <v>0</v>
          </cell>
          <cell r="L3">
            <v>40</v>
          </cell>
          <cell r="M3">
            <v>40</v>
          </cell>
          <cell r="N3">
            <v>40</v>
          </cell>
          <cell r="O3">
            <v>40</v>
          </cell>
          <cell r="P3">
            <v>40</v>
          </cell>
          <cell r="Q3">
            <v>40</v>
          </cell>
          <cell r="R3">
            <v>0</v>
          </cell>
          <cell r="S3">
            <v>40</v>
          </cell>
          <cell r="T3">
            <v>40</v>
          </cell>
          <cell r="U3">
            <v>40</v>
          </cell>
          <cell r="V3">
            <v>40</v>
          </cell>
          <cell r="W3">
            <v>40</v>
          </cell>
          <cell r="X3">
            <v>40</v>
          </cell>
          <cell r="Y3">
            <v>0</v>
          </cell>
          <cell r="Z3">
            <v>40</v>
          </cell>
          <cell r="AA3">
            <v>40</v>
          </cell>
          <cell r="AB3">
            <v>40</v>
          </cell>
          <cell r="AC3">
            <v>40</v>
          </cell>
          <cell r="AD3">
            <v>40</v>
          </cell>
          <cell r="AE3">
            <v>40</v>
          </cell>
          <cell r="AF3">
            <v>40</v>
          </cell>
          <cell r="AG3">
            <v>40</v>
          </cell>
          <cell r="AH3">
            <v>40</v>
          </cell>
          <cell r="AI3">
            <v>40</v>
          </cell>
          <cell r="AJ3">
            <v>40</v>
          </cell>
          <cell r="AK3">
            <v>40</v>
          </cell>
        </row>
        <row r="4">
          <cell r="A4" t="str">
            <v>LOA1-500Total OR</v>
          </cell>
          <cell r="B4" t="str">
            <v>LOA1-500</v>
          </cell>
          <cell r="C4">
            <v>22000015</v>
          </cell>
          <cell r="D4" t="str">
            <v>Total OR</v>
          </cell>
          <cell r="E4"/>
          <cell r="F4">
            <v>40</v>
          </cell>
          <cell r="G4">
            <v>40</v>
          </cell>
          <cell r="H4">
            <v>40</v>
          </cell>
          <cell r="I4">
            <v>40</v>
          </cell>
          <cell r="J4">
            <v>40</v>
          </cell>
          <cell r="K4">
            <v>0</v>
          </cell>
          <cell r="L4">
            <v>40</v>
          </cell>
          <cell r="M4">
            <v>40</v>
          </cell>
          <cell r="N4">
            <v>40</v>
          </cell>
          <cell r="O4">
            <v>40</v>
          </cell>
          <cell r="P4">
            <v>40</v>
          </cell>
          <cell r="Q4">
            <v>40</v>
          </cell>
          <cell r="R4">
            <v>0</v>
          </cell>
          <cell r="S4">
            <v>40</v>
          </cell>
          <cell r="T4">
            <v>40</v>
          </cell>
          <cell r="U4">
            <v>40</v>
          </cell>
          <cell r="V4">
            <v>40</v>
          </cell>
          <cell r="W4">
            <v>40</v>
          </cell>
          <cell r="X4">
            <v>40</v>
          </cell>
          <cell r="Y4">
            <v>0</v>
          </cell>
          <cell r="Z4">
            <v>40</v>
          </cell>
          <cell r="AA4">
            <v>40</v>
          </cell>
          <cell r="AB4">
            <v>40</v>
          </cell>
          <cell r="AC4">
            <v>40</v>
          </cell>
          <cell r="AD4">
            <v>40</v>
          </cell>
          <cell r="AE4">
            <v>40</v>
          </cell>
          <cell r="AF4">
            <v>40</v>
          </cell>
          <cell r="AG4">
            <v>40</v>
          </cell>
          <cell r="AH4">
            <v>40</v>
          </cell>
          <cell r="AI4">
            <v>40</v>
          </cell>
          <cell r="AJ4">
            <v>40</v>
          </cell>
          <cell r="AK4">
            <v>40</v>
          </cell>
        </row>
        <row r="5">
          <cell r="A5" t="str">
            <v>LOA1-500Prod Plan</v>
          </cell>
          <cell r="B5" t="str">
            <v>LOA1-500</v>
          </cell>
          <cell r="C5">
            <v>22000015</v>
          </cell>
          <cell r="D5" t="str">
            <v>Prod Plan</v>
          </cell>
          <cell r="E5">
            <v>20</v>
          </cell>
          <cell r="F5">
            <v>50</v>
          </cell>
          <cell r="G5">
            <v>50</v>
          </cell>
          <cell r="H5">
            <v>50</v>
          </cell>
          <cell r="I5">
            <v>50</v>
          </cell>
          <cell r="J5">
            <v>50</v>
          </cell>
          <cell r="K5">
            <v>50</v>
          </cell>
          <cell r="L5">
            <v>50</v>
          </cell>
          <cell r="M5">
            <v>50</v>
          </cell>
          <cell r="N5">
            <v>50</v>
          </cell>
          <cell r="O5">
            <v>50</v>
          </cell>
          <cell r="P5">
            <v>50</v>
          </cell>
          <cell r="Q5">
            <v>50</v>
          </cell>
          <cell r="R5">
            <v>50</v>
          </cell>
          <cell r="S5">
            <v>50</v>
          </cell>
          <cell r="T5">
            <v>50</v>
          </cell>
          <cell r="U5">
            <v>50</v>
          </cell>
          <cell r="V5">
            <v>50</v>
          </cell>
          <cell r="W5">
            <v>50</v>
          </cell>
          <cell r="X5">
            <v>50</v>
          </cell>
          <cell r="Y5">
            <v>50</v>
          </cell>
          <cell r="Z5">
            <v>50</v>
          </cell>
          <cell r="AA5">
            <v>50</v>
          </cell>
          <cell r="AB5">
            <v>50</v>
          </cell>
          <cell r="AC5">
            <v>50</v>
          </cell>
          <cell r="AD5">
            <v>50</v>
          </cell>
          <cell r="AE5">
            <v>50</v>
          </cell>
          <cell r="AF5">
            <v>50</v>
          </cell>
          <cell r="AG5">
            <v>50</v>
          </cell>
          <cell r="AH5">
            <v>50</v>
          </cell>
          <cell r="AI5">
            <v>50</v>
          </cell>
          <cell r="AJ5">
            <v>50</v>
          </cell>
          <cell r="AK5">
            <v>50</v>
          </cell>
        </row>
        <row r="6">
          <cell r="A6" t="str">
            <v>LOA1-500Prod Receipt</v>
          </cell>
          <cell r="B6" t="str">
            <v>LOA1-500</v>
          </cell>
          <cell r="C6">
            <v>22000015</v>
          </cell>
          <cell r="D6" t="str">
            <v>Prod Receipt</v>
          </cell>
          <cell r="E6"/>
          <cell r="F6"/>
          <cell r="G6"/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  <cell r="S6"/>
          <cell r="T6"/>
          <cell r="U6"/>
          <cell r="V6"/>
          <cell r="W6"/>
          <cell r="X6"/>
          <cell r="Y6"/>
          <cell r="Z6"/>
          <cell r="AA6"/>
          <cell r="AB6"/>
          <cell r="AC6"/>
          <cell r="AD6"/>
          <cell r="AE6"/>
          <cell r="AF6"/>
          <cell r="AG6"/>
          <cell r="AH6"/>
          <cell r="AI6"/>
          <cell r="AJ6"/>
          <cell r="AK6"/>
        </row>
        <row r="7">
          <cell r="A7" t="str">
            <v>LOA1-500Total Suppy</v>
          </cell>
          <cell r="B7" t="str">
            <v>LOA1-500</v>
          </cell>
          <cell r="C7">
            <v>22000015</v>
          </cell>
          <cell r="D7" t="str">
            <v>Total Suppy</v>
          </cell>
          <cell r="E7"/>
          <cell r="F7" t="e">
            <v>#REF!</v>
          </cell>
          <cell r="G7" t="e">
            <v>#REF!</v>
          </cell>
          <cell r="H7" t="e">
            <v>#REF!</v>
          </cell>
          <cell r="I7">
            <v>0</v>
          </cell>
          <cell r="J7"/>
          <cell r="K7"/>
          <cell r="L7"/>
          <cell r="M7"/>
          <cell r="N7"/>
          <cell r="O7"/>
          <cell r="P7"/>
          <cell r="Q7"/>
          <cell r="R7"/>
          <cell r="S7"/>
          <cell r="T7"/>
          <cell r="U7"/>
          <cell r="V7"/>
          <cell r="W7"/>
          <cell r="X7"/>
          <cell r="Y7"/>
          <cell r="Z7"/>
          <cell r="AA7"/>
          <cell r="AB7"/>
          <cell r="AC7"/>
          <cell r="AD7"/>
          <cell r="AE7"/>
          <cell r="AF7"/>
          <cell r="AG7"/>
          <cell r="AH7"/>
          <cell r="AI7"/>
          <cell r="AJ7"/>
          <cell r="AK7"/>
        </row>
        <row r="8">
          <cell r="A8" t="str">
            <v>LOA1-500Closing Stks</v>
          </cell>
          <cell r="B8" t="str">
            <v>LOA1-500</v>
          </cell>
          <cell r="C8">
            <v>22000015</v>
          </cell>
          <cell r="D8" t="str">
            <v>Closing Stks</v>
          </cell>
          <cell r="E8"/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M8" t="e">
            <v>#REF!</v>
          </cell>
          <cell r="N8" t="e">
            <v>#REF!</v>
          </cell>
          <cell r="O8" t="e">
            <v>#REF!</v>
          </cell>
          <cell r="P8" t="e">
            <v>#REF!</v>
          </cell>
          <cell r="Q8" t="e">
            <v>#REF!</v>
          </cell>
          <cell r="R8" t="e">
            <v>#REF!</v>
          </cell>
          <cell r="S8" t="e">
            <v>#REF!</v>
          </cell>
          <cell r="T8" t="e">
            <v>#REF!</v>
          </cell>
          <cell r="U8" t="e">
            <v>#REF!</v>
          </cell>
          <cell r="V8" t="e">
            <v>#REF!</v>
          </cell>
          <cell r="W8" t="e">
            <v>#REF!</v>
          </cell>
          <cell r="X8" t="e">
            <v>#REF!</v>
          </cell>
          <cell r="Y8" t="e">
            <v>#REF!</v>
          </cell>
          <cell r="Z8" t="e">
            <v>#REF!</v>
          </cell>
          <cell r="AA8" t="e">
            <v>#REF!</v>
          </cell>
          <cell r="AB8" t="e">
            <v>#REF!</v>
          </cell>
          <cell r="AC8" t="e">
            <v>#REF!</v>
          </cell>
          <cell r="AD8" t="e">
            <v>#REF!</v>
          </cell>
          <cell r="AE8" t="e">
            <v>#REF!</v>
          </cell>
          <cell r="AF8" t="e">
            <v>#REF!</v>
          </cell>
          <cell r="AG8" t="e">
            <v>#REF!</v>
          </cell>
          <cell r="AH8" t="e">
            <v>#REF!</v>
          </cell>
          <cell r="AI8" t="e">
            <v>#REF!</v>
          </cell>
          <cell r="AJ8" t="e">
            <v>#REF!</v>
          </cell>
          <cell r="AK8" t="e">
            <v>#REF!</v>
          </cell>
        </row>
        <row r="9">
          <cell r="A9" t="str">
            <v>LOC1Forecast</v>
          </cell>
          <cell r="B9" t="str">
            <v>LOC1</v>
          </cell>
          <cell r="C9">
            <v>22000071</v>
          </cell>
          <cell r="D9" t="str">
            <v>Forecast</v>
          </cell>
          <cell r="E9"/>
          <cell r="F9">
            <v>540</v>
          </cell>
          <cell r="G9">
            <v>540</v>
          </cell>
          <cell r="H9">
            <v>540</v>
          </cell>
          <cell r="I9">
            <v>540</v>
          </cell>
          <cell r="J9">
            <v>540</v>
          </cell>
          <cell r="K9">
            <v>0</v>
          </cell>
          <cell r="L9">
            <v>540</v>
          </cell>
          <cell r="M9">
            <v>540</v>
          </cell>
          <cell r="N9">
            <v>540</v>
          </cell>
          <cell r="O9">
            <v>540</v>
          </cell>
          <cell r="P9">
            <v>540</v>
          </cell>
          <cell r="Q9">
            <v>540</v>
          </cell>
          <cell r="R9">
            <v>540</v>
          </cell>
          <cell r="S9">
            <v>540</v>
          </cell>
          <cell r="T9">
            <v>540</v>
          </cell>
          <cell r="U9">
            <v>540</v>
          </cell>
          <cell r="V9">
            <v>540</v>
          </cell>
          <cell r="W9">
            <v>540</v>
          </cell>
          <cell r="X9">
            <v>540</v>
          </cell>
          <cell r="Y9">
            <v>540</v>
          </cell>
          <cell r="Z9">
            <v>540</v>
          </cell>
          <cell r="AA9">
            <v>540</v>
          </cell>
          <cell r="AB9">
            <v>540</v>
          </cell>
          <cell r="AC9">
            <v>540</v>
          </cell>
          <cell r="AD9">
            <v>540</v>
          </cell>
          <cell r="AE9">
            <v>540</v>
          </cell>
          <cell r="AF9">
            <v>540</v>
          </cell>
          <cell r="AG9">
            <v>540</v>
          </cell>
          <cell r="AH9">
            <v>540</v>
          </cell>
          <cell r="AI9">
            <v>540</v>
          </cell>
          <cell r="AJ9">
            <v>540</v>
          </cell>
          <cell r="AK9">
            <v>540</v>
          </cell>
        </row>
        <row r="10">
          <cell r="A10" t="str">
            <v>LOC1Total OR</v>
          </cell>
          <cell r="B10" t="str">
            <v>LOC1</v>
          </cell>
          <cell r="C10">
            <v>22000071</v>
          </cell>
          <cell r="D10" t="str">
            <v>Total OR</v>
          </cell>
          <cell r="E10"/>
          <cell r="F10">
            <v>376</v>
          </cell>
          <cell r="G10">
            <v>410.5</v>
          </cell>
          <cell r="H10">
            <v>385</v>
          </cell>
          <cell r="I10">
            <v>259</v>
          </cell>
          <cell r="J10">
            <v>376</v>
          </cell>
          <cell r="K10">
            <v>376</v>
          </cell>
          <cell r="L10">
            <v>376</v>
          </cell>
          <cell r="M10">
            <v>376</v>
          </cell>
          <cell r="N10">
            <v>376</v>
          </cell>
          <cell r="O10">
            <v>376</v>
          </cell>
          <cell r="P10">
            <v>376</v>
          </cell>
          <cell r="Q10">
            <v>376</v>
          </cell>
          <cell r="R10">
            <v>376</v>
          </cell>
          <cell r="S10">
            <v>376</v>
          </cell>
          <cell r="T10">
            <v>376</v>
          </cell>
          <cell r="U10">
            <v>376</v>
          </cell>
          <cell r="V10">
            <v>376</v>
          </cell>
          <cell r="W10">
            <v>376</v>
          </cell>
          <cell r="X10">
            <v>376</v>
          </cell>
          <cell r="Y10">
            <v>376</v>
          </cell>
          <cell r="Z10">
            <v>376</v>
          </cell>
          <cell r="AA10">
            <v>376</v>
          </cell>
          <cell r="AB10">
            <v>376</v>
          </cell>
          <cell r="AC10">
            <v>376</v>
          </cell>
          <cell r="AD10">
            <v>376</v>
          </cell>
          <cell r="AE10">
            <v>376</v>
          </cell>
          <cell r="AF10">
            <v>376</v>
          </cell>
          <cell r="AG10">
            <v>376</v>
          </cell>
          <cell r="AH10">
            <v>376</v>
          </cell>
          <cell r="AI10">
            <v>376</v>
          </cell>
          <cell r="AJ10">
            <v>376</v>
          </cell>
          <cell r="AK10">
            <v>376</v>
          </cell>
        </row>
        <row r="11">
          <cell r="A11" t="str">
            <v>LOC1Prod Plan</v>
          </cell>
          <cell r="B11" t="str">
            <v>LOC1</v>
          </cell>
          <cell r="C11">
            <v>22000071</v>
          </cell>
          <cell r="D11" t="str">
            <v>Prod Plan</v>
          </cell>
          <cell r="E11">
            <v>0</v>
          </cell>
          <cell r="F11">
            <v>210</v>
          </cell>
          <cell r="G11">
            <v>210</v>
          </cell>
          <cell r="H11">
            <v>210</v>
          </cell>
          <cell r="I11">
            <v>210</v>
          </cell>
          <cell r="J11">
            <v>210</v>
          </cell>
          <cell r="K11">
            <v>210</v>
          </cell>
          <cell r="L11">
            <v>210</v>
          </cell>
          <cell r="M11">
            <v>210</v>
          </cell>
          <cell r="N11">
            <v>210</v>
          </cell>
          <cell r="O11">
            <v>210</v>
          </cell>
          <cell r="P11">
            <v>210</v>
          </cell>
          <cell r="Q11">
            <v>210</v>
          </cell>
          <cell r="R11">
            <v>210</v>
          </cell>
          <cell r="S11">
            <v>210</v>
          </cell>
          <cell r="T11">
            <v>210</v>
          </cell>
          <cell r="U11">
            <v>210</v>
          </cell>
          <cell r="V11">
            <v>210</v>
          </cell>
          <cell r="W11">
            <v>210</v>
          </cell>
          <cell r="X11">
            <v>210</v>
          </cell>
          <cell r="Y11">
            <v>210</v>
          </cell>
          <cell r="Z11">
            <v>210</v>
          </cell>
          <cell r="AA11">
            <v>210</v>
          </cell>
          <cell r="AB11">
            <v>210</v>
          </cell>
          <cell r="AC11">
            <v>210</v>
          </cell>
          <cell r="AD11">
            <v>210</v>
          </cell>
          <cell r="AE11">
            <v>210</v>
          </cell>
          <cell r="AF11">
            <v>210</v>
          </cell>
          <cell r="AG11">
            <v>210</v>
          </cell>
          <cell r="AH11">
            <v>210</v>
          </cell>
          <cell r="AI11">
            <v>210</v>
          </cell>
          <cell r="AJ11">
            <v>210</v>
          </cell>
          <cell r="AK11">
            <v>210</v>
          </cell>
        </row>
        <row r="12">
          <cell r="A12" t="str">
            <v>LOC1Prod Receipt</v>
          </cell>
          <cell r="B12" t="str">
            <v>LOC1</v>
          </cell>
          <cell r="C12">
            <v>22000071</v>
          </cell>
          <cell r="D12" t="str">
            <v>Prod Receipt</v>
          </cell>
          <cell r="E12"/>
          <cell r="F12"/>
          <cell r="G12"/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  <cell r="S12"/>
          <cell r="T12"/>
          <cell r="U12"/>
          <cell r="V12"/>
          <cell r="W12"/>
          <cell r="X12"/>
          <cell r="Y12"/>
          <cell r="Z12"/>
          <cell r="AA12"/>
          <cell r="AB12"/>
          <cell r="AC12"/>
          <cell r="AD12"/>
          <cell r="AE12"/>
          <cell r="AF12"/>
          <cell r="AG12"/>
          <cell r="AH12"/>
          <cell r="AI12"/>
          <cell r="AJ12"/>
          <cell r="AK12"/>
        </row>
        <row r="13">
          <cell r="A13" t="str">
            <v>LOC1Total Suppy</v>
          </cell>
          <cell r="B13" t="str">
            <v>LOC1</v>
          </cell>
          <cell r="C13">
            <v>22000071</v>
          </cell>
          <cell r="D13" t="str">
            <v>Total Suppy</v>
          </cell>
          <cell r="E13"/>
          <cell r="F13" t="e">
            <v>#REF!</v>
          </cell>
          <cell r="G13" t="e">
            <v>#REF!</v>
          </cell>
          <cell r="H13" t="e">
            <v>#REF!</v>
          </cell>
          <cell r="I13">
            <v>0</v>
          </cell>
          <cell r="J13"/>
          <cell r="K13"/>
          <cell r="L13"/>
          <cell r="M13"/>
          <cell r="N13"/>
          <cell r="O13"/>
          <cell r="P13"/>
          <cell r="Q13"/>
          <cell r="R13"/>
          <cell r="S13"/>
          <cell r="T13"/>
          <cell r="U13"/>
          <cell r="V13"/>
          <cell r="W13"/>
          <cell r="X13"/>
          <cell r="Y13"/>
          <cell r="Z13"/>
          <cell r="AA13"/>
          <cell r="AB13"/>
          <cell r="AC13"/>
          <cell r="AD13"/>
          <cell r="AE13"/>
          <cell r="AF13"/>
          <cell r="AG13"/>
          <cell r="AH13"/>
          <cell r="AI13"/>
          <cell r="AJ13"/>
          <cell r="AK13"/>
        </row>
        <row r="14">
          <cell r="A14" t="str">
            <v>LOC1Closing Stks</v>
          </cell>
          <cell r="B14" t="str">
            <v>LOC1</v>
          </cell>
          <cell r="C14">
            <v>22000071</v>
          </cell>
          <cell r="D14" t="str">
            <v>Closing Stks</v>
          </cell>
          <cell r="E14"/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M14" t="e">
            <v>#REF!</v>
          </cell>
          <cell r="N14" t="e">
            <v>#REF!</v>
          </cell>
          <cell r="O14" t="e">
            <v>#REF!</v>
          </cell>
          <cell r="P14" t="e">
            <v>#REF!</v>
          </cell>
          <cell r="Q14" t="e">
            <v>#REF!</v>
          </cell>
          <cell r="R14" t="e">
            <v>#REF!</v>
          </cell>
          <cell r="S14" t="e">
            <v>#REF!</v>
          </cell>
          <cell r="T14" t="e">
            <v>#REF!</v>
          </cell>
          <cell r="U14" t="e">
            <v>#REF!</v>
          </cell>
          <cell r="V14" t="e">
            <v>#REF!</v>
          </cell>
          <cell r="W14" t="e">
            <v>#REF!</v>
          </cell>
          <cell r="X14" t="e">
            <v>#REF!</v>
          </cell>
          <cell r="Y14" t="e">
            <v>#REF!</v>
          </cell>
          <cell r="Z14" t="e">
            <v>#REF!</v>
          </cell>
          <cell r="AA14" t="e">
            <v>#REF!</v>
          </cell>
          <cell r="AB14" t="e">
            <v>#REF!</v>
          </cell>
          <cell r="AC14" t="e">
            <v>#REF!</v>
          </cell>
          <cell r="AD14" t="e">
            <v>#REF!</v>
          </cell>
          <cell r="AE14" t="e">
            <v>#REF!</v>
          </cell>
          <cell r="AF14" t="e">
            <v>#REF!</v>
          </cell>
          <cell r="AG14" t="e">
            <v>#REF!</v>
          </cell>
          <cell r="AH14" t="e">
            <v>#REF!</v>
          </cell>
          <cell r="AI14" t="e">
            <v>#REF!</v>
          </cell>
          <cell r="AJ14" t="e">
            <v>#REF!</v>
          </cell>
          <cell r="AK14" t="e">
            <v>#REF!</v>
          </cell>
        </row>
        <row r="15">
          <cell r="A15" t="str">
            <v>LOA1Forecast</v>
          </cell>
          <cell r="B15" t="str">
            <v>LOA1</v>
          </cell>
          <cell r="C15">
            <v>22000011</v>
          </cell>
          <cell r="D15" t="str">
            <v>Forecast</v>
          </cell>
          <cell r="E15"/>
          <cell r="F15">
            <v>300</v>
          </cell>
          <cell r="G15">
            <v>300</v>
          </cell>
          <cell r="H15">
            <v>300</v>
          </cell>
          <cell r="I15">
            <v>300</v>
          </cell>
          <cell r="J15">
            <v>300</v>
          </cell>
          <cell r="K15">
            <v>0</v>
          </cell>
          <cell r="L15">
            <v>300</v>
          </cell>
          <cell r="M15">
            <v>300</v>
          </cell>
          <cell r="N15">
            <v>300</v>
          </cell>
          <cell r="O15">
            <v>300</v>
          </cell>
          <cell r="P15">
            <v>300</v>
          </cell>
          <cell r="Q15">
            <v>300</v>
          </cell>
          <cell r="R15">
            <v>300</v>
          </cell>
          <cell r="S15">
            <v>300</v>
          </cell>
          <cell r="T15">
            <v>300</v>
          </cell>
          <cell r="U15">
            <v>300</v>
          </cell>
          <cell r="V15">
            <v>300</v>
          </cell>
          <cell r="W15">
            <v>300</v>
          </cell>
          <cell r="X15">
            <v>300</v>
          </cell>
          <cell r="Y15">
            <v>300</v>
          </cell>
          <cell r="Z15">
            <v>300</v>
          </cell>
          <cell r="AA15">
            <v>300</v>
          </cell>
          <cell r="AB15">
            <v>300</v>
          </cell>
          <cell r="AC15">
            <v>300</v>
          </cell>
          <cell r="AD15">
            <v>300</v>
          </cell>
          <cell r="AE15">
            <v>300</v>
          </cell>
          <cell r="AF15">
            <v>300</v>
          </cell>
          <cell r="AG15">
            <v>300</v>
          </cell>
          <cell r="AH15">
            <v>300</v>
          </cell>
          <cell r="AI15">
            <v>300</v>
          </cell>
          <cell r="AJ15">
            <v>300</v>
          </cell>
          <cell r="AK15">
            <v>300</v>
          </cell>
        </row>
        <row r="16">
          <cell r="A16" t="str">
            <v>LOA1Total OR</v>
          </cell>
          <cell r="B16" t="str">
            <v>LOA1</v>
          </cell>
          <cell r="C16">
            <v>22000011</v>
          </cell>
          <cell r="D16" t="str">
            <v>Total OR</v>
          </cell>
          <cell r="E16"/>
          <cell r="F16">
            <v>250</v>
          </cell>
          <cell r="G16">
            <v>250</v>
          </cell>
          <cell r="H16">
            <v>250</v>
          </cell>
          <cell r="I16">
            <v>250</v>
          </cell>
          <cell r="J16">
            <v>250</v>
          </cell>
          <cell r="K16">
            <v>0</v>
          </cell>
          <cell r="L16">
            <v>250</v>
          </cell>
          <cell r="M16">
            <v>250</v>
          </cell>
          <cell r="N16">
            <v>250</v>
          </cell>
          <cell r="O16">
            <v>250</v>
          </cell>
          <cell r="P16">
            <v>250</v>
          </cell>
          <cell r="Q16">
            <v>250</v>
          </cell>
          <cell r="R16">
            <v>250</v>
          </cell>
          <cell r="S16">
            <v>250</v>
          </cell>
          <cell r="T16">
            <v>250</v>
          </cell>
          <cell r="U16">
            <v>250</v>
          </cell>
          <cell r="V16">
            <v>250</v>
          </cell>
          <cell r="W16">
            <v>250</v>
          </cell>
          <cell r="X16">
            <v>250</v>
          </cell>
          <cell r="Y16">
            <v>250</v>
          </cell>
          <cell r="Z16">
            <v>250</v>
          </cell>
          <cell r="AA16">
            <v>250</v>
          </cell>
          <cell r="AB16">
            <v>250</v>
          </cell>
          <cell r="AC16">
            <v>250</v>
          </cell>
          <cell r="AD16">
            <v>250</v>
          </cell>
          <cell r="AE16">
            <v>250</v>
          </cell>
          <cell r="AF16">
            <v>250</v>
          </cell>
          <cell r="AG16">
            <v>250</v>
          </cell>
          <cell r="AH16">
            <v>250</v>
          </cell>
          <cell r="AI16">
            <v>250</v>
          </cell>
          <cell r="AJ16">
            <v>250</v>
          </cell>
          <cell r="AK16">
            <v>250</v>
          </cell>
        </row>
        <row r="17">
          <cell r="A17" t="str">
            <v>LOA1Prod Plan</v>
          </cell>
          <cell r="B17" t="str">
            <v>LOA1</v>
          </cell>
          <cell r="C17">
            <v>22000011</v>
          </cell>
          <cell r="D17" t="str">
            <v>Prod Plan</v>
          </cell>
          <cell r="E17">
            <v>900</v>
          </cell>
          <cell r="F17">
            <v>200</v>
          </cell>
          <cell r="G17">
            <v>200</v>
          </cell>
          <cell r="H17">
            <v>200</v>
          </cell>
          <cell r="I17">
            <v>200</v>
          </cell>
          <cell r="J17">
            <v>200</v>
          </cell>
          <cell r="K17">
            <v>200</v>
          </cell>
          <cell r="L17">
            <v>200</v>
          </cell>
          <cell r="M17">
            <v>200</v>
          </cell>
          <cell r="N17">
            <v>200</v>
          </cell>
          <cell r="O17">
            <v>200</v>
          </cell>
          <cell r="P17">
            <v>200</v>
          </cell>
          <cell r="Q17">
            <v>200</v>
          </cell>
          <cell r="R17">
            <v>200</v>
          </cell>
          <cell r="S17">
            <v>200</v>
          </cell>
          <cell r="T17">
            <v>200</v>
          </cell>
          <cell r="U17">
            <v>200</v>
          </cell>
          <cell r="V17">
            <v>200</v>
          </cell>
          <cell r="W17">
            <v>200</v>
          </cell>
          <cell r="X17">
            <v>200</v>
          </cell>
          <cell r="Y17">
            <v>200</v>
          </cell>
          <cell r="Z17">
            <v>200</v>
          </cell>
          <cell r="AA17">
            <v>200</v>
          </cell>
          <cell r="AB17">
            <v>200</v>
          </cell>
          <cell r="AC17">
            <v>200</v>
          </cell>
          <cell r="AD17">
            <v>200</v>
          </cell>
          <cell r="AE17">
            <v>200</v>
          </cell>
          <cell r="AF17">
            <v>200</v>
          </cell>
          <cell r="AG17">
            <v>200</v>
          </cell>
          <cell r="AH17">
            <v>200</v>
          </cell>
          <cell r="AI17">
            <v>200</v>
          </cell>
          <cell r="AJ17">
            <v>200</v>
          </cell>
          <cell r="AK17">
            <v>200</v>
          </cell>
        </row>
        <row r="18">
          <cell r="A18" t="str">
            <v>LOA1Prod Receipt</v>
          </cell>
          <cell r="B18" t="str">
            <v>LOA1</v>
          </cell>
          <cell r="C18">
            <v>22000011</v>
          </cell>
          <cell r="D18" t="str">
            <v>Prod Receipt</v>
          </cell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  <cell r="V18"/>
          <cell r="W18"/>
          <cell r="X18"/>
          <cell r="Y18"/>
          <cell r="Z18"/>
          <cell r="AA18"/>
          <cell r="AB18"/>
          <cell r="AC18"/>
          <cell r="AD18"/>
          <cell r="AE18"/>
          <cell r="AF18"/>
          <cell r="AG18"/>
          <cell r="AH18"/>
          <cell r="AI18"/>
          <cell r="AJ18"/>
          <cell r="AK18"/>
        </row>
        <row r="19">
          <cell r="A19" t="str">
            <v>LOA1Total Suppy</v>
          </cell>
          <cell r="B19" t="str">
            <v>LOA1</v>
          </cell>
          <cell r="C19">
            <v>22000011</v>
          </cell>
          <cell r="D19" t="str">
            <v>Total Suppy</v>
          </cell>
          <cell r="E19"/>
          <cell r="F19" t="e">
            <v>#REF!</v>
          </cell>
          <cell r="G19" t="e">
            <v>#REF!</v>
          </cell>
          <cell r="H19" t="e">
            <v>#REF!</v>
          </cell>
          <cell r="I19">
            <v>0</v>
          </cell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</row>
        <row r="20">
          <cell r="A20" t="str">
            <v>LOA1Closing Stks</v>
          </cell>
          <cell r="B20" t="str">
            <v>LOA1</v>
          </cell>
          <cell r="C20">
            <v>22000011</v>
          </cell>
          <cell r="D20" t="str">
            <v>Closing Stks</v>
          </cell>
          <cell r="E20"/>
          <cell r="F20" t="e">
            <v>#REF!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K20" t="e">
            <v>#REF!</v>
          </cell>
          <cell r="L20" t="e">
            <v>#REF!</v>
          </cell>
          <cell r="M20" t="e">
            <v>#REF!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  <cell r="X20" t="e">
            <v>#REF!</v>
          </cell>
          <cell r="Y20" t="e">
            <v>#REF!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E20" t="e">
            <v>#REF!</v>
          </cell>
          <cell r="AF20" t="e">
            <v>#REF!</v>
          </cell>
          <cell r="AG20" t="e">
            <v>#REF!</v>
          </cell>
          <cell r="AH20" t="e">
            <v>#REF!</v>
          </cell>
          <cell r="AI20" t="e">
            <v>#REF!</v>
          </cell>
          <cell r="AJ20" t="e">
            <v>#REF!</v>
          </cell>
          <cell r="AK20" t="e">
            <v>#REF!</v>
          </cell>
        </row>
        <row r="21">
          <cell r="A21" t="str">
            <v>LOA11TForecast</v>
          </cell>
          <cell r="B21" t="str">
            <v>LOA11T</v>
          </cell>
          <cell r="C21">
            <v>22000013</v>
          </cell>
          <cell r="D21" t="str">
            <v>Forecast</v>
          </cell>
          <cell r="E21"/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  <cell r="R21">
            <v>300</v>
          </cell>
          <cell r="S21">
            <v>300</v>
          </cell>
          <cell r="T21">
            <v>300</v>
          </cell>
          <cell r="U21">
            <v>300</v>
          </cell>
          <cell r="V21">
            <v>300</v>
          </cell>
          <cell r="W21">
            <v>300</v>
          </cell>
          <cell r="X21">
            <v>300</v>
          </cell>
          <cell r="Y21">
            <v>300</v>
          </cell>
          <cell r="Z21">
            <v>300</v>
          </cell>
          <cell r="AA21">
            <v>300</v>
          </cell>
          <cell r="AB21">
            <v>300</v>
          </cell>
          <cell r="AC21">
            <v>300</v>
          </cell>
          <cell r="AD21">
            <v>300</v>
          </cell>
          <cell r="AE21">
            <v>300</v>
          </cell>
          <cell r="AF21">
            <v>300</v>
          </cell>
          <cell r="AG21">
            <v>300</v>
          </cell>
          <cell r="AH21">
            <v>300</v>
          </cell>
          <cell r="AI21">
            <v>300</v>
          </cell>
          <cell r="AJ21">
            <v>300</v>
          </cell>
          <cell r="AK21">
            <v>300</v>
          </cell>
        </row>
        <row r="22">
          <cell r="A22" t="str">
            <v>LOA11TTotal OR</v>
          </cell>
          <cell r="B22" t="str">
            <v>LOA11T</v>
          </cell>
          <cell r="C22">
            <v>22000013</v>
          </cell>
          <cell r="D22" t="str">
            <v>Total OR</v>
          </cell>
          <cell r="E22"/>
          <cell r="F22">
            <v>360</v>
          </cell>
          <cell r="G22">
            <v>360</v>
          </cell>
          <cell r="H22">
            <v>360</v>
          </cell>
          <cell r="I22">
            <v>360</v>
          </cell>
          <cell r="J22">
            <v>150</v>
          </cell>
          <cell r="K22">
            <v>0</v>
          </cell>
          <cell r="L22">
            <v>360</v>
          </cell>
          <cell r="M22">
            <v>360</v>
          </cell>
          <cell r="N22">
            <v>360</v>
          </cell>
          <cell r="O22">
            <v>360</v>
          </cell>
          <cell r="P22">
            <v>360</v>
          </cell>
          <cell r="Q22">
            <v>360</v>
          </cell>
          <cell r="R22">
            <v>360</v>
          </cell>
          <cell r="S22">
            <v>360</v>
          </cell>
          <cell r="T22">
            <v>360</v>
          </cell>
          <cell r="U22">
            <v>360</v>
          </cell>
          <cell r="V22">
            <v>360</v>
          </cell>
          <cell r="W22">
            <v>360</v>
          </cell>
          <cell r="X22">
            <v>360</v>
          </cell>
          <cell r="Y22">
            <v>360</v>
          </cell>
          <cell r="Z22">
            <v>360</v>
          </cell>
          <cell r="AA22">
            <v>360</v>
          </cell>
          <cell r="AB22">
            <v>360</v>
          </cell>
          <cell r="AC22">
            <v>360</v>
          </cell>
          <cell r="AD22">
            <v>360</v>
          </cell>
          <cell r="AE22">
            <v>360</v>
          </cell>
          <cell r="AF22">
            <v>360</v>
          </cell>
          <cell r="AG22">
            <v>360</v>
          </cell>
          <cell r="AH22">
            <v>360</v>
          </cell>
          <cell r="AI22">
            <v>360</v>
          </cell>
          <cell r="AJ22">
            <v>360</v>
          </cell>
          <cell r="AK22">
            <v>360</v>
          </cell>
        </row>
        <row r="23">
          <cell r="A23" t="str">
            <v>LOA11TProd Plan</v>
          </cell>
          <cell r="B23" t="str">
            <v>LOA11T</v>
          </cell>
          <cell r="C23">
            <v>22000013</v>
          </cell>
          <cell r="D23" t="str">
            <v>Prod Plan</v>
          </cell>
          <cell r="E23">
            <v>200</v>
          </cell>
          <cell r="F23">
            <v>160</v>
          </cell>
          <cell r="G23">
            <v>160</v>
          </cell>
          <cell r="H23">
            <v>160</v>
          </cell>
          <cell r="I23">
            <v>160</v>
          </cell>
          <cell r="J23">
            <v>160</v>
          </cell>
          <cell r="K23">
            <v>160</v>
          </cell>
          <cell r="L23">
            <v>160</v>
          </cell>
          <cell r="M23">
            <v>160</v>
          </cell>
          <cell r="N23">
            <v>160</v>
          </cell>
          <cell r="O23">
            <v>160</v>
          </cell>
          <cell r="P23">
            <v>160</v>
          </cell>
          <cell r="Q23">
            <v>160</v>
          </cell>
          <cell r="R23">
            <v>160</v>
          </cell>
          <cell r="S23">
            <v>160</v>
          </cell>
          <cell r="T23">
            <v>160</v>
          </cell>
          <cell r="U23">
            <v>160</v>
          </cell>
          <cell r="V23">
            <v>160</v>
          </cell>
          <cell r="W23">
            <v>160</v>
          </cell>
          <cell r="X23">
            <v>160</v>
          </cell>
          <cell r="Y23">
            <v>160</v>
          </cell>
          <cell r="Z23">
            <v>160</v>
          </cell>
          <cell r="AA23">
            <v>160</v>
          </cell>
          <cell r="AB23">
            <v>160</v>
          </cell>
          <cell r="AC23">
            <v>160</v>
          </cell>
          <cell r="AD23">
            <v>160</v>
          </cell>
          <cell r="AE23">
            <v>160</v>
          </cell>
          <cell r="AF23">
            <v>160</v>
          </cell>
          <cell r="AG23">
            <v>160</v>
          </cell>
          <cell r="AH23">
            <v>160</v>
          </cell>
          <cell r="AI23">
            <v>160</v>
          </cell>
          <cell r="AJ23">
            <v>160</v>
          </cell>
          <cell r="AK23">
            <v>160</v>
          </cell>
        </row>
        <row r="24">
          <cell r="A24" t="str">
            <v>LOA11TProd Receipt</v>
          </cell>
          <cell r="B24" t="str">
            <v>LOA11T</v>
          </cell>
          <cell r="C24">
            <v>22000013</v>
          </cell>
          <cell r="D24" t="str">
            <v>Prod Receipt</v>
          </cell>
          <cell r="E24"/>
          <cell r="F24"/>
          <cell r="G24"/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  <cell r="V24"/>
          <cell r="W24"/>
          <cell r="X24"/>
          <cell r="Y24"/>
          <cell r="Z24"/>
          <cell r="AA24"/>
          <cell r="AB24"/>
          <cell r="AC24"/>
          <cell r="AD24"/>
          <cell r="AE24"/>
          <cell r="AF24"/>
          <cell r="AG24"/>
          <cell r="AH24"/>
          <cell r="AI24"/>
          <cell r="AJ24"/>
          <cell r="AK24"/>
        </row>
        <row r="25">
          <cell r="A25" t="str">
            <v>LOA11TTotal Suppy</v>
          </cell>
          <cell r="B25" t="str">
            <v>LOA11T</v>
          </cell>
          <cell r="C25">
            <v>22000013</v>
          </cell>
          <cell r="D25" t="str">
            <v>Total Suppy</v>
          </cell>
          <cell r="E25"/>
          <cell r="F25" t="e">
            <v>#REF!</v>
          </cell>
          <cell r="G25" t="e">
            <v>#REF!</v>
          </cell>
          <cell r="H25" t="e">
            <v>#REF!</v>
          </cell>
          <cell r="I25">
            <v>0</v>
          </cell>
          <cell r="J25"/>
          <cell r="K25"/>
          <cell r="L25"/>
          <cell r="M25"/>
          <cell r="N25"/>
          <cell r="O25"/>
          <cell r="P25"/>
          <cell r="Q25"/>
          <cell r="R25"/>
          <cell r="S25"/>
          <cell r="T25"/>
          <cell r="U25"/>
          <cell r="V25"/>
          <cell r="W25"/>
          <cell r="X25"/>
          <cell r="Y25"/>
          <cell r="Z25"/>
          <cell r="AA25"/>
          <cell r="AB25"/>
          <cell r="AC25"/>
          <cell r="AD25"/>
          <cell r="AE25"/>
          <cell r="AF25"/>
          <cell r="AG25"/>
          <cell r="AH25"/>
          <cell r="AI25"/>
          <cell r="AJ25"/>
          <cell r="AK25"/>
        </row>
        <row r="26">
          <cell r="A26" t="str">
            <v>LOA11TClosing Stks</v>
          </cell>
          <cell r="B26" t="str">
            <v>LOA11T</v>
          </cell>
          <cell r="C26">
            <v>22000013</v>
          </cell>
          <cell r="D26" t="str">
            <v>Closing Stks</v>
          </cell>
          <cell r="E26"/>
          <cell r="F26" t="e">
            <v>#REF!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K26" t="e">
            <v>#REF!</v>
          </cell>
          <cell r="L26" t="e">
            <v>#REF!</v>
          </cell>
          <cell r="M26" t="e">
            <v>#REF!</v>
          </cell>
          <cell r="N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  <cell r="T26" t="e">
            <v>#REF!</v>
          </cell>
          <cell r="U26" t="e">
            <v>#REF!</v>
          </cell>
          <cell r="V26" t="e">
            <v>#REF!</v>
          </cell>
          <cell r="W26" t="e">
            <v>#REF!</v>
          </cell>
          <cell r="X26" t="e">
            <v>#REF!</v>
          </cell>
          <cell r="Y26" t="e">
            <v>#REF!</v>
          </cell>
          <cell r="Z26" t="e">
            <v>#REF!</v>
          </cell>
          <cell r="AA26" t="e">
            <v>#REF!</v>
          </cell>
          <cell r="AB26" t="e">
            <v>#REF!</v>
          </cell>
          <cell r="AC26" t="e">
            <v>#REF!</v>
          </cell>
          <cell r="AD26" t="e">
            <v>#REF!</v>
          </cell>
          <cell r="AE26" t="e">
            <v>#REF!</v>
          </cell>
          <cell r="AF26" t="e">
            <v>#REF!</v>
          </cell>
          <cell r="AG26" t="e">
            <v>#REF!</v>
          </cell>
          <cell r="AH26" t="e">
            <v>#REF!</v>
          </cell>
          <cell r="AI26" t="e">
            <v>#REF!</v>
          </cell>
          <cell r="AJ26" t="e">
            <v>#REF!</v>
          </cell>
          <cell r="AK26" t="e">
            <v>#REF!</v>
          </cell>
        </row>
        <row r="27">
          <cell r="A27" t="str">
            <v>LOCA25(P)Forecast</v>
          </cell>
          <cell r="B27" t="str">
            <v>LOCA25(P)</v>
          </cell>
          <cell r="C27">
            <v>22000087</v>
          </cell>
          <cell r="D27" t="str">
            <v>Forecast</v>
          </cell>
          <cell r="E27"/>
          <cell r="F27"/>
          <cell r="G27"/>
          <cell r="H27"/>
          <cell r="I27"/>
          <cell r="J27"/>
          <cell r="K27">
            <v>0</v>
          </cell>
          <cell r="L27"/>
          <cell r="M27"/>
          <cell r="N27"/>
          <cell r="O27"/>
          <cell r="P27"/>
          <cell r="Q27"/>
          <cell r="R27"/>
          <cell r="S27"/>
          <cell r="T27"/>
          <cell r="U27"/>
          <cell r="V27"/>
          <cell r="W27"/>
          <cell r="X27"/>
          <cell r="Y27"/>
          <cell r="Z27"/>
          <cell r="AA27"/>
          <cell r="AB27"/>
          <cell r="AC27"/>
          <cell r="AD27"/>
          <cell r="AE27"/>
          <cell r="AF27"/>
          <cell r="AG27"/>
          <cell r="AH27"/>
          <cell r="AI27"/>
          <cell r="AJ27"/>
          <cell r="AK27"/>
        </row>
        <row r="28">
          <cell r="A28" t="str">
            <v>LOCA25(P)Total OR</v>
          </cell>
          <cell r="B28" t="str">
            <v>LOCA25(P)</v>
          </cell>
          <cell r="C28">
            <v>22000087</v>
          </cell>
          <cell r="D28" t="str">
            <v>Total OR</v>
          </cell>
          <cell r="E28"/>
          <cell r="F28">
            <v>20</v>
          </cell>
          <cell r="G28">
            <v>10</v>
          </cell>
          <cell r="H28">
            <v>10</v>
          </cell>
          <cell r="I28">
            <v>10</v>
          </cell>
          <cell r="J28"/>
          <cell r="K28">
            <v>0</v>
          </cell>
          <cell r="L28">
            <v>30</v>
          </cell>
          <cell r="M28">
            <v>20</v>
          </cell>
          <cell r="N28">
            <v>10</v>
          </cell>
          <cell r="O28">
            <v>10</v>
          </cell>
          <cell r="P28">
            <v>10</v>
          </cell>
          <cell r="Q28"/>
          <cell r="R28"/>
          <cell r="S28">
            <v>30</v>
          </cell>
          <cell r="T28">
            <v>20</v>
          </cell>
          <cell r="U28">
            <v>10</v>
          </cell>
          <cell r="V28">
            <v>10</v>
          </cell>
          <cell r="W28">
            <v>10</v>
          </cell>
          <cell r="X28"/>
          <cell r="Y28"/>
          <cell r="Z28">
            <v>30</v>
          </cell>
          <cell r="AA28">
            <v>20</v>
          </cell>
          <cell r="AB28">
            <v>10</v>
          </cell>
          <cell r="AC28">
            <v>10</v>
          </cell>
          <cell r="AD28">
            <v>10</v>
          </cell>
          <cell r="AE28">
            <v>10</v>
          </cell>
          <cell r="AF28">
            <v>10</v>
          </cell>
          <cell r="AG28">
            <v>10</v>
          </cell>
          <cell r="AH28">
            <v>10</v>
          </cell>
          <cell r="AI28">
            <v>10</v>
          </cell>
          <cell r="AJ28">
            <v>10</v>
          </cell>
          <cell r="AK28">
            <v>10</v>
          </cell>
        </row>
        <row r="29">
          <cell r="A29" t="str">
            <v>LOCA25(P)Prod Plan</v>
          </cell>
          <cell r="B29" t="str">
            <v>LOCA25(P)</v>
          </cell>
          <cell r="C29">
            <v>22000087</v>
          </cell>
          <cell r="D29" t="str">
            <v>Prod Plan</v>
          </cell>
          <cell r="E29">
            <v>100</v>
          </cell>
          <cell r="F29">
            <v>40</v>
          </cell>
          <cell r="G29">
            <v>0</v>
          </cell>
          <cell r="H29">
            <v>0</v>
          </cell>
          <cell r="I29">
            <v>30</v>
          </cell>
          <cell r="J29">
            <v>0</v>
          </cell>
          <cell r="K29">
            <v>0</v>
          </cell>
          <cell r="L29">
            <v>30</v>
          </cell>
          <cell r="M29">
            <v>0</v>
          </cell>
          <cell r="N29">
            <v>0</v>
          </cell>
          <cell r="O29">
            <v>30</v>
          </cell>
          <cell r="P29">
            <v>0</v>
          </cell>
          <cell r="Q29">
            <v>0</v>
          </cell>
          <cell r="R29">
            <v>30</v>
          </cell>
          <cell r="S29">
            <v>0</v>
          </cell>
          <cell r="T29">
            <v>0</v>
          </cell>
          <cell r="U29">
            <v>30</v>
          </cell>
          <cell r="V29">
            <v>0</v>
          </cell>
          <cell r="W29">
            <v>0</v>
          </cell>
          <cell r="X29">
            <v>30</v>
          </cell>
          <cell r="Y29">
            <v>0</v>
          </cell>
          <cell r="Z29">
            <v>0</v>
          </cell>
          <cell r="AA29">
            <v>30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</row>
        <row r="30">
          <cell r="A30" t="str">
            <v>LOCA25(P)Prod Receipt</v>
          </cell>
          <cell r="B30" t="str">
            <v>LOCA25(P)</v>
          </cell>
          <cell r="C30">
            <v>22000087</v>
          </cell>
          <cell r="D30" t="str">
            <v>Prod Receipt</v>
          </cell>
          <cell r="E30"/>
          <cell r="F30"/>
          <cell r="G30"/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  <cell r="S30"/>
          <cell r="T30"/>
          <cell r="U30"/>
          <cell r="V30"/>
          <cell r="W30"/>
          <cell r="X30"/>
          <cell r="Y30"/>
          <cell r="Z30"/>
          <cell r="AA30"/>
          <cell r="AB30"/>
          <cell r="AC30"/>
          <cell r="AD30"/>
          <cell r="AE30"/>
          <cell r="AF30"/>
          <cell r="AG30"/>
          <cell r="AH30"/>
          <cell r="AI30"/>
          <cell r="AJ30"/>
          <cell r="AK30"/>
        </row>
        <row r="31">
          <cell r="A31" t="str">
            <v>LOCA25(P)Total Suppy</v>
          </cell>
          <cell r="B31" t="str">
            <v>LOCA25(P)</v>
          </cell>
          <cell r="C31">
            <v>22000087</v>
          </cell>
          <cell r="D31" t="str">
            <v>Total Suppy</v>
          </cell>
          <cell r="E31"/>
          <cell r="F31" t="e">
            <v>#REF!</v>
          </cell>
          <cell r="G31" t="e">
            <v>#REF!</v>
          </cell>
          <cell r="H31" t="e">
            <v>#REF!</v>
          </cell>
          <cell r="I31" t="e">
            <v>#REF!</v>
          </cell>
          <cell r="J31">
            <v>40</v>
          </cell>
          <cell r="K31">
            <v>0</v>
          </cell>
          <cell r="L31">
            <v>0</v>
          </cell>
          <cell r="M31">
            <v>30</v>
          </cell>
          <cell r="N31">
            <v>0</v>
          </cell>
          <cell r="O31"/>
          <cell r="P31"/>
          <cell r="Q31"/>
          <cell r="R31"/>
          <cell r="S31"/>
          <cell r="T31"/>
          <cell r="U31"/>
          <cell r="V31"/>
          <cell r="W31"/>
          <cell r="X31"/>
          <cell r="Y31"/>
          <cell r="Z31"/>
          <cell r="AA31"/>
          <cell r="AB31"/>
          <cell r="AC31"/>
          <cell r="AD31"/>
          <cell r="AE31"/>
          <cell r="AF31"/>
          <cell r="AG31"/>
          <cell r="AH31"/>
          <cell r="AI31"/>
          <cell r="AJ31"/>
          <cell r="AK31"/>
        </row>
        <row r="32">
          <cell r="A32" t="str">
            <v>LOCA25(P)Closing Stks</v>
          </cell>
          <cell r="B32" t="str">
            <v>LOCA25(P)</v>
          </cell>
          <cell r="C32">
            <v>22000087</v>
          </cell>
          <cell r="D32" t="str">
            <v>Closing Stks</v>
          </cell>
          <cell r="E32"/>
          <cell r="F32" t="e">
            <v>#REF!</v>
          </cell>
          <cell r="G32" t="e">
            <v>#REF!</v>
          </cell>
          <cell r="H32" t="e">
            <v>#REF!</v>
          </cell>
          <cell r="I32" t="e">
            <v>#REF!</v>
          </cell>
          <cell r="J32" t="e">
            <v>#REF!</v>
          </cell>
          <cell r="K32" t="e">
            <v>#REF!</v>
          </cell>
          <cell r="L32" t="e">
            <v>#REF!</v>
          </cell>
          <cell r="M32" t="e">
            <v>#REF!</v>
          </cell>
          <cell r="N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  <cell r="T32" t="e">
            <v>#REF!</v>
          </cell>
          <cell r="U32" t="e">
            <v>#REF!</v>
          </cell>
          <cell r="V32" t="e">
            <v>#REF!</v>
          </cell>
          <cell r="W32" t="e">
            <v>#REF!</v>
          </cell>
          <cell r="X32" t="e">
            <v>#REF!</v>
          </cell>
          <cell r="Y32" t="e">
            <v>#REF!</v>
          </cell>
          <cell r="Z32" t="e">
            <v>#REF!</v>
          </cell>
          <cell r="AA32" t="e">
            <v>#REF!</v>
          </cell>
          <cell r="AB32" t="e">
            <v>#REF!</v>
          </cell>
          <cell r="AC32" t="e">
            <v>#REF!</v>
          </cell>
          <cell r="AD32" t="e">
            <v>#REF!</v>
          </cell>
          <cell r="AE32" t="e">
            <v>#REF!</v>
          </cell>
          <cell r="AF32" t="e">
            <v>#REF!</v>
          </cell>
          <cell r="AG32" t="e">
            <v>#REF!</v>
          </cell>
          <cell r="AH32" t="e">
            <v>#REF!</v>
          </cell>
          <cell r="AI32" t="e">
            <v>#REF!</v>
          </cell>
          <cell r="AJ32" t="e">
            <v>#REF!</v>
          </cell>
          <cell r="AK32" t="e">
            <v>#REF!</v>
          </cell>
        </row>
        <row r="33">
          <cell r="A33" t="str">
            <v>LOCA-900Forecast</v>
          </cell>
          <cell r="B33" t="str">
            <v>LOCA-900</v>
          </cell>
          <cell r="C33">
            <v>22000088</v>
          </cell>
          <cell r="D33" t="str">
            <v>Forecast</v>
          </cell>
          <cell r="E33"/>
          <cell r="F33"/>
          <cell r="G33"/>
          <cell r="H33"/>
          <cell r="I33"/>
          <cell r="J33"/>
          <cell r="K33">
            <v>0</v>
          </cell>
          <cell r="L33"/>
          <cell r="M33"/>
          <cell r="N33"/>
          <cell r="O33"/>
          <cell r="P33"/>
          <cell r="Q33"/>
          <cell r="R33"/>
          <cell r="S33"/>
          <cell r="T33"/>
          <cell r="U33"/>
          <cell r="V33"/>
          <cell r="W33"/>
          <cell r="X33"/>
          <cell r="Y33"/>
          <cell r="Z33"/>
          <cell r="AA33"/>
          <cell r="AB33"/>
          <cell r="AC33"/>
          <cell r="AD33"/>
          <cell r="AE33"/>
          <cell r="AF33"/>
          <cell r="AG33"/>
          <cell r="AH33"/>
          <cell r="AI33"/>
          <cell r="AJ33"/>
          <cell r="AK33"/>
        </row>
        <row r="34">
          <cell r="A34" t="str">
            <v>LOCA-900Total OR</v>
          </cell>
          <cell r="B34" t="str">
            <v>LOCA-900</v>
          </cell>
          <cell r="C34">
            <v>22000088</v>
          </cell>
          <cell r="D34" t="str">
            <v>Total OR</v>
          </cell>
          <cell r="E34"/>
          <cell r="F34">
            <v>18</v>
          </cell>
          <cell r="G34">
            <v>36</v>
          </cell>
          <cell r="H34">
            <v>18</v>
          </cell>
          <cell r="I34">
            <v>27</v>
          </cell>
          <cell r="J34"/>
          <cell r="K34">
            <v>0</v>
          </cell>
          <cell r="L34"/>
          <cell r="M34"/>
          <cell r="N34"/>
          <cell r="O34"/>
          <cell r="P34"/>
          <cell r="Q34"/>
          <cell r="R34"/>
          <cell r="S34"/>
          <cell r="T34"/>
          <cell r="U34"/>
          <cell r="V34"/>
          <cell r="W34"/>
          <cell r="X34"/>
          <cell r="Y34"/>
          <cell r="Z34"/>
          <cell r="AA34"/>
          <cell r="AB34"/>
          <cell r="AC34"/>
          <cell r="AD34"/>
          <cell r="AE34"/>
          <cell r="AF34"/>
          <cell r="AG34"/>
          <cell r="AH34"/>
          <cell r="AI34"/>
          <cell r="AJ34"/>
          <cell r="AK34"/>
        </row>
        <row r="35">
          <cell r="A35" t="str">
            <v>LOCA-900Prod Plan</v>
          </cell>
          <cell r="B35" t="str">
            <v>LOCA-900</v>
          </cell>
          <cell r="C35">
            <v>22000088</v>
          </cell>
          <cell r="D35" t="str">
            <v>Prod Plan</v>
          </cell>
          <cell r="E35">
            <v>143</v>
          </cell>
          <cell r="F35">
            <v>0</v>
          </cell>
          <cell r="G35">
            <v>0</v>
          </cell>
          <cell r="H35">
            <v>50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</row>
        <row r="36">
          <cell r="A36" t="str">
            <v>LOCA-900Prod Receipt</v>
          </cell>
          <cell r="B36" t="str">
            <v>LOCA-900</v>
          </cell>
          <cell r="C36">
            <v>22000088</v>
          </cell>
          <cell r="D36" t="str">
            <v>Prod Receipt</v>
          </cell>
          <cell r="E36"/>
          <cell r="F36"/>
          <cell r="G36"/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  <cell r="S36"/>
          <cell r="T36"/>
          <cell r="U36"/>
          <cell r="V36"/>
          <cell r="W36"/>
          <cell r="X36"/>
          <cell r="Y36"/>
          <cell r="Z36"/>
          <cell r="AA36"/>
          <cell r="AB36"/>
          <cell r="AC36"/>
          <cell r="AD36"/>
          <cell r="AE36"/>
          <cell r="AF36"/>
          <cell r="AG36"/>
          <cell r="AH36"/>
          <cell r="AI36"/>
          <cell r="AJ36"/>
          <cell r="AK36"/>
        </row>
        <row r="37">
          <cell r="A37" t="str">
            <v>LOCA-900Total Suppy</v>
          </cell>
          <cell r="B37" t="str">
            <v>LOCA-900</v>
          </cell>
          <cell r="C37">
            <v>22000088</v>
          </cell>
          <cell r="D37" t="str">
            <v>Total Suppy</v>
          </cell>
          <cell r="E37"/>
          <cell r="F37" t="e">
            <v>#REF!</v>
          </cell>
          <cell r="G37" t="e">
            <v>#REF!</v>
          </cell>
          <cell r="H37" t="e">
            <v>#REF!</v>
          </cell>
          <cell r="I37">
            <v>0</v>
          </cell>
          <cell r="J37"/>
          <cell r="K37"/>
          <cell r="L37"/>
          <cell r="M37"/>
          <cell r="N37"/>
          <cell r="O37"/>
          <cell r="P37"/>
          <cell r="Q37"/>
          <cell r="R37"/>
          <cell r="S37"/>
          <cell r="T37"/>
          <cell r="U37"/>
          <cell r="V37"/>
          <cell r="W37"/>
          <cell r="X37"/>
          <cell r="Y37"/>
          <cell r="Z37"/>
          <cell r="AA37"/>
          <cell r="AB37"/>
          <cell r="AC37"/>
          <cell r="AD37"/>
          <cell r="AE37"/>
          <cell r="AF37"/>
          <cell r="AG37"/>
          <cell r="AH37"/>
          <cell r="AI37"/>
          <cell r="AJ37"/>
          <cell r="AK37"/>
        </row>
        <row r="38">
          <cell r="A38" t="str">
            <v>LOCA-900Closing Stks</v>
          </cell>
          <cell r="B38" t="str">
            <v>LOCA-900</v>
          </cell>
          <cell r="C38">
            <v>22000088</v>
          </cell>
          <cell r="D38" t="str">
            <v>Closing Stks</v>
          </cell>
          <cell r="E38"/>
          <cell r="F38" t="e">
            <v>#REF!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K38" t="e">
            <v>#REF!</v>
          </cell>
          <cell r="L38" t="e">
            <v>#REF!</v>
          </cell>
          <cell r="M38" t="e">
            <v>#REF!</v>
          </cell>
          <cell r="N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  <cell r="T38" t="e">
            <v>#REF!</v>
          </cell>
          <cell r="U38" t="e">
            <v>#REF!</v>
          </cell>
          <cell r="V38" t="e">
            <v>#REF!</v>
          </cell>
          <cell r="W38" t="e">
            <v>#REF!</v>
          </cell>
          <cell r="X38" t="e">
            <v>#REF!</v>
          </cell>
          <cell r="Y38" t="e">
            <v>#REF!</v>
          </cell>
          <cell r="Z38" t="e">
            <v>#REF!</v>
          </cell>
          <cell r="AA38" t="e">
            <v>#REF!</v>
          </cell>
          <cell r="AB38" t="e">
            <v>#REF!</v>
          </cell>
          <cell r="AC38" t="e">
            <v>#REF!</v>
          </cell>
          <cell r="AD38" t="e">
            <v>#REF!</v>
          </cell>
          <cell r="AE38" t="e">
            <v>#REF!</v>
          </cell>
          <cell r="AF38" t="e">
            <v>#REF!</v>
          </cell>
          <cell r="AG38" t="e">
            <v>#REF!</v>
          </cell>
          <cell r="AH38" t="e">
            <v>#REF!</v>
          </cell>
          <cell r="AI38" t="e">
            <v>#REF!</v>
          </cell>
          <cell r="AJ38" t="e">
            <v>#REF!</v>
          </cell>
          <cell r="AK38" t="e">
            <v>#REF!</v>
          </cell>
        </row>
        <row r="39">
          <cell r="A39" t="str">
            <v>LOIGCXForecast</v>
          </cell>
          <cell r="B39" t="str">
            <v>LOIGCX</v>
          </cell>
          <cell r="C39">
            <v>22000105</v>
          </cell>
          <cell r="D39" t="str">
            <v>Forecast</v>
          </cell>
          <cell r="E39"/>
          <cell r="F39">
            <v>140</v>
          </cell>
          <cell r="G39">
            <v>20</v>
          </cell>
          <cell r="H39">
            <v>210</v>
          </cell>
          <cell r="I39">
            <v>90</v>
          </cell>
          <cell r="J39">
            <v>180</v>
          </cell>
          <cell r="K39">
            <v>0</v>
          </cell>
          <cell r="L39">
            <v>167</v>
          </cell>
          <cell r="M39">
            <v>140</v>
          </cell>
          <cell r="N39">
            <v>20</v>
          </cell>
          <cell r="O39">
            <v>210</v>
          </cell>
          <cell r="P39">
            <v>90</v>
          </cell>
          <cell r="Q39">
            <v>180</v>
          </cell>
          <cell r="R39">
            <v>145</v>
          </cell>
          <cell r="S39">
            <v>167</v>
          </cell>
          <cell r="T39">
            <v>140</v>
          </cell>
          <cell r="U39">
            <v>20</v>
          </cell>
          <cell r="V39">
            <v>210</v>
          </cell>
          <cell r="W39">
            <v>90</v>
          </cell>
          <cell r="X39">
            <v>180</v>
          </cell>
          <cell r="Y39">
            <v>145</v>
          </cell>
          <cell r="Z39">
            <v>167</v>
          </cell>
          <cell r="AA39">
            <v>140</v>
          </cell>
          <cell r="AB39">
            <v>20</v>
          </cell>
          <cell r="AC39">
            <v>210</v>
          </cell>
          <cell r="AD39">
            <v>90</v>
          </cell>
          <cell r="AE39">
            <v>90</v>
          </cell>
          <cell r="AF39">
            <v>90</v>
          </cell>
          <cell r="AG39">
            <v>90</v>
          </cell>
          <cell r="AH39">
            <v>90</v>
          </cell>
          <cell r="AI39">
            <v>90</v>
          </cell>
          <cell r="AJ39">
            <v>90</v>
          </cell>
          <cell r="AK39">
            <v>90</v>
          </cell>
        </row>
        <row r="40">
          <cell r="A40" t="str">
            <v>LOIGCXTotal OR</v>
          </cell>
          <cell r="B40" t="str">
            <v>LOIGCX</v>
          </cell>
          <cell r="C40">
            <v>22000105</v>
          </cell>
          <cell r="D40" t="str">
            <v>Total OR</v>
          </cell>
          <cell r="E40"/>
          <cell r="F40">
            <v>50</v>
          </cell>
          <cell r="G40">
            <v>50</v>
          </cell>
          <cell r="H40">
            <v>50</v>
          </cell>
          <cell r="I40">
            <v>50</v>
          </cell>
          <cell r="J40">
            <v>0</v>
          </cell>
          <cell r="K40">
            <v>0</v>
          </cell>
          <cell r="L40">
            <v>50</v>
          </cell>
          <cell r="M40">
            <v>50</v>
          </cell>
          <cell r="N40">
            <v>50</v>
          </cell>
          <cell r="O40">
            <v>50</v>
          </cell>
          <cell r="P40">
            <v>50</v>
          </cell>
          <cell r="Q40">
            <v>0</v>
          </cell>
          <cell r="R40">
            <v>0</v>
          </cell>
          <cell r="S40">
            <v>50</v>
          </cell>
          <cell r="T40">
            <v>50</v>
          </cell>
          <cell r="U40">
            <v>50</v>
          </cell>
          <cell r="V40">
            <v>50</v>
          </cell>
          <cell r="W40">
            <v>50</v>
          </cell>
          <cell r="X40">
            <v>0</v>
          </cell>
          <cell r="Y40">
            <v>0</v>
          </cell>
          <cell r="Z40">
            <v>50</v>
          </cell>
          <cell r="AA40">
            <v>50</v>
          </cell>
          <cell r="AB40">
            <v>50</v>
          </cell>
          <cell r="AC40">
            <v>50</v>
          </cell>
          <cell r="AD40">
            <v>50</v>
          </cell>
          <cell r="AE40">
            <v>50</v>
          </cell>
          <cell r="AF40">
            <v>50</v>
          </cell>
          <cell r="AG40">
            <v>50</v>
          </cell>
          <cell r="AH40">
            <v>50</v>
          </cell>
          <cell r="AI40">
            <v>50</v>
          </cell>
          <cell r="AJ40">
            <v>50</v>
          </cell>
          <cell r="AK40">
            <v>50</v>
          </cell>
        </row>
        <row r="41">
          <cell r="A41" t="str">
            <v>LOIGCXProd Plan</v>
          </cell>
          <cell r="B41" t="str">
            <v>LOIGCX</v>
          </cell>
          <cell r="C41">
            <v>22000105</v>
          </cell>
          <cell r="D41" t="str">
            <v>Prod Plan</v>
          </cell>
          <cell r="E41">
            <v>252</v>
          </cell>
          <cell r="F41">
            <v>0</v>
          </cell>
          <cell r="G41">
            <v>0</v>
          </cell>
          <cell r="H41">
            <v>0</v>
          </cell>
          <cell r="I41">
            <v>80</v>
          </cell>
          <cell r="J41">
            <v>80</v>
          </cell>
          <cell r="K41">
            <v>80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80</v>
          </cell>
          <cell r="Q41">
            <v>60</v>
          </cell>
          <cell r="R41">
            <v>60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60</v>
          </cell>
          <cell r="X41">
            <v>50</v>
          </cell>
          <cell r="Y41">
            <v>60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</row>
        <row r="42">
          <cell r="A42" t="str">
            <v>LOIGCXProd Receipt</v>
          </cell>
          <cell r="B42" t="str">
            <v>LOIGCX</v>
          </cell>
          <cell r="C42">
            <v>22000105</v>
          </cell>
          <cell r="D42" t="str">
            <v>Prod Receipt</v>
          </cell>
          <cell r="E42"/>
          <cell r="F42"/>
          <cell r="G42"/>
          <cell r="H42"/>
          <cell r="I42"/>
          <cell r="J42"/>
          <cell r="K42"/>
          <cell r="L42"/>
          <cell r="M42"/>
          <cell r="N42"/>
          <cell r="O42"/>
          <cell r="P42"/>
          <cell r="Q42"/>
          <cell r="R42"/>
          <cell r="S42"/>
          <cell r="T42"/>
          <cell r="U42"/>
          <cell r="V42"/>
          <cell r="W42"/>
          <cell r="X42"/>
          <cell r="Y42"/>
          <cell r="Z42"/>
          <cell r="AA42"/>
          <cell r="AB42"/>
          <cell r="AC42"/>
          <cell r="AD42"/>
          <cell r="AE42"/>
          <cell r="AF42"/>
          <cell r="AG42"/>
          <cell r="AH42"/>
          <cell r="AI42"/>
          <cell r="AJ42"/>
          <cell r="AK42"/>
        </row>
        <row r="43">
          <cell r="A43" t="str">
            <v>LOIGCXTotal Suppy</v>
          </cell>
          <cell r="B43" t="str">
            <v>LOIGCX</v>
          </cell>
          <cell r="C43">
            <v>22000105</v>
          </cell>
          <cell r="D43" t="str">
            <v>Total Suppy</v>
          </cell>
          <cell r="E43"/>
          <cell r="F43" t="e">
            <v>#REF!</v>
          </cell>
          <cell r="G43" t="e">
            <v>#REF!</v>
          </cell>
          <cell r="H43" t="e">
            <v>#REF!</v>
          </cell>
          <cell r="I43">
            <v>0</v>
          </cell>
          <cell r="J43"/>
          <cell r="K43"/>
          <cell r="L43"/>
          <cell r="M43"/>
          <cell r="N43"/>
          <cell r="O43"/>
          <cell r="P43"/>
          <cell r="Q43"/>
          <cell r="R43"/>
          <cell r="S43"/>
          <cell r="T43"/>
          <cell r="U43"/>
          <cell r="V43"/>
          <cell r="W43"/>
          <cell r="X43"/>
          <cell r="Y43"/>
          <cell r="Z43"/>
          <cell r="AA43"/>
          <cell r="AB43"/>
          <cell r="AC43"/>
          <cell r="AD43"/>
          <cell r="AE43"/>
          <cell r="AF43"/>
          <cell r="AG43"/>
          <cell r="AH43"/>
          <cell r="AI43"/>
          <cell r="AJ43"/>
          <cell r="AK43"/>
        </row>
        <row r="44">
          <cell r="A44" t="str">
            <v>LOIGCXClosing Stks</v>
          </cell>
          <cell r="B44" t="str">
            <v>LOIGCX</v>
          </cell>
          <cell r="C44">
            <v>22000105</v>
          </cell>
          <cell r="D44" t="str">
            <v>Closing Stks</v>
          </cell>
          <cell r="E44"/>
          <cell r="F44" t="e">
            <v>#REF!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K44" t="e">
            <v>#REF!</v>
          </cell>
          <cell r="L44" t="e">
            <v>#REF!</v>
          </cell>
          <cell r="M44" t="e">
            <v>#REF!</v>
          </cell>
          <cell r="N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  <cell r="T44" t="e">
            <v>#REF!</v>
          </cell>
          <cell r="U44" t="e">
            <v>#REF!</v>
          </cell>
          <cell r="V44" t="e">
            <v>#REF!</v>
          </cell>
          <cell r="W44" t="e">
            <v>#REF!</v>
          </cell>
          <cell r="X44" t="e">
            <v>#REF!</v>
          </cell>
          <cell r="Y44" t="e">
            <v>#REF!</v>
          </cell>
          <cell r="Z44" t="e">
            <v>#REF!</v>
          </cell>
          <cell r="AA44" t="e">
            <v>#REF!</v>
          </cell>
          <cell r="AB44" t="e">
            <v>#REF!</v>
          </cell>
          <cell r="AC44" t="e">
            <v>#REF!</v>
          </cell>
          <cell r="AD44" t="e">
            <v>#REF!</v>
          </cell>
          <cell r="AE44" t="e">
            <v>#REF!</v>
          </cell>
          <cell r="AF44" t="e">
            <v>#REF!</v>
          </cell>
          <cell r="AG44" t="e">
            <v>#REF!</v>
          </cell>
          <cell r="AH44" t="e">
            <v>#REF!</v>
          </cell>
          <cell r="AI44" t="e">
            <v>#REF!</v>
          </cell>
          <cell r="AJ44" t="e">
            <v>#REF!</v>
          </cell>
          <cell r="AK44" t="e">
            <v>#REF!</v>
          </cell>
        </row>
        <row r="45">
          <cell r="A45" t="str">
            <v>LOIGCX-25Forecast</v>
          </cell>
          <cell r="B45" t="str">
            <v>LOIGCX-25</v>
          </cell>
          <cell r="C45">
            <v>22000106</v>
          </cell>
          <cell r="D45" t="str">
            <v>Forecast</v>
          </cell>
          <cell r="E45"/>
          <cell r="F45"/>
          <cell r="G45"/>
          <cell r="H45"/>
          <cell r="I45"/>
          <cell r="J45"/>
          <cell r="K45">
            <v>0</v>
          </cell>
          <cell r="L45"/>
          <cell r="M45"/>
          <cell r="N45"/>
          <cell r="O45"/>
          <cell r="P45"/>
          <cell r="Q45"/>
          <cell r="R45"/>
          <cell r="S45"/>
          <cell r="T45"/>
          <cell r="U45"/>
          <cell r="V45"/>
          <cell r="W45"/>
          <cell r="X45"/>
          <cell r="Y45"/>
          <cell r="Z45"/>
          <cell r="AA45"/>
          <cell r="AB45"/>
          <cell r="AC45"/>
          <cell r="AD45"/>
          <cell r="AE45"/>
          <cell r="AF45"/>
          <cell r="AG45"/>
          <cell r="AH45"/>
          <cell r="AI45"/>
          <cell r="AJ45"/>
          <cell r="AK45"/>
        </row>
        <row r="46">
          <cell r="A46" t="str">
            <v>LOIGCX-25Total OR</v>
          </cell>
          <cell r="B46" t="str">
            <v>LOIGCX-25</v>
          </cell>
          <cell r="C46">
            <v>22000106</v>
          </cell>
          <cell r="D46" t="str">
            <v>Total OR</v>
          </cell>
          <cell r="E46"/>
          <cell r="F46">
            <v>30</v>
          </cell>
          <cell r="G46">
            <v>30</v>
          </cell>
          <cell r="H46">
            <v>30</v>
          </cell>
          <cell r="I46">
            <v>30</v>
          </cell>
          <cell r="J46">
            <v>0</v>
          </cell>
          <cell r="K46">
            <v>0</v>
          </cell>
          <cell r="L46">
            <v>20</v>
          </cell>
          <cell r="M46">
            <v>20</v>
          </cell>
          <cell r="N46">
            <v>25</v>
          </cell>
          <cell r="O46">
            <v>20</v>
          </cell>
          <cell r="P46">
            <v>20</v>
          </cell>
          <cell r="Q46">
            <v>0</v>
          </cell>
          <cell r="R46">
            <v>0</v>
          </cell>
          <cell r="S46">
            <v>20</v>
          </cell>
          <cell r="T46">
            <v>20</v>
          </cell>
          <cell r="U46">
            <v>25</v>
          </cell>
          <cell r="V46">
            <v>20</v>
          </cell>
          <cell r="W46">
            <v>0</v>
          </cell>
          <cell r="X46">
            <v>0</v>
          </cell>
          <cell r="Y46">
            <v>0</v>
          </cell>
          <cell r="Z46">
            <v>20</v>
          </cell>
          <cell r="AA46">
            <v>20</v>
          </cell>
          <cell r="AB46">
            <v>25</v>
          </cell>
          <cell r="AC46">
            <v>20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</row>
        <row r="47">
          <cell r="A47" t="str">
            <v>LOIGCX-25Prod Plan</v>
          </cell>
          <cell r="B47" t="str">
            <v>LOIGCX-25</v>
          </cell>
          <cell r="C47">
            <v>22000106</v>
          </cell>
          <cell r="D47" t="str">
            <v>Prod Plan</v>
          </cell>
          <cell r="E47">
            <v>29</v>
          </cell>
          <cell r="F47">
            <v>20</v>
          </cell>
          <cell r="G47">
            <v>0</v>
          </cell>
          <cell r="H47">
            <v>20</v>
          </cell>
          <cell r="I47">
            <v>0</v>
          </cell>
          <cell r="J47">
            <v>20</v>
          </cell>
          <cell r="K47">
            <v>0</v>
          </cell>
          <cell r="L47">
            <v>20</v>
          </cell>
          <cell r="M47">
            <v>0</v>
          </cell>
          <cell r="N47">
            <v>20</v>
          </cell>
          <cell r="O47">
            <v>0</v>
          </cell>
          <cell r="P47">
            <v>20</v>
          </cell>
          <cell r="Q47">
            <v>0</v>
          </cell>
          <cell r="R47">
            <v>20</v>
          </cell>
          <cell r="S47">
            <v>0</v>
          </cell>
          <cell r="T47">
            <v>20</v>
          </cell>
          <cell r="U47">
            <v>0</v>
          </cell>
          <cell r="V47">
            <v>20</v>
          </cell>
          <cell r="W47">
            <v>0</v>
          </cell>
          <cell r="X47">
            <v>20</v>
          </cell>
          <cell r="Y47">
            <v>0</v>
          </cell>
          <cell r="Z47">
            <v>20</v>
          </cell>
          <cell r="AA47">
            <v>0</v>
          </cell>
          <cell r="AB47">
            <v>20</v>
          </cell>
          <cell r="AC47">
            <v>0</v>
          </cell>
          <cell r="AD47">
            <v>20</v>
          </cell>
          <cell r="AE47">
            <v>20</v>
          </cell>
          <cell r="AF47">
            <v>20</v>
          </cell>
          <cell r="AG47">
            <v>20</v>
          </cell>
          <cell r="AH47">
            <v>20</v>
          </cell>
          <cell r="AI47">
            <v>20</v>
          </cell>
          <cell r="AJ47">
            <v>20</v>
          </cell>
          <cell r="AK47">
            <v>20</v>
          </cell>
        </row>
        <row r="48">
          <cell r="A48" t="str">
            <v>LOIGCX-25Prod Receipt</v>
          </cell>
          <cell r="B48" t="str">
            <v>LOIGCX-25</v>
          </cell>
          <cell r="C48">
            <v>22000106</v>
          </cell>
          <cell r="D48" t="str">
            <v>Prod Receipt</v>
          </cell>
          <cell r="E48"/>
          <cell r="F48"/>
          <cell r="G48"/>
          <cell r="H48"/>
          <cell r="I48"/>
          <cell r="J48"/>
          <cell r="K48"/>
          <cell r="L48"/>
          <cell r="M48"/>
          <cell r="N48"/>
          <cell r="O48"/>
          <cell r="P48"/>
          <cell r="Q48"/>
          <cell r="R48"/>
          <cell r="S48"/>
          <cell r="T48"/>
          <cell r="U48"/>
          <cell r="V48"/>
          <cell r="W48"/>
          <cell r="X48"/>
          <cell r="Y48"/>
          <cell r="Z48"/>
          <cell r="AA48"/>
          <cell r="AB48"/>
          <cell r="AC48"/>
          <cell r="AD48"/>
          <cell r="AE48"/>
          <cell r="AF48"/>
          <cell r="AG48"/>
          <cell r="AH48"/>
          <cell r="AI48"/>
          <cell r="AJ48"/>
          <cell r="AK48"/>
        </row>
        <row r="49">
          <cell r="A49" t="str">
            <v>LOIGCX-25Total Suppy</v>
          </cell>
          <cell r="B49" t="str">
            <v>LOIGCX-25</v>
          </cell>
          <cell r="C49">
            <v>22000106</v>
          </cell>
          <cell r="D49" t="str">
            <v>Total Suppy</v>
          </cell>
          <cell r="E49"/>
          <cell r="F49" t="e">
            <v>#REF!</v>
          </cell>
          <cell r="G49" t="e">
            <v>#REF!</v>
          </cell>
          <cell r="H49" t="e">
            <v>#REF!</v>
          </cell>
          <cell r="I49">
            <v>0</v>
          </cell>
          <cell r="J49"/>
          <cell r="K49"/>
          <cell r="L49"/>
          <cell r="M49"/>
          <cell r="N49"/>
          <cell r="O49"/>
          <cell r="P49"/>
          <cell r="Q49"/>
          <cell r="R49"/>
          <cell r="S49"/>
          <cell r="T49"/>
          <cell r="U49"/>
          <cell r="V49"/>
          <cell r="W49"/>
          <cell r="X49"/>
          <cell r="Y49"/>
          <cell r="Z49"/>
          <cell r="AA49"/>
          <cell r="AB49"/>
          <cell r="AC49"/>
          <cell r="AD49"/>
          <cell r="AE49"/>
          <cell r="AF49"/>
          <cell r="AG49"/>
          <cell r="AH49"/>
          <cell r="AI49"/>
          <cell r="AJ49"/>
          <cell r="AK49"/>
        </row>
        <row r="50">
          <cell r="A50" t="str">
            <v>LOIGCX-25Closing Stks</v>
          </cell>
          <cell r="B50" t="str">
            <v>LOIGCX-25</v>
          </cell>
          <cell r="C50">
            <v>22000106</v>
          </cell>
          <cell r="D50" t="str">
            <v>Closing Stks</v>
          </cell>
          <cell r="E50"/>
          <cell r="F50" t="e">
            <v>#REF!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K50" t="e">
            <v>#REF!</v>
          </cell>
          <cell r="L50" t="e">
            <v>#REF!</v>
          </cell>
          <cell r="M50" t="e">
            <v>#REF!</v>
          </cell>
          <cell r="N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  <cell r="T50" t="e">
            <v>#REF!</v>
          </cell>
          <cell r="U50" t="e">
            <v>#REF!</v>
          </cell>
          <cell r="V50" t="e">
            <v>#REF!</v>
          </cell>
          <cell r="W50" t="e">
            <v>#REF!</v>
          </cell>
          <cell r="X50" t="e">
            <v>#REF!</v>
          </cell>
          <cell r="Y50" t="e">
            <v>#REF!</v>
          </cell>
          <cell r="Z50" t="e">
            <v>#REF!</v>
          </cell>
          <cell r="AA50" t="e">
            <v>#REF!</v>
          </cell>
          <cell r="AB50" t="e">
            <v>#REF!</v>
          </cell>
          <cell r="AC50" t="e">
            <v>#REF!</v>
          </cell>
          <cell r="AD50" t="e">
            <v>#REF!</v>
          </cell>
          <cell r="AE50" t="e">
            <v>#REF!</v>
          </cell>
          <cell r="AF50" t="e">
            <v>#REF!</v>
          </cell>
          <cell r="AG50" t="e">
            <v>#REF!</v>
          </cell>
          <cell r="AH50" t="e">
            <v>#REF!</v>
          </cell>
          <cell r="AI50" t="e">
            <v>#REF!</v>
          </cell>
          <cell r="AJ50" t="e">
            <v>#REF!</v>
          </cell>
          <cell r="AK50" t="e">
            <v>#REF!</v>
          </cell>
        </row>
        <row r="51">
          <cell r="A51" t="str">
            <v>LOCX1TForecast</v>
          </cell>
          <cell r="B51" t="str">
            <v>LOCX1T</v>
          </cell>
          <cell r="C51">
            <v>22000101</v>
          </cell>
          <cell r="D51" t="str">
            <v>Forecast</v>
          </cell>
          <cell r="E51"/>
          <cell r="F51"/>
          <cell r="G51"/>
          <cell r="H51"/>
          <cell r="I51"/>
          <cell r="J51"/>
          <cell r="K51">
            <v>0</v>
          </cell>
          <cell r="L51"/>
          <cell r="M51"/>
          <cell r="N51"/>
          <cell r="O51"/>
          <cell r="P51"/>
          <cell r="Q51"/>
          <cell r="R51"/>
          <cell r="S51"/>
          <cell r="T51"/>
          <cell r="U51"/>
          <cell r="V51"/>
          <cell r="W51"/>
          <cell r="X51"/>
          <cell r="Y51"/>
          <cell r="Z51"/>
          <cell r="AA51"/>
          <cell r="AB51"/>
          <cell r="AC51"/>
          <cell r="AD51"/>
          <cell r="AE51"/>
          <cell r="AF51"/>
          <cell r="AG51"/>
          <cell r="AH51"/>
          <cell r="AI51"/>
          <cell r="AJ51"/>
          <cell r="AK51"/>
        </row>
        <row r="52">
          <cell r="A52" t="str">
            <v>LOCX1TTotal OR</v>
          </cell>
          <cell r="B52" t="str">
            <v>LOCX1T</v>
          </cell>
          <cell r="C52">
            <v>22000101</v>
          </cell>
          <cell r="D52" t="str">
            <v>Total OR</v>
          </cell>
          <cell r="E52"/>
          <cell r="F52">
            <v>15</v>
          </cell>
          <cell r="G52">
            <v>35</v>
          </cell>
          <cell r="H52">
            <v>24</v>
          </cell>
          <cell r="I52">
            <v>20</v>
          </cell>
          <cell r="J52">
            <v>0</v>
          </cell>
          <cell r="K52">
            <v>0</v>
          </cell>
          <cell r="L52">
            <v>38</v>
          </cell>
          <cell r="M52">
            <v>18</v>
          </cell>
          <cell r="N52">
            <v>20</v>
          </cell>
          <cell r="O52">
            <v>15</v>
          </cell>
          <cell r="P52">
            <v>20</v>
          </cell>
          <cell r="Q52">
            <v>0</v>
          </cell>
          <cell r="R52">
            <v>0</v>
          </cell>
          <cell r="S52">
            <v>38</v>
          </cell>
          <cell r="T52">
            <v>18</v>
          </cell>
          <cell r="U52">
            <v>20</v>
          </cell>
          <cell r="V52">
            <v>15</v>
          </cell>
          <cell r="W52">
            <v>20</v>
          </cell>
          <cell r="X52">
            <v>0</v>
          </cell>
          <cell r="Y52">
            <v>0</v>
          </cell>
          <cell r="Z52">
            <v>38</v>
          </cell>
          <cell r="AA52">
            <v>18</v>
          </cell>
          <cell r="AB52">
            <v>20</v>
          </cell>
          <cell r="AC52">
            <v>15</v>
          </cell>
          <cell r="AD52">
            <v>20</v>
          </cell>
          <cell r="AE52">
            <v>20</v>
          </cell>
          <cell r="AF52">
            <v>20</v>
          </cell>
          <cell r="AG52">
            <v>20</v>
          </cell>
          <cell r="AH52">
            <v>20</v>
          </cell>
          <cell r="AI52">
            <v>20</v>
          </cell>
          <cell r="AJ52">
            <v>20</v>
          </cell>
          <cell r="AK52">
            <v>20</v>
          </cell>
        </row>
        <row r="53">
          <cell r="A53" t="str">
            <v>LOCX1TProd Plan</v>
          </cell>
          <cell r="B53" t="str">
            <v>LOCX1T</v>
          </cell>
          <cell r="C53">
            <v>22000101</v>
          </cell>
          <cell r="D53" t="str">
            <v>Prod Plan</v>
          </cell>
          <cell r="E53">
            <v>78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60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60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60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</row>
        <row r="54">
          <cell r="A54" t="str">
            <v>LOCX1TProd Receipt</v>
          </cell>
          <cell r="B54" t="str">
            <v>LOCX1T</v>
          </cell>
          <cell r="C54">
            <v>22000101</v>
          </cell>
          <cell r="D54" t="str">
            <v>Prod Receipt</v>
          </cell>
          <cell r="E54"/>
          <cell r="F54"/>
          <cell r="G54"/>
          <cell r="H54"/>
          <cell r="I54"/>
          <cell r="J54"/>
          <cell r="K54"/>
          <cell r="L54"/>
          <cell r="M54"/>
          <cell r="N54"/>
          <cell r="O54"/>
          <cell r="P54"/>
          <cell r="Q54"/>
          <cell r="R54"/>
          <cell r="S54"/>
          <cell r="T54"/>
          <cell r="U54"/>
          <cell r="V54"/>
          <cell r="W54"/>
          <cell r="X54"/>
          <cell r="Y54"/>
          <cell r="Z54"/>
          <cell r="AA54"/>
          <cell r="AB54"/>
          <cell r="AC54"/>
          <cell r="AD54"/>
          <cell r="AE54"/>
          <cell r="AF54"/>
          <cell r="AG54"/>
          <cell r="AH54"/>
          <cell r="AI54"/>
          <cell r="AJ54"/>
          <cell r="AK54"/>
        </row>
        <row r="55">
          <cell r="A55" t="str">
            <v>LOCX1TTotal Suppy</v>
          </cell>
          <cell r="B55" t="str">
            <v>LOCX1T</v>
          </cell>
          <cell r="C55">
            <v>22000101</v>
          </cell>
          <cell r="D55" t="str">
            <v>Total Suppy</v>
          </cell>
          <cell r="E55"/>
          <cell r="F55" t="e">
            <v>#REF!</v>
          </cell>
          <cell r="G55" t="e">
            <v>#REF!</v>
          </cell>
          <cell r="H55" t="e">
            <v>#REF!</v>
          </cell>
          <cell r="I55">
            <v>0</v>
          </cell>
          <cell r="J55"/>
          <cell r="K55"/>
          <cell r="L55"/>
          <cell r="M55"/>
          <cell r="N55"/>
          <cell r="O55"/>
          <cell r="P55"/>
          <cell r="Q55"/>
          <cell r="R55"/>
          <cell r="S55"/>
          <cell r="T55"/>
          <cell r="U55"/>
          <cell r="V55"/>
          <cell r="W55"/>
          <cell r="X55"/>
          <cell r="Y55"/>
          <cell r="Z55"/>
          <cell r="AA55"/>
          <cell r="AB55"/>
          <cell r="AC55"/>
          <cell r="AD55"/>
          <cell r="AE55"/>
          <cell r="AF55"/>
          <cell r="AG55"/>
          <cell r="AH55"/>
          <cell r="AI55"/>
          <cell r="AJ55"/>
          <cell r="AK55"/>
        </row>
        <row r="56">
          <cell r="A56" t="str">
            <v>LOCX1TClosing Stks</v>
          </cell>
          <cell r="B56" t="str">
            <v>LOCX1T</v>
          </cell>
          <cell r="C56">
            <v>22000101</v>
          </cell>
          <cell r="D56" t="str">
            <v>Closing Stks</v>
          </cell>
          <cell r="E56"/>
          <cell r="F56" t="e">
            <v>#REF!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K56" t="e">
            <v>#REF!</v>
          </cell>
          <cell r="L56" t="e">
            <v>#REF!</v>
          </cell>
          <cell r="M56" t="e">
            <v>#REF!</v>
          </cell>
          <cell r="N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  <cell r="T56" t="e">
            <v>#REF!</v>
          </cell>
          <cell r="U56" t="e">
            <v>#REF!</v>
          </cell>
          <cell r="V56" t="e">
            <v>#REF!</v>
          </cell>
          <cell r="W56" t="e">
            <v>#REF!</v>
          </cell>
          <cell r="X56" t="e">
            <v>#REF!</v>
          </cell>
          <cell r="Y56" t="e">
            <v>#REF!</v>
          </cell>
          <cell r="Z56" t="e">
            <v>#REF!</v>
          </cell>
          <cell r="AA56" t="e">
            <v>#REF!</v>
          </cell>
          <cell r="AB56" t="e">
            <v>#REF!</v>
          </cell>
          <cell r="AC56" t="e">
            <v>#REF!</v>
          </cell>
          <cell r="AD56" t="e">
            <v>#REF!</v>
          </cell>
          <cell r="AE56" t="e">
            <v>#REF!</v>
          </cell>
          <cell r="AF56" t="e">
            <v>#REF!</v>
          </cell>
          <cell r="AG56" t="e">
            <v>#REF!</v>
          </cell>
          <cell r="AH56" t="e">
            <v>#REF!</v>
          </cell>
          <cell r="AI56" t="e">
            <v>#REF!</v>
          </cell>
          <cell r="AJ56" t="e">
            <v>#REF!</v>
          </cell>
          <cell r="AK56" t="e">
            <v>#REF!</v>
          </cell>
        </row>
        <row r="57">
          <cell r="A57" t="str">
            <v>LOIGFFForecast</v>
          </cell>
          <cell r="B57" t="str">
            <v>LOIGFF</v>
          </cell>
          <cell r="C57">
            <v>22000107</v>
          </cell>
          <cell r="D57" t="str">
            <v>Forecast</v>
          </cell>
          <cell r="E57"/>
          <cell r="F57"/>
          <cell r="G57"/>
          <cell r="H57"/>
          <cell r="I57"/>
          <cell r="J57"/>
          <cell r="K57">
            <v>0</v>
          </cell>
          <cell r="L57"/>
          <cell r="M57"/>
          <cell r="N57"/>
          <cell r="O57"/>
          <cell r="P57"/>
          <cell r="Q57"/>
          <cell r="R57"/>
          <cell r="S57"/>
          <cell r="T57"/>
          <cell r="U57"/>
          <cell r="V57"/>
          <cell r="W57"/>
          <cell r="X57"/>
          <cell r="Y57"/>
          <cell r="Z57"/>
          <cell r="AA57"/>
          <cell r="AB57"/>
          <cell r="AC57"/>
          <cell r="AD57"/>
          <cell r="AE57"/>
          <cell r="AF57"/>
          <cell r="AG57"/>
          <cell r="AH57"/>
          <cell r="AI57"/>
          <cell r="AJ57"/>
          <cell r="AK57"/>
        </row>
        <row r="58">
          <cell r="A58" t="str">
            <v>LOIGFFTotal OR</v>
          </cell>
          <cell r="B58" t="str">
            <v>LOIGFF</v>
          </cell>
          <cell r="C58">
            <v>22000107</v>
          </cell>
          <cell r="D58" t="str">
            <v>Total OR</v>
          </cell>
          <cell r="E58"/>
          <cell r="F58">
            <v>25</v>
          </cell>
          <cell r="G58">
            <v>20</v>
          </cell>
          <cell r="H58">
            <v>20</v>
          </cell>
          <cell r="I58">
            <v>40</v>
          </cell>
          <cell r="J58">
            <v>20</v>
          </cell>
          <cell r="K58">
            <v>0</v>
          </cell>
          <cell r="L58">
            <v>20</v>
          </cell>
          <cell r="M58">
            <v>25</v>
          </cell>
          <cell r="N58">
            <v>20</v>
          </cell>
          <cell r="O58">
            <v>20</v>
          </cell>
          <cell r="P58">
            <v>40</v>
          </cell>
          <cell r="Q58">
            <v>20</v>
          </cell>
          <cell r="R58">
            <v>0</v>
          </cell>
          <cell r="S58">
            <v>20</v>
          </cell>
          <cell r="T58">
            <v>25</v>
          </cell>
          <cell r="U58">
            <v>20</v>
          </cell>
          <cell r="V58">
            <v>20</v>
          </cell>
          <cell r="W58">
            <v>40</v>
          </cell>
          <cell r="X58">
            <v>20</v>
          </cell>
          <cell r="Y58">
            <v>0</v>
          </cell>
          <cell r="Z58">
            <v>20</v>
          </cell>
          <cell r="AA58">
            <v>25</v>
          </cell>
          <cell r="AB58">
            <v>20</v>
          </cell>
          <cell r="AC58">
            <v>20</v>
          </cell>
          <cell r="AD58">
            <v>40</v>
          </cell>
          <cell r="AE58">
            <v>40</v>
          </cell>
          <cell r="AF58">
            <v>40</v>
          </cell>
          <cell r="AG58">
            <v>40</v>
          </cell>
          <cell r="AH58">
            <v>40</v>
          </cell>
          <cell r="AI58">
            <v>40</v>
          </cell>
          <cell r="AJ58">
            <v>40</v>
          </cell>
          <cell r="AK58">
            <v>40</v>
          </cell>
        </row>
        <row r="59">
          <cell r="A59" t="str">
            <v>LOIGFFProd Plan</v>
          </cell>
          <cell r="B59" t="str">
            <v>LOIGFF</v>
          </cell>
          <cell r="C59">
            <v>22000107</v>
          </cell>
          <cell r="D59" t="str">
            <v>Prod Plan</v>
          </cell>
          <cell r="E59">
            <v>204</v>
          </cell>
          <cell r="F59">
            <v>100</v>
          </cell>
          <cell r="G59">
            <v>0</v>
          </cell>
          <cell r="H59">
            <v>0</v>
          </cell>
          <cell r="I59">
            <v>150</v>
          </cell>
          <cell r="J59">
            <v>0</v>
          </cell>
          <cell r="K59">
            <v>0</v>
          </cell>
          <cell r="L59">
            <v>100</v>
          </cell>
          <cell r="M59">
            <v>0</v>
          </cell>
          <cell r="N59">
            <v>0</v>
          </cell>
          <cell r="O59">
            <v>150</v>
          </cell>
          <cell r="P59">
            <v>0</v>
          </cell>
          <cell r="Q59">
            <v>0</v>
          </cell>
          <cell r="R59">
            <v>100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150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</row>
        <row r="60">
          <cell r="A60" t="str">
            <v>LOIGFFProd Receipt</v>
          </cell>
          <cell r="B60" t="str">
            <v>LOIGFF</v>
          </cell>
          <cell r="C60">
            <v>22000107</v>
          </cell>
          <cell r="D60" t="str">
            <v>Prod Receipt</v>
          </cell>
          <cell r="E60"/>
          <cell r="F60"/>
          <cell r="G60"/>
          <cell r="H60"/>
          <cell r="I60"/>
          <cell r="J60"/>
          <cell r="K60"/>
          <cell r="L60"/>
          <cell r="M60"/>
          <cell r="N60"/>
          <cell r="O60"/>
          <cell r="P60"/>
          <cell r="Q60"/>
          <cell r="R60"/>
          <cell r="S60"/>
          <cell r="T60"/>
          <cell r="U60"/>
          <cell r="V60"/>
          <cell r="W60"/>
          <cell r="X60"/>
          <cell r="Y60"/>
          <cell r="Z60"/>
          <cell r="AA60"/>
          <cell r="AB60"/>
          <cell r="AC60"/>
          <cell r="AD60"/>
          <cell r="AE60"/>
          <cell r="AF60"/>
          <cell r="AG60"/>
          <cell r="AH60"/>
          <cell r="AI60"/>
          <cell r="AJ60"/>
          <cell r="AK60"/>
        </row>
        <row r="61">
          <cell r="A61" t="str">
            <v>LOIGFFTotal Suppy</v>
          </cell>
          <cell r="B61" t="str">
            <v>LOIGFF</v>
          </cell>
          <cell r="C61">
            <v>22000107</v>
          </cell>
          <cell r="D61" t="str">
            <v>Total Suppy</v>
          </cell>
          <cell r="E61"/>
          <cell r="F61" t="e">
            <v>#REF!</v>
          </cell>
          <cell r="G61" t="e">
            <v>#REF!</v>
          </cell>
          <cell r="H61" t="e">
            <v>#REF!</v>
          </cell>
          <cell r="I61">
            <v>0</v>
          </cell>
          <cell r="J61"/>
          <cell r="K61"/>
          <cell r="L61"/>
          <cell r="M61"/>
          <cell r="N61"/>
          <cell r="O61"/>
          <cell r="P61"/>
          <cell r="Q61"/>
          <cell r="R61"/>
          <cell r="S61"/>
          <cell r="T61"/>
          <cell r="U61"/>
          <cell r="V61"/>
          <cell r="W61"/>
          <cell r="X61"/>
          <cell r="Y61"/>
          <cell r="Z61"/>
          <cell r="AA61"/>
          <cell r="AB61"/>
          <cell r="AC61"/>
          <cell r="AD61"/>
          <cell r="AE61"/>
          <cell r="AF61"/>
          <cell r="AG61"/>
          <cell r="AH61"/>
          <cell r="AI61"/>
          <cell r="AJ61"/>
          <cell r="AK61"/>
        </row>
        <row r="62">
          <cell r="A62" t="str">
            <v>LOIGFFClosing Stks</v>
          </cell>
          <cell r="B62" t="str">
            <v>LOIGFF</v>
          </cell>
          <cell r="C62">
            <v>22000107</v>
          </cell>
          <cell r="D62" t="str">
            <v>Closing Stks</v>
          </cell>
          <cell r="E62"/>
          <cell r="F62" t="e">
            <v>#REF!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K62" t="e">
            <v>#REF!</v>
          </cell>
          <cell r="L62" t="e">
            <v>#REF!</v>
          </cell>
          <cell r="M62" t="e">
            <v>#REF!</v>
          </cell>
          <cell r="N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  <cell r="T62" t="e">
            <v>#REF!</v>
          </cell>
          <cell r="U62" t="e">
            <v>#REF!</v>
          </cell>
          <cell r="V62" t="e">
            <v>#REF!</v>
          </cell>
          <cell r="W62" t="e">
            <v>#REF!</v>
          </cell>
          <cell r="X62" t="e">
            <v>#REF!</v>
          </cell>
          <cell r="Y62" t="e">
            <v>#REF!</v>
          </cell>
          <cell r="Z62" t="e">
            <v>#REF!</v>
          </cell>
          <cell r="AA62" t="e">
            <v>#REF!</v>
          </cell>
          <cell r="AB62" t="e">
            <v>#REF!</v>
          </cell>
          <cell r="AC62" t="e">
            <v>#REF!</v>
          </cell>
          <cell r="AD62" t="e">
            <v>#REF!</v>
          </cell>
          <cell r="AE62" t="e">
            <v>#REF!</v>
          </cell>
          <cell r="AF62" t="e">
            <v>#REF!</v>
          </cell>
          <cell r="AG62" t="e">
            <v>#REF!</v>
          </cell>
          <cell r="AH62" t="e">
            <v>#REF!</v>
          </cell>
          <cell r="AI62" t="e">
            <v>#REF!</v>
          </cell>
          <cell r="AJ62" t="e">
            <v>#REF!</v>
          </cell>
          <cell r="AK62" t="e">
            <v>#REF!</v>
          </cell>
        </row>
        <row r="63">
          <cell r="A63" t="str">
            <v>LOIG1TForecast</v>
          </cell>
          <cell r="B63" t="str">
            <v>LOIG1T</v>
          </cell>
          <cell r="C63">
            <v>22000103</v>
          </cell>
          <cell r="D63" t="str">
            <v>Forecast</v>
          </cell>
          <cell r="E63"/>
          <cell r="F63"/>
          <cell r="G63"/>
          <cell r="H63"/>
          <cell r="I63"/>
          <cell r="J63"/>
          <cell r="K63">
            <v>0</v>
          </cell>
          <cell r="L63"/>
          <cell r="M63"/>
          <cell r="N63"/>
          <cell r="O63"/>
          <cell r="P63"/>
          <cell r="Q63"/>
          <cell r="R63"/>
          <cell r="S63"/>
          <cell r="T63"/>
          <cell r="U63"/>
          <cell r="V63"/>
          <cell r="W63"/>
          <cell r="X63"/>
          <cell r="Y63"/>
          <cell r="Z63"/>
          <cell r="AA63"/>
          <cell r="AB63"/>
          <cell r="AC63"/>
          <cell r="AD63"/>
          <cell r="AE63"/>
          <cell r="AF63"/>
          <cell r="AG63"/>
          <cell r="AH63"/>
          <cell r="AI63"/>
          <cell r="AJ63"/>
          <cell r="AK63"/>
        </row>
        <row r="64">
          <cell r="A64" t="str">
            <v>LOIG1TTotal OR</v>
          </cell>
          <cell r="B64" t="str">
            <v>LOIG1T</v>
          </cell>
          <cell r="C64">
            <v>22000103</v>
          </cell>
          <cell r="D64" t="str">
            <v>Total OR</v>
          </cell>
          <cell r="E64"/>
          <cell r="F64">
            <v>350</v>
          </cell>
          <cell r="G64">
            <v>350</v>
          </cell>
          <cell r="H64">
            <v>350</v>
          </cell>
          <cell r="I64">
            <v>350</v>
          </cell>
          <cell r="J64">
            <v>350</v>
          </cell>
          <cell r="K64">
            <v>0</v>
          </cell>
          <cell r="L64">
            <v>350</v>
          </cell>
          <cell r="M64">
            <v>350</v>
          </cell>
          <cell r="N64">
            <v>350</v>
          </cell>
          <cell r="O64">
            <v>350</v>
          </cell>
          <cell r="P64">
            <v>350</v>
          </cell>
          <cell r="Q64">
            <v>350</v>
          </cell>
          <cell r="R64">
            <v>0</v>
          </cell>
          <cell r="S64">
            <v>350</v>
          </cell>
          <cell r="T64">
            <v>350</v>
          </cell>
          <cell r="U64">
            <v>350</v>
          </cell>
          <cell r="V64">
            <v>350</v>
          </cell>
          <cell r="W64">
            <v>350</v>
          </cell>
          <cell r="X64">
            <v>350</v>
          </cell>
          <cell r="Y64">
            <v>350</v>
          </cell>
          <cell r="Z64">
            <v>350</v>
          </cell>
          <cell r="AA64">
            <v>350</v>
          </cell>
          <cell r="AB64">
            <v>350</v>
          </cell>
          <cell r="AC64">
            <v>350</v>
          </cell>
          <cell r="AD64">
            <v>350</v>
          </cell>
          <cell r="AE64">
            <v>350</v>
          </cell>
          <cell r="AF64">
            <v>350</v>
          </cell>
          <cell r="AG64">
            <v>350</v>
          </cell>
          <cell r="AH64">
            <v>350</v>
          </cell>
          <cell r="AI64">
            <v>350</v>
          </cell>
          <cell r="AJ64">
            <v>350</v>
          </cell>
          <cell r="AK64">
            <v>350</v>
          </cell>
        </row>
        <row r="65">
          <cell r="A65" t="str">
            <v>LOIG1TProd Plan</v>
          </cell>
          <cell r="B65" t="str">
            <v>LOIG1T</v>
          </cell>
          <cell r="C65">
            <v>22000103</v>
          </cell>
          <cell r="D65" t="str">
            <v>Prod Plan</v>
          </cell>
          <cell r="E65">
            <v>100</v>
          </cell>
          <cell r="F65">
            <v>240</v>
          </cell>
          <cell r="G65">
            <v>240</v>
          </cell>
          <cell r="H65">
            <v>240</v>
          </cell>
          <cell r="I65">
            <v>240</v>
          </cell>
          <cell r="J65">
            <v>240</v>
          </cell>
          <cell r="K65">
            <v>240</v>
          </cell>
          <cell r="L65">
            <v>240</v>
          </cell>
          <cell r="M65">
            <v>240</v>
          </cell>
          <cell r="N65">
            <v>240</v>
          </cell>
          <cell r="O65">
            <v>240</v>
          </cell>
          <cell r="P65">
            <v>240</v>
          </cell>
          <cell r="Q65">
            <v>240</v>
          </cell>
          <cell r="R65">
            <v>240</v>
          </cell>
          <cell r="S65">
            <v>240</v>
          </cell>
          <cell r="T65">
            <v>240</v>
          </cell>
          <cell r="U65">
            <v>240</v>
          </cell>
          <cell r="V65">
            <v>240</v>
          </cell>
          <cell r="W65">
            <v>240</v>
          </cell>
          <cell r="X65">
            <v>240</v>
          </cell>
          <cell r="Y65">
            <v>240</v>
          </cell>
          <cell r="Z65">
            <v>240</v>
          </cell>
          <cell r="AA65">
            <v>240</v>
          </cell>
          <cell r="AB65">
            <v>240</v>
          </cell>
          <cell r="AC65">
            <v>240</v>
          </cell>
          <cell r="AD65">
            <v>240</v>
          </cell>
          <cell r="AE65">
            <v>240</v>
          </cell>
          <cell r="AF65">
            <v>240</v>
          </cell>
          <cell r="AG65">
            <v>240</v>
          </cell>
          <cell r="AH65">
            <v>240</v>
          </cell>
          <cell r="AI65">
            <v>240</v>
          </cell>
          <cell r="AJ65">
            <v>240</v>
          </cell>
          <cell r="AK65">
            <v>240</v>
          </cell>
        </row>
        <row r="66">
          <cell r="A66" t="str">
            <v>LOIG1TProd Receipt</v>
          </cell>
          <cell r="B66" t="str">
            <v>LOIG1T</v>
          </cell>
          <cell r="C66">
            <v>22000103</v>
          </cell>
          <cell r="D66" t="str">
            <v>Prod Receipt</v>
          </cell>
          <cell r="E66"/>
          <cell r="F66"/>
          <cell r="G66"/>
          <cell r="H66"/>
          <cell r="I66"/>
          <cell r="J66"/>
          <cell r="K66"/>
          <cell r="L66"/>
          <cell r="M66"/>
          <cell r="N66"/>
          <cell r="O66"/>
          <cell r="P66"/>
          <cell r="Q66"/>
          <cell r="R66"/>
          <cell r="S66"/>
          <cell r="T66"/>
          <cell r="U66"/>
          <cell r="V66"/>
          <cell r="W66"/>
          <cell r="X66"/>
          <cell r="Y66"/>
          <cell r="Z66"/>
          <cell r="AA66"/>
          <cell r="AB66"/>
          <cell r="AC66"/>
          <cell r="AD66"/>
          <cell r="AE66"/>
          <cell r="AF66"/>
          <cell r="AG66"/>
          <cell r="AH66"/>
          <cell r="AI66"/>
          <cell r="AJ66"/>
          <cell r="AK66"/>
        </row>
        <row r="67">
          <cell r="A67" t="str">
            <v>LOIG1TTotal Suppy</v>
          </cell>
          <cell r="B67" t="str">
            <v>LOIG1T</v>
          </cell>
          <cell r="C67">
            <v>22000103</v>
          </cell>
          <cell r="D67" t="str">
            <v>Total Suppy</v>
          </cell>
          <cell r="E67"/>
          <cell r="F67" t="e">
            <v>#REF!</v>
          </cell>
          <cell r="G67" t="e">
            <v>#REF!</v>
          </cell>
          <cell r="H67" t="e">
            <v>#REF!</v>
          </cell>
          <cell r="I67">
            <v>0</v>
          </cell>
          <cell r="J67"/>
          <cell r="K67"/>
          <cell r="L67"/>
          <cell r="M67"/>
          <cell r="N67"/>
          <cell r="O67"/>
          <cell r="P67"/>
          <cell r="Q67"/>
          <cell r="R67"/>
          <cell r="S67"/>
          <cell r="T67"/>
          <cell r="U67"/>
          <cell r="V67"/>
          <cell r="W67"/>
          <cell r="X67"/>
          <cell r="Y67"/>
          <cell r="Z67"/>
          <cell r="AA67"/>
          <cell r="AB67"/>
          <cell r="AC67"/>
          <cell r="AD67"/>
          <cell r="AE67"/>
          <cell r="AF67"/>
          <cell r="AG67"/>
          <cell r="AH67"/>
          <cell r="AI67"/>
          <cell r="AJ67"/>
          <cell r="AK67"/>
        </row>
        <row r="68">
          <cell r="A68" t="str">
            <v>LOIG1TClosing Stks</v>
          </cell>
          <cell r="B68" t="str">
            <v>LOIG1T</v>
          </cell>
          <cell r="C68">
            <v>22000103</v>
          </cell>
          <cell r="D68" t="str">
            <v>Closing Stks</v>
          </cell>
          <cell r="E68"/>
          <cell r="F68" t="e">
            <v>#REF!</v>
          </cell>
          <cell r="G68" t="e">
            <v>#REF!</v>
          </cell>
          <cell r="H68" t="e">
            <v>#REF!</v>
          </cell>
          <cell r="I68" t="e">
            <v>#REF!</v>
          </cell>
          <cell r="J68" t="e">
            <v>#REF!</v>
          </cell>
          <cell r="K68" t="e">
            <v>#REF!</v>
          </cell>
          <cell r="L68" t="e">
            <v>#REF!</v>
          </cell>
          <cell r="M68" t="e">
            <v>#REF!</v>
          </cell>
          <cell r="N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  <cell r="T68" t="e">
            <v>#REF!</v>
          </cell>
          <cell r="U68" t="e">
            <v>#REF!</v>
          </cell>
          <cell r="V68" t="e">
            <v>#REF!</v>
          </cell>
          <cell r="W68" t="e">
            <v>#REF!</v>
          </cell>
          <cell r="X68" t="e">
            <v>#REF!</v>
          </cell>
          <cell r="Y68" t="e">
            <v>#REF!</v>
          </cell>
          <cell r="Z68" t="e">
            <v>#REF!</v>
          </cell>
          <cell r="AA68" t="e">
            <v>#REF!</v>
          </cell>
          <cell r="AB68" t="e">
            <v>#REF!</v>
          </cell>
          <cell r="AC68" t="e">
            <v>#REF!</v>
          </cell>
          <cell r="AD68" t="e">
            <v>#REF!</v>
          </cell>
          <cell r="AE68" t="e">
            <v>#REF!</v>
          </cell>
          <cell r="AF68" t="e">
            <v>#REF!</v>
          </cell>
          <cell r="AG68" t="e">
            <v>#REF!</v>
          </cell>
          <cell r="AH68" t="e">
            <v>#REF!</v>
          </cell>
          <cell r="AI68" t="e">
            <v>#REF!</v>
          </cell>
          <cell r="AJ68" t="e">
            <v>#REF!</v>
          </cell>
          <cell r="AK68" t="e">
            <v>#REF!</v>
          </cell>
        </row>
        <row r="69">
          <cell r="A69" t="str">
            <v>SPCG1Forecast</v>
          </cell>
          <cell r="B69" t="str">
            <v>SPCG1</v>
          </cell>
          <cell r="C69">
            <v>22000073</v>
          </cell>
          <cell r="D69" t="str">
            <v>Forecast</v>
          </cell>
          <cell r="E69"/>
          <cell r="F69"/>
          <cell r="G69"/>
          <cell r="H69"/>
          <cell r="I69"/>
          <cell r="J69"/>
          <cell r="K69">
            <v>0</v>
          </cell>
          <cell r="L69"/>
          <cell r="M69"/>
          <cell r="N69"/>
          <cell r="O69"/>
          <cell r="P69"/>
          <cell r="Q69"/>
          <cell r="R69"/>
          <cell r="S69"/>
          <cell r="T69"/>
          <cell r="U69"/>
          <cell r="V69"/>
          <cell r="W69"/>
          <cell r="X69"/>
          <cell r="Y69"/>
          <cell r="Z69"/>
          <cell r="AA69"/>
          <cell r="AB69"/>
          <cell r="AC69"/>
          <cell r="AD69"/>
          <cell r="AE69"/>
          <cell r="AF69"/>
          <cell r="AG69"/>
          <cell r="AH69"/>
          <cell r="AI69"/>
          <cell r="AJ69"/>
          <cell r="AK69"/>
        </row>
        <row r="70">
          <cell r="A70" t="str">
            <v>SPCG1Total OR</v>
          </cell>
          <cell r="B70" t="str">
            <v>SPCG1</v>
          </cell>
          <cell r="C70">
            <v>22000073</v>
          </cell>
          <cell r="D70" t="str">
            <v>Total OR</v>
          </cell>
          <cell r="E70"/>
          <cell r="F70">
            <v>400</v>
          </cell>
          <cell r="G70">
            <v>400</v>
          </cell>
          <cell r="H70">
            <v>400</v>
          </cell>
          <cell r="I70">
            <v>400</v>
          </cell>
          <cell r="J70">
            <v>300</v>
          </cell>
          <cell r="K70">
            <v>0</v>
          </cell>
          <cell r="L70">
            <v>400</v>
          </cell>
          <cell r="M70">
            <v>400</v>
          </cell>
          <cell r="N70">
            <v>400</v>
          </cell>
          <cell r="O70">
            <v>400</v>
          </cell>
          <cell r="P70">
            <v>400</v>
          </cell>
          <cell r="Q70">
            <v>300</v>
          </cell>
          <cell r="R70">
            <v>0</v>
          </cell>
          <cell r="S70">
            <v>400</v>
          </cell>
          <cell r="T70">
            <v>400</v>
          </cell>
          <cell r="U70">
            <v>400</v>
          </cell>
          <cell r="V70">
            <v>400</v>
          </cell>
          <cell r="W70">
            <v>400</v>
          </cell>
          <cell r="X70">
            <v>300</v>
          </cell>
          <cell r="Y70">
            <v>0</v>
          </cell>
          <cell r="Z70">
            <v>400</v>
          </cell>
          <cell r="AA70">
            <v>400</v>
          </cell>
          <cell r="AB70">
            <v>400</v>
          </cell>
          <cell r="AC70">
            <v>400</v>
          </cell>
          <cell r="AD70">
            <v>400</v>
          </cell>
          <cell r="AE70">
            <v>400</v>
          </cell>
          <cell r="AF70">
            <v>400</v>
          </cell>
          <cell r="AG70">
            <v>400</v>
          </cell>
          <cell r="AH70">
            <v>400</v>
          </cell>
          <cell r="AI70">
            <v>400</v>
          </cell>
          <cell r="AJ70">
            <v>400</v>
          </cell>
          <cell r="AK70">
            <v>400</v>
          </cell>
        </row>
        <row r="71">
          <cell r="A71" t="str">
            <v>SPCG1Prod Plan</v>
          </cell>
          <cell r="B71" t="str">
            <v>SPCG1</v>
          </cell>
          <cell r="C71">
            <v>22000073</v>
          </cell>
          <cell r="D71" t="str">
            <v>Prod Plan</v>
          </cell>
          <cell r="E71">
            <v>500</v>
          </cell>
          <cell r="F71">
            <v>300</v>
          </cell>
          <cell r="G71">
            <v>300</v>
          </cell>
          <cell r="H71">
            <v>300</v>
          </cell>
          <cell r="I71">
            <v>300</v>
          </cell>
          <cell r="J71">
            <v>300</v>
          </cell>
          <cell r="K71">
            <v>300</v>
          </cell>
          <cell r="L71">
            <v>300</v>
          </cell>
          <cell r="M71">
            <v>300</v>
          </cell>
          <cell r="N71">
            <v>300</v>
          </cell>
          <cell r="O71">
            <v>300</v>
          </cell>
          <cell r="P71">
            <v>300</v>
          </cell>
          <cell r="Q71">
            <v>300</v>
          </cell>
          <cell r="R71">
            <v>300</v>
          </cell>
          <cell r="S71">
            <v>300</v>
          </cell>
          <cell r="T71">
            <v>300</v>
          </cell>
          <cell r="U71">
            <v>300</v>
          </cell>
          <cell r="V71">
            <v>300</v>
          </cell>
          <cell r="W71">
            <v>300</v>
          </cell>
          <cell r="X71">
            <v>300</v>
          </cell>
          <cell r="Y71">
            <v>300</v>
          </cell>
          <cell r="Z71">
            <v>300</v>
          </cell>
          <cell r="AA71">
            <v>300</v>
          </cell>
          <cell r="AB71">
            <v>300</v>
          </cell>
          <cell r="AC71">
            <v>300</v>
          </cell>
          <cell r="AD71">
            <v>300</v>
          </cell>
          <cell r="AE71">
            <v>300</v>
          </cell>
          <cell r="AF71">
            <v>300</v>
          </cell>
          <cell r="AG71">
            <v>300</v>
          </cell>
          <cell r="AH71">
            <v>300</v>
          </cell>
          <cell r="AI71">
            <v>300</v>
          </cell>
          <cell r="AJ71">
            <v>300</v>
          </cell>
          <cell r="AK71">
            <v>300</v>
          </cell>
        </row>
        <row r="72">
          <cell r="A72" t="str">
            <v>SPCG1Prod Receipt</v>
          </cell>
          <cell r="B72" t="str">
            <v>SPCG1</v>
          </cell>
          <cell r="C72">
            <v>22000073</v>
          </cell>
          <cell r="D72" t="str">
            <v>Prod Receipt</v>
          </cell>
          <cell r="E72"/>
          <cell r="F72"/>
          <cell r="G72"/>
          <cell r="H72"/>
          <cell r="I72"/>
          <cell r="J72"/>
          <cell r="K72"/>
          <cell r="L72"/>
          <cell r="M72"/>
          <cell r="N72"/>
          <cell r="O72"/>
          <cell r="P72"/>
          <cell r="Q72"/>
          <cell r="R72"/>
          <cell r="S72"/>
          <cell r="T72"/>
          <cell r="U72"/>
          <cell r="V72"/>
          <cell r="W72"/>
          <cell r="X72"/>
          <cell r="Y72"/>
          <cell r="Z72"/>
          <cell r="AA72"/>
          <cell r="AB72"/>
          <cell r="AC72"/>
          <cell r="AD72"/>
          <cell r="AE72"/>
          <cell r="AF72"/>
          <cell r="AG72"/>
          <cell r="AH72"/>
          <cell r="AI72"/>
          <cell r="AJ72"/>
          <cell r="AK72"/>
        </row>
        <row r="73">
          <cell r="A73" t="str">
            <v>SPCG1Total Suppy</v>
          </cell>
          <cell r="B73" t="str">
            <v>SPCG1</v>
          </cell>
          <cell r="C73">
            <v>22000073</v>
          </cell>
          <cell r="D73" t="str">
            <v>Total Suppy</v>
          </cell>
          <cell r="E73"/>
          <cell r="F73" t="e">
            <v>#REF!</v>
          </cell>
          <cell r="G73" t="e">
            <v>#REF!</v>
          </cell>
          <cell r="H73" t="e">
            <v>#REF!</v>
          </cell>
          <cell r="I73">
            <v>0</v>
          </cell>
          <cell r="J73"/>
          <cell r="K73"/>
          <cell r="L73"/>
          <cell r="M73"/>
          <cell r="N73"/>
          <cell r="O73"/>
          <cell r="P73"/>
          <cell r="Q73"/>
          <cell r="R73"/>
          <cell r="S73"/>
          <cell r="T73"/>
          <cell r="U73"/>
          <cell r="V73"/>
          <cell r="W73"/>
          <cell r="X73"/>
          <cell r="Y73"/>
          <cell r="Z73"/>
          <cell r="AA73"/>
          <cell r="AB73"/>
          <cell r="AC73"/>
          <cell r="AD73"/>
          <cell r="AE73"/>
          <cell r="AF73"/>
          <cell r="AG73"/>
          <cell r="AH73"/>
          <cell r="AI73"/>
          <cell r="AJ73"/>
          <cell r="AK73"/>
        </row>
        <row r="74">
          <cell r="A74" t="str">
            <v>SPCG1Closing Stks</v>
          </cell>
          <cell r="B74" t="str">
            <v>SPCG1</v>
          </cell>
          <cell r="C74">
            <v>22000073</v>
          </cell>
          <cell r="D74" t="str">
            <v>Closing Stks</v>
          </cell>
          <cell r="E74"/>
          <cell r="F74" t="e">
            <v>#REF!</v>
          </cell>
          <cell r="G74" t="e">
            <v>#REF!</v>
          </cell>
          <cell r="H74" t="e">
            <v>#REF!</v>
          </cell>
          <cell r="I74" t="e">
            <v>#REF!</v>
          </cell>
          <cell r="J74" t="e">
            <v>#REF!</v>
          </cell>
          <cell r="K74" t="e">
            <v>#REF!</v>
          </cell>
          <cell r="L74" t="e">
            <v>#REF!</v>
          </cell>
          <cell r="M74" t="e">
            <v>#REF!</v>
          </cell>
          <cell r="N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  <cell r="T74" t="e">
            <v>#REF!</v>
          </cell>
          <cell r="U74" t="e">
            <v>#REF!</v>
          </cell>
          <cell r="V74" t="e">
            <v>#REF!</v>
          </cell>
          <cell r="W74" t="e">
            <v>#REF!</v>
          </cell>
          <cell r="X74" t="e">
            <v>#REF!</v>
          </cell>
          <cell r="Y74" t="e">
            <v>#REF!</v>
          </cell>
          <cell r="Z74" t="e">
            <v>#REF!</v>
          </cell>
          <cell r="AA74" t="e">
            <v>#REF!</v>
          </cell>
          <cell r="AB74" t="e">
            <v>#REF!</v>
          </cell>
          <cell r="AC74" t="e">
            <v>#REF!</v>
          </cell>
          <cell r="AD74" t="e">
            <v>#REF!</v>
          </cell>
          <cell r="AE74" t="e">
            <v>#REF!</v>
          </cell>
          <cell r="AF74" t="e">
            <v>#REF!</v>
          </cell>
          <cell r="AG74" t="e">
            <v>#REF!</v>
          </cell>
          <cell r="AH74" t="e">
            <v>#REF!</v>
          </cell>
          <cell r="AI74" t="e">
            <v>#REF!</v>
          </cell>
          <cell r="AJ74" t="e">
            <v>#REF!</v>
          </cell>
          <cell r="AK74" t="e">
            <v>#REF!</v>
          </cell>
        </row>
        <row r="75">
          <cell r="A75" t="str">
            <v>LOCBForecast</v>
          </cell>
          <cell r="B75" t="str">
            <v>LOCB</v>
          </cell>
          <cell r="C75">
            <v>22000041</v>
          </cell>
          <cell r="D75" t="str">
            <v>Forecast</v>
          </cell>
          <cell r="E75"/>
          <cell r="F75">
            <v>40</v>
          </cell>
          <cell r="G75">
            <v>40</v>
          </cell>
          <cell r="H75">
            <v>40</v>
          </cell>
          <cell r="I75">
            <v>40</v>
          </cell>
          <cell r="J75">
            <v>40</v>
          </cell>
          <cell r="K75">
            <v>40</v>
          </cell>
          <cell r="L75">
            <v>40</v>
          </cell>
          <cell r="M75">
            <v>40</v>
          </cell>
          <cell r="N75">
            <v>40</v>
          </cell>
          <cell r="O75">
            <v>40</v>
          </cell>
          <cell r="P75">
            <v>40</v>
          </cell>
          <cell r="Q75">
            <v>40</v>
          </cell>
          <cell r="R75">
            <v>40</v>
          </cell>
          <cell r="S75">
            <v>40</v>
          </cell>
          <cell r="T75">
            <v>40</v>
          </cell>
          <cell r="U75">
            <v>40</v>
          </cell>
          <cell r="V75">
            <v>40</v>
          </cell>
          <cell r="W75">
            <v>40</v>
          </cell>
          <cell r="X75">
            <v>40</v>
          </cell>
          <cell r="Y75">
            <v>40</v>
          </cell>
          <cell r="Z75">
            <v>40</v>
          </cell>
          <cell r="AA75">
            <v>40</v>
          </cell>
          <cell r="AB75">
            <v>40</v>
          </cell>
          <cell r="AC75">
            <v>40</v>
          </cell>
          <cell r="AD75">
            <v>40</v>
          </cell>
          <cell r="AE75">
            <v>40</v>
          </cell>
          <cell r="AF75">
            <v>40</v>
          </cell>
          <cell r="AG75">
            <v>40</v>
          </cell>
          <cell r="AH75">
            <v>40</v>
          </cell>
          <cell r="AI75">
            <v>40</v>
          </cell>
          <cell r="AJ75">
            <v>40</v>
          </cell>
          <cell r="AK75">
            <v>40</v>
          </cell>
        </row>
        <row r="76">
          <cell r="A76" t="str">
            <v>LOCBTotal OR</v>
          </cell>
          <cell r="B76" t="str">
            <v>LOCB</v>
          </cell>
          <cell r="C76">
            <v>22000041</v>
          </cell>
          <cell r="D76" t="str">
            <v>Total OR</v>
          </cell>
          <cell r="E76"/>
          <cell r="F76">
            <v>65</v>
          </cell>
          <cell r="G76">
            <v>78</v>
          </cell>
          <cell r="H76">
            <v>38</v>
          </cell>
          <cell r="I76">
            <v>41</v>
          </cell>
          <cell r="J76">
            <v>38</v>
          </cell>
          <cell r="K76">
            <v>20</v>
          </cell>
          <cell r="L76">
            <v>38</v>
          </cell>
          <cell r="M76">
            <v>41</v>
          </cell>
          <cell r="N76">
            <v>20</v>
          </cell>
          <cell r="O76">
            <v>20</v>
          </cell>
          <cell r="P76">
            <v>18</v>
          </cell>
          <cell r="Q76">
            <v>40</v>
          </cell>
          <cell r="R76">
            <v>40</v>
          </cell>
          <cell r="S76">
            <v>40</v>
          </cell>
          <cell r="T76">
            <v>40</v>
          </cell>
          <cell r="U76">
            <v>40</v>
          </cell>
          <cell r="V76">
            <v>40</v>
          </cell>
          <cell r="W76">
            <v>40</v>
          </cell>
          <cell r="X76">
            <v>40</v>
          </cell>
          <cell r="Y76">
            <v>40</v>
          </cell>
          <cell r="Z76">
            <v>40</v>
          </cell>
          <cell r="AA76">
            <v>40</v>
          </cell>
          <cell r="AB76">
            <v>40</v>
          </cell>
          <cell r="AC76">
            <v>40</v>
          </cell>
          <cell r="AD76">
            <v>40</v>
          </cell>
          <cell r="AE76">
            <v>40</v>
          </cell>
          <cell r="AF76">
            <v>40</v>
          </cell>
          <cell r="AG76">
            <v>40</v>
          </cell>
          <cell r="AH76">
            <v>40</v>
          </cell>
          <cell r="AI76">
            <v>40</v>
          </cell>
          <cell r="AJ76">
            <v>40</v>
          </cell>
          <cell r="AK76">
            <v>40</v>
          </cell>
        </row>
        <row r="77">
          <cell r="A77" t="str">
            <v>LOCBProd Plan</v>
          </cell>
          <cell r="B77" t="str">
            <v>LOCB</v>
          </cell>
          <cell r="C77">
            <v>22000041</v>
          </cell>
          <cell r="D77" t="str">
            <v>Prod Plan</v>
          </cell>
          <cell r="E77">
            <v>175</v>
          </cell>
          <cell r="F77">
            <v>18</v>
          </cell>
          <cell r="G77">
            <v>18</v>
          </cell>
          <cell r="H77">
            <v>18</v>
          </cell>
          <cell r="I77">
            <v>18</v>
          </cell>
          <cell r="J77">
            <v>18</v>
          </cell>
          <cell r="K77">
            <v>18</v>
          </cell>
          <cell r="L77">
            <v>18</v>
          </cell>
          <cell r="M77">
            <v>18</v>
          </cell>
          <cell r="N77">
            <v>18</v>
          </cell>
          <cell r="O77">
            <v>18</v>
          </cell>
          <cell r="P77">
            <v>18</v>
          </cell>
          <cell r="Q77">
            <v>18</v>
          </cell>
          <cell r="R77">
            <v>18</v>
          </cell>
          <cell r="S77">
            <v>18</v>
          </cell>
          <cell r="T77">
            <v>18</v>
          </cell>
          <cell r="U77">
            <v>18</v>
          </cell>
          <cell r="V77">
            <v>18</v>
          </cell>
          <cell r="W77">
            <v>18</v>
          </cell>
          <cell r="X77">
            <v>18</v>
          </cell>
          <cell r="Y77">
            <v>18</v>
          </cell>
          <cell r="Z77">
            <v>18</v>
          </cell>
          <cell r="AA77">
            <v>18</v>
          </cell>
          <cell r="AB77">
            <v>18</v>
          </cell>
          <cell r="AC77">
            <v>18</v>
          </cell>
          <cell r="AD77">
            <v>18</v>
          </cell>
          <cell r="AE77">
            <v>18</v>
          </cell>
          <cell r="AF77">
            <v>18</v>
          </cell>
          <cell r="AG77">
            <v>18</v>
          </cell>
          <cell r="AH77">
            <v>18</v>
          </cell>
          <cell r="AI77">
            <v>18</v>
          </cell>
          <cell r="AJ77">
            <v>18</v>
          </cell>
          <cell r="AK77">
            <v>18</v>
          </cell>
        </row>
        <row r="78">
          <cell r="A78" t="str">
            <v>LOCBProd Receipt</v>
          </cell>
          <cell r="B78" t="str">
            <v>LOCB</v>
          </cell>
          <cell r="C78">
            <v>22000041</v>
          </cell>
          <cell r="D78" t="str">
            <v>Prod Receipt</v>
          </cell>
          <cell r="E78"/>
          <cell r="F78"/>
          <cell r="G78"/>
          <cell r="H78"/>
          <cell r="I78"/>
          <cell r="J78"/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  <cell r="V78"/>
          <cell r="W78"/>
          <cell r="X78"/>
          <cell r="Y78"/>
          <cell r="Z78"/>
          <cell r="AA78"/>
          <cell r="AB78"/>
          <cell r="AC78"/>
          <cell r="AD78"/>
          <cell r="AE78"/>
          <cell r="AF78"/>
          <cell r="AG78"/>
          <cell r="AH78"/>
          <cell r="AI78"/>
          <cell r="AJ78"/>
          <cell r="AK78"/>
        </row>
        <row r="79">
          <cell r="A79" t="str">
            <v>LOCBTotal Suppy</v>
          </cell>
          <cell r="B79" t="str">
            <v>LOCB</v>
          </cell>
          <cell r="C79">
            <v>22000041</v>
          </cell>
          <cell r="D79" t="str">
            <v>Total Suppy</v>
          </cell>
          <cell r="E79"/>
          <cell r="F79" t="e">
            <v>#REF!</v>
          </cell>
          <cell r="G79" t="e">
            <v>#REF!</v>
          </cell>
          <cell r="H79" t="e">
            <v>#REF!</v>
          </cell>
          <cell r="I79">
            <v>0</v>
          </cell>
          <cell r="J79"/>
          <cell r="K79"/>
          <cell r="L79"/>
          <cell r="M79"/>
          <cell r="N79"/>
          <cell r="O79"/>
          <cell r="P79"/>
          <cell r="Q79"/>
          <cell r="R79"/>
          <cell r="S79"/>
          <cell r="T79"/>
          <cell r="U79"/>
          <cell r="V79"/>
          <cell r="W79"/>
          <cell r="X79"/>
          <cell r="Y79"/>
          <cell r="Z79"/>
          <cell r="AA79"/>
          <cell r="AB79"/>
          <cell r="AC79"/>
          <cell r="AD79"/>
          <cell r="AE79"/>
          <cell r="AF79"/>
          <cell r="AG79"/>
          <cell r="AH79"/>
          <cell r="AI79"/>
          <cell r="AJ79"/>
          <cell r="AK79"/>
        </row>
        <row r="80">
          <cell r="A80" t="str">
            <v>LOCBClosing Stks</v>
          </cell>
          <cell r="B80" t="str">
            <v>LOCB</v>
          </cell>
          <cell r="C80">
            <v>22000041</v>
          </cell>
          <cell r="D80" t="str">
            <v>Closing Stks</v>
          </cell>
          <cell r="E80"/>
          <cell r="F80" t="e">
            <v>#REF!</v>
          </cell>
          <cell r="G80" t="e">
            <v>#REF!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 t="e">
            <v>#REF!</v>
          </cell>
          <cell r="N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  <cell r="T80" t="e">
            <v>#REF!</v>
          </cell>
          <cell r="U80" t="e">
            <v>#REF!</v>
          </cell>
          <cell r="V80" t="e">
            <v>#REF!</v>
          </cell>
          <cell r="W80" t="e">
            <v>#REF!</v>
          </cell>
          <cell r="X80" t="e">
            <v>#REF!</v>
          </cell>
          <cell r="Y80" t="e">
            <v>#REF!</v>
          </cell>
          <cell r="Z80" t="e">
            <v>#REF!</v>
          </cell>
          <cell r="AA80" t="e">
            <v>#REF!</v>
          </cell>
          <cell r="AB80" t="e">
            <v>#REF!</v>
          </cell>
          <cell r="AC80" t="e">
            <v>#REF!</v>
          </cell>
          <cell r="AD80" t="e">
            <v>#REF!</v>
          </cell>
          <cell r="AE80" t="e">
            <v>#REF!</v>
          </cell>
          <cell r="AF80" t="e">
            <v>#REF!</v>
          </cell>
          <cell r="AG80" t="e">
            <v>#REF!</v>
          </cell>
          <cell r="AH80" t="e">
            <v>#REF!</v>
          </cell>
          <cell r="AI80" t="e">
            <v>#REF!</v>
          </cell>
          <cell r="AJ80" t="e">
            <v>#REF!</v>
          </cell>
          <cell r="AK80" t="e">
            <v>#REF!</v>
          </cell>
        </row>
        <row r="81">
          <cell r="A81" t="str">
            <v>LOSBForecast</v>
          </cell>
          <cell r="B81" t="str">
            <v>LOSB</v>
          </cell>
          <cell r="C81">
            <v>22000047</v>
          </cell>
          <cell r="D81" t="str">
            <v>Forecast</v>
          </cell>
          <cell r="E81"/>
          <cell r="F81">
            <v>35</v>
          </cell>
          <cell r="G81">
            <v>35</v>
          </cell>
          <cell r="H81">
            <v>35</v>
          </cell>
          <cell r="I81">
            <v>35</v>
          </cell>
          <cell r="J81">
            <v>35</v>
          </cell>
          <cell r="K81">
            <v>35</v>
          </cell>
          <cell r="L81">
            <v>35</v>
          </cell>
          <cell r="M81">
            <v>35</v>
          </cell>
          <cell r="N81">
            <v>35</v>
          </cell>
          <cell r="O81">
            <v>35</v>
          </cell>
          <cell r="P81">
            <v>35</v>
          </cell>
          <cell r="Q81">
            <v>35</v>
          </cell>
          <cell r="R81">
            <v>35</v>
          </cell>
          <cell r="S81">
            <v>35</v>
          </cell>
          <cell r="T81">
            <v>35</v>
          </cell>
          <cell r="U81">
            <v>35</v>
          </cell>
          <cell r="V81">
            <v>35</v>
          </cell>
          <cell r="W81">
            <v>35</v>
          </cell>
          <cell r="X81">
            <v>35</v>
          </cell>
          <cell r="Y81">
            <v>35</v>
          </cell>
          <cell r="Z81">
            <v>35</v>
          </cell>
          <cell r="AA81">
            <v>35</v>
          </cell>
          <cell r="AB81">
            <v>35</v>
          </cell>
          <cell r="AC81">
            <v>35</v>
          </cell>
          <cell r="AD81">
            <v>35</v>
          </cell>
          <cell r="AE81">
            <v>35</v>
          </cell>
          <cell r="AF81">
            <v>35</v>
          </cell>
          <cell r="AG81">
            <v>35</v>
          </cell>
          <cell r="AH81">
            <v>35</v>
          </cell>
          <cell r="AI81">
            <v>35</v>
          </cell>
          <cell r="AJ81">
            <v>35</v>
          </cell>
          <cell r="AK81">
            <v>35</v>
          </cell>
        </row>
        <row r="82">
          <cell r="A82" t="str">
            <v>LOSBTotal OR</v>
          </cell>
          <cell r="B82" t="str">
            <v>LOSB</v>
          </cell>
          <cell r="C82">
            <v>22000047</v>
          </cell>
          <cell r="D82" t="str">
            <v>Total OR</v>
          </cell>
          <cell r="E82"/>
          <cell r="F82">
            <v>13</v>
          </cell>
          <cell r="G82">
            <v>5</v>
          </cell>
          <cell r="H82">
            <v>15</v>
          </cell>
          <cell r="I82">
            <v>5</v>
          </cell>
          <cell r="J82">
            <v>2</v>
          </cell>
          <cell r="K82">
            <v>2</v>
          </cell>
          <cell r="L82">
            <v>19</v>
          </cell>
          <cell r="M82">
            <v>25</v>
          </cell>
          <cell r="N82">
            <v>10</v>
          </cell>
          <cell r="O82">
            <v>3.5</v>
          </cell>
          <cell r="P82">
            <v>15</v>
          </cell>
          <cell r="Q82">
            <v>2</v>
          </cell>
          <cell r="R82">
            <v>2</v>
          </cell>
          <cell r="S82">
            <v>20</v>
          </cell>
          <cell r="T82">
            <v>5</v>
          </cell>
          <cell r="U82">
            <v>5</v>
          </cell>
          <cell r="V82">
            <v>10</v>
          </cell>
          <cell r="W82">
            <v>5</v>
          </cell>
          <cell r="X82">
            <v>2</v>
          </cell>
          <cell r="Y82">
            <v>2</v>
          </cell>
          <cell r="Z82">
            <v>20</v>
          </cell>
          <cell r="AA82">
            <v>5</v>
          </cell>
          <cell r="AB82">
            <v>5</v>
          </cell>
          <cell r="AC82">
            <v>10</v>
          </cell>
          <cell r="AD82">
            <v>5</v>
          </cell>
          <cell r="AE82">
            <v>5</v>
          </cell>
          <cell r="AF82">
            <v>5</v>
          </cell>
          <cell r="AG82">
            <v>5</v>
          </cell>
          <cell r="AH82">
            <v>5</v>
          </cell>
          <cell r="AI82">
            <v>5</v>
          </cell>
          <cell r="AJ82">
            <v>5</v>
          </cell>
          <cell r="AK82">
            <v>5</v>
          </cell>
        </row>
        <row r="83">
          <cell r="A83" t="str">
            <v>LOSBProd Plan</v>
          </cell>
          <cell r="B83" t="str">
            <v>LOSB</v>
          </cell>
          <cell r="C83">
            <v>22000047</v>
          </cell>
          <cell r="D83" t="str">
            <v>Prod Plan</v>
          </cell>
          <cell r="E83">
            <v>0</v>
          </cell>
          <cell r="F83">
            <v>0</v>
          </cell>
          <cell r="G83">
            <v>20</v>
          </cell>
          <cell r="H83">
            <v>0</v>
          </cell>
          <cell r="I83">
            <v>20</v>
          </cell>
          <cell r="J83">
            <v>0</v>
          </cell>
          <cell r="K83">
            <v>20</v>
          </cell>
          <cell r="L83">
            <v>0</v>
          </cell>
          <cell r="M83">
            <v>20</v>
          </cell>
          <cell r="N83">
            <v>0</v>
          </cell>
          <cell r="O83">
            <v>20</v>
          </cell>
          <cell r="P83">
            <v>0</v>
          </cell>
          <cell r="Q83">
            <v>20</v>
          </cell>
          <cell r="R83">
            <v>0</v>
          </cell>
          <cell r="S83">
            <v>20</v>
          </cell>
          <cell r="T83">
            <v>0</v>
          </cell>
          <cell r="U83">
            <v>20</v>
          </cell>
          <cell r="V83">
            <v>0</v>
          </cell>
          <cell r="W83">
            <v>20</v>
          </cell>
          <cell r="X83">
            <v>0</v>
          </cell>
          <cell r="Y83">
            <v>20</v>
          </cell>
          <cell r="Z83">
            <v>0</v>
          </cell>
          <cell r="AA83">
            <v>20</v>
          </cell>
          <cell r="AB83">
            <v>0</v>
          </cell>
          <cell r="AC83">
            <v>20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</row>
        <row r="84">
          <cell r="A84" t="str">
            <v>LOSBProd Receipt</v>
          </cell>
          <cell r="B84" t="str">
            <v>LOSB</v>
          </cell>
          <cell r="C84">
            <v>22000047</v>
          </cell>
          <cell r="D84" t="str">
            <v>Prod Receipt</v>
          </cell>
          <cell r="E84"/>
          <cell r="F84"/>
          <cell r="G84"/>
          <cell r="H84"/>
          <cell r="I84"/>
          <cell r="J84"/>
          <cell r="K84"/>
          <cell r="L84"/>
          <cell r="M84"/>
          <cell r="N84"/>
          <cell r="O84"/>
          <cell r="P84"/>
          <cell r="Q84"/>
          <cell r="R84"/>
          <cell r="S84"/>
          <cell r="T84"/>
          <cell r="U84"/>
          <cell r="V84"/>
          <cell r="W84"/>
          <cell r="X84"/>
          <cell r="Y84"/>
          <cell r="Z84"/>
          <cell r="AA84"/>
          <cell r="AB84"/>
          <cell r="AC84"/>
          <cell r="AD84"/>
          <cell r="AE84"/>
          <cell r="AF84"/>
          <cell r="AG84"/>
          <cell r="AH84"/>
          <cell r="AI84"/>
          <cell r="AJ84"/>
          <cell r="AK84"/>
        </row>
        <row r="85">
          <cell r="A85" t="str">
            <v>LOSBTotal Suppy</v>
          </cell>
          <cell r="B85" t="str">
            <v>LOSB</v>
          </cell>
          <cell r="C85">
            <v>22000047</v>
          </cell>
          <cell r="D85" t="str">
            <v>Total Suppy</v>
          </cell>
          <cell r="E85"/>
          <cell r="F85" t="e">
            <v>#REF!</v>
          </cell>
          <cell r="G85" t="e">
            <v>#REF!</v>
          </cell>
          <cell r="H85" t="e">
            <v>#REF!</v>
          </cell>
          <cell r="I85">
            <v>0</v>
          </cell>
          <cell r="J85"/>
          <cell r="K85"/>
          <cell r="L85"/>
          <cell r="M85"/>
          <cell r="N85"/>
          <cell r="O85"/>
          <cell r="P85"/>
          <cell r="Q85"/>
          <cell r="R85"/>
          <cell r="S85"/>
          <cell r="T85"/>
          <cell r="U85"/>
          <cell r="V85"/>
          <cell r="W85"/>
          <cell r="X85"/>
          <cell r="Y85"/>
          <cell r="Z85"/>
          <cell r="AA85"/>
          <cell r="AB85"/>
          <cell r="AC85"/>
          <cell r="AD85"/>
          <cell r="AE85"/>
          <cell r="AF85"/>
          <cell r="AG85"/>
          <cell r="AH85"/>
          <cell r="AI85"/>
          <cell r="AJ85"/>
          <cell r="AK85"/>
        </row>
        <row r="86">
          <cell r="A86" t="str">
            <v>LOSBClosing Stks</v>
          </cell>
          <cell r="B86" t="str">
            <v>LOSB</v>
          </cell>
          <cell r="C86">
            <v>22000047</v>
          </cell>
          <cell r="D86" t="str">
            <v>Closing Stks</v>
          </cell>
          <cell r="E86"/>
          <cell r="F86" t="e">
            <v>#REF!</v>
          </cell>
          <cell r="G86" t="e">
            <v>#REF!</v>
          </cell>
          <cell r="H86" t="e">
            <v>#REF!</v>
          </cell>
          <cell r="I86" t="e">
            <v>#REF!</v>
          </cell>
          <cell r="J86" t="e">
            <v>#REF!</v>
          </cell>
          <cell r="K86" t="e">
            <v>#REF!</v>
          </cell>
          <cell r="L86" t="e">
            <v>#REF!</v>
          </cell>
          <cell r="M86" t="e">
            <v>#REF!</v>
          </cell>
          <cell r="N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  <cell r="T86" t="e">
            <v>#REF!</v>
          </cell>
          <cell r="U86" t="e">
            <v>#REF!</v>
          </cell>
          <cell r="V86" t="e">
            <v>#REF!</v>
          </cell>
          <cell r="W86" t="e">
            <v>#REF!</v>
          </cell>
          <cell r="X86" t="e">
            <v>#REF!</v>
          </cell>
          <cell r="Y86" t="e">
            <v>#REF!</v>
          </cell>
          <cell r="Z86" t="e">
            <v>#REF!</v>
          </cell>
          <cell r="AA86" t="e">
            <v>#REF!</v>
          </cell>
          <cell r="AB86" t="e">
            <v>#REF!</v>
          </cell>
          <cell r="AC86" t="e">
            <v>#REF!</v>
          </cell>
          <cell r="AD86" t="e">
            <v>#REF!</v>
          </cell>
          <cell r="AE86" t="e">
            <v>#REF!</v>
          </cell>
          <cell r="AF86" t="e">
            <v>#REF!</v>
          </cell>
          <cell r="AG86" t="e">
            <v>#REF!</v>
          </cell>
          <cell r="AH86" t="e">
            <v>#REF!</v>
          </cell>
          <cell r="AI86" t="e">
            <v>#REF!</v>
          </cell>
          <cell r="AJ86" t="e">
            <v>#REF!</v>
          </cell>
          <cell r="AK86" t="e">
            <v>#REF!</v>
          </cell>
        </row>
        <row r="87">
          <cell r="D87" t="str">
            <v>BULK</v>
          </cell>
          <cell r="E87"/>
          <cell r="F87">
            <v>180</v>
          </cell>
          <cell r="G87">
            <v>180</v>
          </cell>
          <cell r="H87">
            <v>180</v>
          </cell>
          <cell r="I87">
            <v>180</v>
          </cell>
          <cell r="J87">
            <v>180</v>
          </cell>
          <cell r="K87">
            <v>180</v>
          </cell>
          <cell r="L87">
            <v>180</v>
          </cell>
          <cell r="M87">
            <v>180</v>
          </cell>
          <cell r="N87">
            <v>180</v>
          </cell>
          <cell r="O87">
            <v>180</v>
          </cell>
          <cell r="P87">
            <v>180</v>
          </cell>
          <cell r="Q87">
            <v>180</v>
          </cell>
          <cell r="R87">
            <v>180</v>
          </cell>
          <cell r="S87">
            <v>180</v>
          </cell>
          <cell r="T87">
            <v>180</v>
          </cell>
          <cell r="U87">
            <v>180</v>
          </cell>
          <cell r="V87">
            <v>180</v>
          </cell>
          <cell r="W87">
            <v>180</v>
          </cell>
          <cell r="X87">
            <v>180</v>
          </cell>
          <cell r="Y87">
            <v>180</v>
          </cell>
          <cell r="Z87">
            <v>180</v>
          </cell>
          <cell r="AA87">
            <v>180</v>
          </cell>
          <cell r="AB87">
            <v>180</v>
          </cell>
          <cell r="AC87">
            <v>180</v>
          </cell>
          <cell r="AD87">
            <v>180</v>
          </cell>
          <cell r="AE87">
            <v>180</v>
          </cell>
          <cell r="AF87">
            <v>180</v>
          </cell>
          <cell r="AG87">
            <v>180</v>
          </cell>
          <cell r="AH87">
            <v>180</v>
          </cell>
          <cell r="AI87">
            <v>180</v>
          </cell>
          <cell r="AJ87">
            <v>180</v>
          </cell>
          <cell r="AK87">
            <v>180</v>
          </cell>
        </row>
        <row r="88">
          <cell r="D88" t="str">
            <v>BULK</v>
          </cell>
          <cell r="E88"/>
          <cell r="F88">
            <v>100</v>
          </cell>
          <cell r="G88">
            <v>100</v>
          </cell>
          <cell r="H88">
            <v>100</v>
          </cell>
          <cell r="I88">
            <v>100</v>
          </cell>
          <cell r="J88">
            <v>100</v>
          </cell>
          <cell r="K88">
            <v>100</v>
          </cell>
          <cell r="L88">
            <v>100</v>
          </cell>
          <cell r="M88">
            <v>100</v>
          </cell>
          <cell r="N88">
            <v>100</v>
          </cell>
          <cell r="O88">
            <v>100</v>
          </cell>
          <cell r="P88">
            <v>100</v>
          </cell>
          <cell r="Q88">
            <v>100</v>
          </cell>
          <cell r="R88">
            <v>100</v>
          </cell>
          <cell r="S88">
            <v>100</v>
          </cell>
          <cell r="T88">
            <v>100</v>
          </cell>
          <cell r="U88">
            <v>100</v>
          </cell>
          <cell r="V88">
            <v>100</v>
          </cell>
          <cell r="W88">
            <v>100</v>
          </cell>
          <cell r="X88">
            <v>100</v>
          </cell>
          <cell r="Y88">
            <v>100</v>
          </cell>
          <cell r="Z88">
            <v>100</v>
          </cell>
          <cell r="AA88">
            <v>100</v>
          </cell>
          <cell r="AB88">
            <v>100</v>
          </cell>
          <cell r="AC88">
            <v>100</v>
          </cell>
          <cell r="AD88">
            <v>100</v>
          </cell>
          <cell r="AE88">
            <v>100</v>
          </cell>
          <cell r="AF88">
            <v>100</v>
          </cell>
          <cell r="AG88">
            <v>100</v>
          </cell>
          <cell r="AH88">
            <v>100</v>
          </cell>
          <cell r="AI88">
            <v>100</v>
          </cell>
          <cell r="AJ88">
            <v>100</v>
          </cell>
          <cell r="AK88">
            <v>100</v>
          </cell>
        </row>
        <row r="89">
          <cell r="D89" t="str">
            <v>BULK</v>
          </cell>
          <cell r="E89"/>
          <cell r="F89">
            <v>1618</v>
          </cell>
          <cell r="G89">
            <v>1478</v>
          </cell>
          <cell r="H89">
            <v>1528</v>
          </cell>
          <cell r="I89">
            <v>1738</v>
          </cell>
          <cell r="J89">
            <v>1618</v>
          </cell>
          <cell r="K89">
            <v>1558</v>
          </cell>
          <cell r="L89">
            <v>1608</v>
          </cell>
          <cell r="M89">
            <v>1478</v>
          </cell>
          <cell r="N89">
            <v>1478</v>
          </cell>
          <cell r="O89">
            <v>1658</v>
          </cell>
          <cell r="P89">
            <v>1558</v>
          </cell>
          <cell r="Q89">
            <v>1598</v>
          </cell>
          <cell r="R89">
            <v>1668</v>
          </cell>
          <cell r="S89">
            <v>1478</v>
          </cell>
          <cell r="T89">
            <v>1478</v>
          </cell>
          <cell r="U89">
            <v>1508</v>
          </cell>
          <cell r="V89">
            <v>1478</v>
          </cell>
          <cell r="W89">
            <v>1688</v>
          </cell>
          <cell r="X89">
            <v>1618</v>
          </cell>
          <cell r="Y89">
            <v>1538</v>
          </cell>
          <cell r="Z89">
            <v>1478</v>
          </cell>
          <cell r="AA89">
            <v>1508</v>
          </cell>
          <cell r="AB89">
            <v>1478</v>
          </cell>
          <cell r="AC89">
            <v>1478</v>
          </cell>
          <cell r="AD89">
            <v>1478</v>
          </cell>
          <cell r="AE89">
            <v>1478</v>
          </cell>
          <cell r="AF89">
            <v>1478</v>
          </cell>
          <cell r="AG89">
            <v>1478</v>
          </cell>
          <cell r="AH89">
            <v>1478</v>
          </cell>
          <cell r="AI89">
            <v>1478</v>
          </cell>
          <cell r="AJ89">
            <v>1478</v>
          </cell>
          <cell r="AK89">
            <v>1478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2.bin"/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11" Type="http://schemas.openxmlformats.org/officeDocument/2006/relationships/printerSettings" Target="../printerSettings/printerSettings25.bin"/><Relationship Id="rId5" Type="http://schemas.openxmlformats.org/officeDocument/2006/relationships/printerSettings" Target="../printerSettings/printerSettings19.bin"/><Relationship Id="rId10" Type="http://schemas.openxmlformats.org/officeDocument/2006/relationships/printerSettings" Target="../printerSettings/printerSettings24.bin"/><Relationship Id="rId4" Type="http://schemas.openxmlformats.org/officeDocument/2006/relationships/printerSettings" Target="../printerSettings/printerSettings18.bin"/><Relationship Id="rId9" Type="http://schemas.openxmlformats.org/officeDocument/2006/relationships/printerSettings" Target="../printerSettings/printerSettings2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5" Type="http://schemas.openxmlformats.org/officeDocument/2006/relationships/printerSettings" Target="../printerSettings/printerSettings30.bin"/><Relationship Id="rId4" Type="http://schemas.openxmlformats.org/officeDocument/2006/relationships/printerSettings" Target="../printerSettings/printerSettings29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5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3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3.bin"/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5.bin"/><Relationship Id="rId4" Type="http://schemas.openxmlformats.org/officeDocument/2006/relationships/printerSettings" Target="../printerSettings/printerSettings4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Relationship Id="rId5" Type="http://schemas.openxmlformats.org/officeDocument/2006/relationships/printerSettings" Target="../printerSettings/printerSettings50.bin"/><Relationship Id="rId4" Type="http://schemas.openxmlformats.org/officeDocument/2006/relationships/printerSettings" Target="../printerSettings/printerSettings4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3.bin"/><Relationship Id="rId2" Type="http://schemas.openxmlformats.org/officeDocument/2006/relationships/printerSettings" Target="../printerSettings/printerSettings52.bin"/><Relationship Id="rId1" Type="http://schemas.openxmlformats.org/officeDocument/2006/relationships/printerSettings" Target="../printerSettings/printerSettings51.bin"/><Relationship Id="rId5" Type="http://schemas.openxmlformats.org/officeDocument/2006/relationships/printerSettings" Target="../printerSettings/printerSettings55.bin"/><Relationship Id="rId4" Type="http://schemas.openxmlformats.org/officeDocument/2006/relationships/printerSettings" Target="../printerSettings/printerSettings5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8.bin"/><Relationship Id="rId2" Type="http://schemas.openxmlformats.org/officeDocument/2006/relationships/printerSettings" Target="../printerSettings/printerSettings57.bin"/><Relationship Id="rId1" Type="http://schemas.openxmlformats.org/officeDocument/2006/relationships/printerSettings" Target="../printerSettings/printerSettings56.bin"/><Relationship Id="rId5" Type="http://schemas.openxmlformats.org/officeDocument/2006/relationships/printerSettings" Target="../printerSettings/printerSettings60.bin"/><Relationship Id="rId4" Type="http://schemas.openxmlformats.org/officeDocument/2006/relationships/printerSettings" Target="../printerSettings/printerSettings5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3.bin"/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Relationship Id="rId5" Type="http://schemas.openxmlformats.org/officeDocument/2006/relationships/printerSettings" Target="../printerSettings/printerSettings65.bin"/><Relationship Id="rId4" Type="http://schemas.openxmlformats.org/officeDocument/2006/relationships/printerSettings" Target="../printerSettings/printerSettings6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8.bin"/><Relationship Id="rId2" Type="http://schemas.openxmlformats.org/officeDocument/2006/relationships/printerSettings" Target="../printerSettings/printerSettings67.bin"/><Relationship Id="rId1" Type="http://schemas.openxmlformats.org/officeDocument/2006/relationships/printerSettings" Target="../printerSettings/printerSettings66.bin"/><Relationship Id="rId5" Type="http://schemas.openxmlformats.org/officeDocument/2006/relationships/printerSettings" Target="../printerSettings/printerSettings70.bin"/><Relationship Id="rId4" Type="http://schemas.openxmlformats.org/officeDocument/2006/relationships/printerSettings" Target="../printerSettings/printerSettings6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3.bin"/><Relationship Id="rId2" Type="http://schemas.openxmlformats.org/officeDocument/2006/relationships/printerSettings" Target="../printerSettings/printerSettings72.bin"/><Relationship Id="rId1" Type="http://schemas.openxmlformats.org/officeDocument/2006/relationships/printerSettings" Target="../printerSettings/printerSettings71.bin"/><Relationship Id="rId5" Type="http://schemas.openxmlformats.org/officeDocument/2006/relationships/printerSettings" Target="../printerSettings/printerSettings75.bin"/><Relationship Id="rId4" Type="http://schemas.openxmlformats.org/officeDocument/2006/relationships/printerSettings" Target="../printerSettings/printerSettings7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8.bin"/><Relationship Id="rId2" Type="http://schemas.openxmlformats.org/officeDocument/2006/relationships/printerSettings" Target="../printerSettings/printerSettings77.bin"/><Relationship Id="rId1" Type="http://schemas.openxmlformats.org/officeDocument/2006/relationships/printerSettings" Target="../printerSettings/printerSettings76.bin"/><Relationship Id="rId5" Type="http://schemas.openxmlformats.org/officeDocument/2006/relationships/printerSettings" Target="../printerSettings/printerSettings80.bin"/><Relationship Id="rId4" Type="http://schemas.openxmlformats.org/officeDocument/2006/relationships/printerSettings" Target="../printerSettings/printerSettings79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3.bin"/><Relationship Id="rId2" Type="http://schemas.openxmlformats.org/officeDocument/2006/relationships/printerSettings" Target="../printerSettings/printerSettings82.bin"/><Relationship Id="rId1" Type="http://schemas.openxmlformats.org/officeDocument/2006/relationships/printerSettings" Target="../printerSettings/printerSettings81.bin"/><Relationship Id="rId5" Type="http://schemas.openxmlformats.org/officeDocument/2006/relationships/printerSettings" Target="../printerSettings/printerSettings85.bin"/><Relationship Id="rId4" Type="http://schemas.openxmlformats.org/officeDocument/2006/relationships/printerSettings" Target="../printerSettings/printerSettings84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8.bin"/><Relationship Id="rId2" Type="http://schemas.openxmlformats.org/officeDocument/2006/relationships/printerSettings" Target="../printerSettings/printerSettings87.bin"/><Relationship Id="rId1" Type="http://schemas.openxmlformats.org/officeDocument/2006/relationships/printerSettings" Target="../printerSettings/printerSettings86.bin"/><Relationship Id="rId5" Type="http://schemas.openxmlformats.org/officeDocument/2006/relationships/printerSettings" Target="../printerSettings/printerSettings90.bin"/><Relationship Id="rId4" Type="http://schemas.openxmlformats.org/officeDocument/2006/relationships/printerSettings" Target="../printerSettings/printerSettings8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3.bin"/><Relationship Id="rId2" Type="http://schemas.openxmlformats.org/officeDocument/2006/relationships/printerSettings" Target="../printerSettings/printerSettings92.bin"/><Relationship Id="rId1" Type="http://schemas.openxmlformats.org/officeDocument/2006/relationships/printerSettings" Target="../printerSettings/printerSettings91.bin"/><Relationship Id="rId5" Type="http://schemas.openxmlformats.org/officeDocument/2006/relationships/printerSettings" Target="../printerSettings/printerSettings95.bin"/><Relationship Id="rId4" Type="http://schemas.openxmlformats.org/officeDocument/2006/relationships/printerSettings" Target="../printerSettings/printerSettings9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8.bin"/><Relationship Id="rId2" Type="http://schemas.openxmlformats.org/officeDocument/2006/relationships/printerSettings" Target="../printerSettings/printerSettings97.bin"/><Relationship Id="rId1" Type="http://schemas.openxmlformats.org/officeDocument/2006/relationships/printerSettings" Target="../printerSettings/printerSettings96.bin"/><Relationship Id="rId5" Type="http://schemas.openxmlformats.org/officeDocument/2006/relationships/printerSettings" Target="../printerSettings/printerSettings100.bin"/><Relationship Id="rId4" Type="http://schemas.openxmlformats.org/officeDocument/2006/relationships/printerSettings" Target="../printerSettings/printerSettings99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3.bin"/><Relationship Id="rId2" Type="http://schemas.openxmlformats.org/officeDocument/2006/relationships/printerSettings" Target="../printerSettings/printerSettings102.bin"/><Relationship Id="rId1" Type="http://schemas.openxmlformats.org/officeDocument/2006/relationships/printerSettings" Target="../printerSettings/printerSettings101.bin"/><Relationship Id="rId5" Type="http://schemas.openxmlformats.org/officeDocument/2006/relationships/printerSettings" Target="../printerSettings/printerSettings105.bin"/><Relationship Id="rId4" Type="http://schemas.openxmlformats.org/officeDocument/2006/relationships/printerSettings" Target="../printerSettings/printerSettings104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8.bin"/><Relationship Id="rId2" Type="http://schemas.openxmlformats.org/officeDocument/2006/relationships/printerSettings" Target="../printerSettings/printerSettings107.bin"/><Relationship Id="rId1" Type="http://schemas.openxmlformats.org/officeDocument/2006/relationships/printerSettings" Target="../printerSettings/printerSettings106.bin"/><Relationship Id="rId5" Type="http://schemas.openxmlformats.org/officeDocument/2006/relationships/printerSettings" Target="../printerSettings/printerSettings110.bin"/><Relationship Id="rId4" Type="http://schemas.openxmlformats.org/officeDocument/2006/relationships/printerSettings" Target="../printerSettings/printerSettings109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3.bin"/><Relationship Id="rId2" Type="http://schemas.openxmlformats.org/officeDocument/2006/relationships/printerSettings" Target="../printerSettings/printerSettings112.bin"/><Relationship Id="rId1" Type="http://schemas.openxmlformats.org/officeDocument/2006/relationships/printerSettings" Target="../printerSettings/printerSettings111.bin"/><Relationship Id="rId5" Type="http://schemas.openxmlformats.org/officeDocument/2006/relationships/printerSettings" Target="../printerSettings/printerSettings115.bin"/><Relationship Id="rId4" Type="http://schemas.openxmlformats.org/officeDocument/2006/relationships/printerSettings" Target="../printerSettings/printerSettings11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8.bin"/><Relationship Id="rId2" Type="http://schemas.openxmlformats.org/officeDocument/2006/relationships/printerSettings" Target="../printerSettings/printerSettings117.bin"/><Relationship Id="rId1" Type="http://schemas.openxmlformats.org/officeDocument/2006/relationships/printerSettings" Target="../printerSettings/printerSettings116.bin"/><Relationship Id="rId5" Type="http://schemas.openxmlformats.org/officeDocument/2006/relationships/printerSettings" Target="../printerSettings/printerSettings120.bin"/><Relationship Id="rId4" Type="http://schemas.openxmlformats.org/officeDocument/2006/relationships/printerSettings" Target="../printerSettings/printerSettings119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3.bin"/><Relationship Id="rId2" Type="http://schemas.openxmlformats.org/officeDocument/2006/relationships/printerSettings" Target="../printerSettings/printerSettings122.bin"/><Relationship Id="rId1" Type="http://schemas.openxmlformats.org/officeDocument/2006/relationships/printerSettings" Target="../printerSettings/printerSettings121.bin"/><Relationship Id="rId5" Type="http://schemas.openxmlformats.org/officeDocument/2006/relationships/printerSettings" Target="../printerSettings/printerSettings125.bin"/><Relationship Id="rId4" Type="http://schemas.openxmlformats.org/officeDocument/2006/relationships/printerSettings" Target="../printerSettings/printerSettings124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8.bin"/><Relationship Id="rId2" Type="http://schemas.openxmlformats.org/officeDocument/2006/relationships/printerSettings" Target="../printerSettings/printerSettings127.bin"/><Relationship Id="rId1" Type="http://schemas.openxmlformats.org/officeDocument/2006/relationships/printerSettings" Target="../printerSettings/printerSettings126.bin"/><Relationship Id="rId5" Type="http://schemas.openxmlformats.org/officeDocument/2006/relationships/printerSettings" Target="../printerSettings/printerSettings130.bin"/><Relationship Id="rId4" Type="http://schemas.openxmlformats.org/officeDocument/2006/relationships/printerSettings" Target="../printerSettings/printerSettings129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3.bin"/><Relationship Id="rId2" Type="http://schemas.openxmlformats.org/officeDocument/2006/relationships/printerSettings" Target="../printerSettings/printerSettings132.bin"/><Relationship Id="rId1" Type="http://schemas.openxmlformats.org/officeDocument/2006/relationships/printerSettings" Target="../printerSettings/printerSettings131.bin"/><Relationship Id="rId5" Type="http://schemas.openxmlformats.org/officeDocument/2006/relationships/printerSettings" Target="../printerSettings/printerSettings135.bin"/><Relationship Id="rId4" Type="http://schemas.openxmlformats.org/officeDocument/2006/relationships/printerSettings" Target="../printerSettings/printerSettings134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8.bin"/><Relationship Id="rId2" Type="http://schemas.openxmlformats.org/officeDocument/2006/relationships/printerSettings" Target="../printerSettings/printerSettings137.bin"/><Relationship Id="rId1" Type="http://schemas.openxmlformats.org/officeDocument/2006/relationships/printerSettings" Target="../printerSettings/printerSettings136.bin"/><Relationship Id="rId5" Type="http://schemas.openxmlformats.org/officeDocument/2006/relationships/printerSettings" Target="../printerSettings/printerSettings140.bin"/><Relationship Id="rId4" Type="http://schemas.openxmlformats.org/officeDocument/2006/relationships/printerSettings" Target="../printerSettings/printerSettings13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3.bin"/><Relationship Id="rId2" Type="http://schemas.openxmlformats.org/officeDocument/2006/relationships/printerSettings" Target="../printerSettings/printerSettings142.bin"/><Relationship Id="rId1" Type="http://schemas.openxmlformats.org/officeDocument/2006/relationships/printerSettings" Target="../printerSettings/printerSettings141.bin"/><Relationship Id="rId5" Type="http://schemas.openxmlformats.org/officeDocument/2006/relationships/printerSettings" Target="../printerSettings/printerSettings145.bin"/><Relationship Id="rId4" Type="http://schemas.openxmlformats.org/officeDocument/2006/relationships/printerSettings" Target="../printerSettings/printerSettings144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8.bin"/><Relationship Id="rId2" Type="http://schemas.openxmlformats.org/officeDocument/2006/relationships/printerSettings" Target="../printerSettings/printerSettings147.bin"/><Relationship Id="rId1" Type="http://schemas.openxmlformats.org/officeDocument/2006/relationships/printerSettings" Target="../printerSettings/printerSettings146.bin"/><Relationship Id="rId5" Type="http://schemas.openxmlformats.org/officeDocument/2006/relationships/printerSettings" Target="../printerSettings/printerSettings150.bin"/><Relationship Id="rId4" Type="http://schemas.openxmlformats.org/officeDocument/2006/relationships/printerSettings" Target="../printerSettings/printerSettings149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3.bin"/><Relationship Id="rId2" Type="http://schemas.openxmlformats.org/officeDocument/2006/relationships/printerSettings" Target="../printerSettings/printerSettings152.bin"/><Relationship Id="rId1" Type="http://schemas.openxmlformats.org/officeDocument/2006/relationships/printerSettings" Target="../printerSettings/printerSettings151.bin"/><Relationship Id="rId5" Type="http://schemas.openxmlformats.org/officeDocument/2006/relationships/printerSettings" Target="../printerSettings/printerSettings155.bin"/><Relationship Id="rId4" Type="http://schemas.openxmlformats.org/officeDocument/2006/relationships/printerSettings" Target="../printerSettings/printerSettings154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8.bin"/><Relationship Id="rId2" Type="http://schemas.openxmlformats.org/officeDocument/2006/relationships/printerSettings" Target="../printerSettings/printerSettings157.bin"/><Relationship Id="rId1" Type="http://schemas.openxmlformats.org/officeDocument/2006/relationships/printerSettings" Target="../printerSettings/printerSettings156.bin"/><Relationship Id="rId5" Type="http://schemas.openxmlformats.org/officeDocument/2006/relationships/printerSettings" Target="../printerSettings/printerSettings160.bin"/><Relationship Id="rId4" Type="http://schemas.openxmlformats.org/officeDocument/2006/relationships/printerSettings" Target="../printerSettings/printerSettings159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3.bin"/><Relationship Id="rId2" Type="http://schemas.openxmlformats.org/officeDocument/2006/relationships/printerSettings" Target="../printerSettings/printerSettings162.bin"/><Relationship Id="rId1" Type="http://schemas.openxmlformats.org/officeDocument/2006/relationships/printerSettings" Target="../printerSettings/printerSettings161.bin"/><Relationship Id="rId5" Type="http://schemas.openxmlformats.org/officeDocument/2006/relationships/printerSettings" Target="../printerSettings/printerSettings165.bin"/><Relationship Id="rId4" Type="http://schemas.openxmlformats.org/officeDocument/2006/relationships/printerSettings" Target="../printerSettings/printerSettings164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8.bin"/><Relationship Id="rId2" Type="http://schemas.openxmlformats.org/officeDocument/2006/relationships/printerSettings" Target="../printerSettings/printerSettings167.bin"/><Relationship Id="rId1" Type="http://schemas.openxmlformats.org/officeDocument/2006/relationships/printerSettings" Target="../printerSettings/printerSettings166.bin"/><Relationship Id="rId5" Type="http://schemas.openxmlformats.org/officeDocument/2006/relationships/printerSettings" Target="../printerSettings/printerSettings170.bin"/><Relationship Id="rId4" Type="http://schemas.openxmlformats.org/officeDocument/2006/relationships/printerSettings" Target="../printerSettings/printerSettings169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3.bin"/><Relationship Id="rId2" Type="http://schemas.openxmlformats.org/officeDocument/2006/relationships/printerSettings" Target="../printerSettings/printerSettings172.bin"/><Relationship Id="rId1" Type="http://schemas.openxmlformats.org/officeDocument/2006/relationships/printerSettings" Target="../printerSettings/printerSettings171.bin"/><Relationship Id="rId5" Type="http://schemas.openxmlformats.org/officeDocument/2006/relationships/printerSettings" Target="../printerSettings/printerSettings175.bin"/><Relationship Id="rId4" Type="http://schemas.openxmlformats.org/officeDocument/2006/relationships/printerSettings" Target="../printerSettings/printerSettings174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76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9.bin"/><Relationship Id="rId7" Type="http://schemas.openxmlformats.org/officeDocument/2006/relationships/printerSettings" Target="../printerSettings/printerSettings183.bin"/><Relationship Id="rId2" Type="http://schemas.openxmlformats.org/officeDocument/2006/relationships/printerSettings" Target="../printerSettings/printerSettings178.bin"/><Relationship Id="rId1" Type="http://schemas.openxmlformats.org/officeDocument/2006/relationships/printerSettings" Target="../printerSettings/printerSettings177.bin"/><Relationship Id="rId6" Type="http://schemas.openxmlformats.org/officeDocument/2006/relationships/printerSettings" Target="../printerSettings/printerSettings182.bin"/><Relationship Id="rId5" Type="http://schemas.openxmlformats.org/officeDocument/2006/relationships/printerSettings" Target="../printerSettings/printerSettings181.bin"/><Relationship Id="rId4" Type="http://schemas.openxmlformats.org/officeDocument/2006/relationships/printerSettings" Target="../printerSettings/printerSettings18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F788-1EE6-4A16-8350-EC60F1A8B853}">
  <dimension ref="B3:J203"/>
  <sheetViews>
    <sheetView zoomScaleNormal="100" workbookViewId="0">
      <selection activeCell="G8" sqref="G8"/>
    </sheetView>
  </sheetViews>
  <sheetFormatPr defaultColWidth="9.140625" defaultRowHeight="12.75" x14ac:dyDescent="0.2"/>
  <cols>
    <col min="1" max="1" width="2.7109375" style="234" customWidth="1"/>
    <col min="2" max="2" width="18" style="234" customWidth="1"/>
    <col min="3" max="3" width="24.28515625" style="234" customWidth="1"/>
    <col min="4" max="4" width="17.42578125" style="234" customWidth="1"/>
    <col min="5" max="5" width="35.7109375" style="234" customWidth="1"/>
    <col min="6" max="6" width="19.42578125" style="234" customWidth="1"/>
    <col min="7" max="7" width="40.28515625" style="234" customWidth="1"/>
    <col min="8" max="16384" width="9.140625" style="234"/>
  </cols>
  <sheetData>
    <row r="3" spans="2:6" x14ac:dyDescent="0.2">
      <c r="B3" s="233"/>
      <c r="C3" s="233" t="s">
        <v>0</v>
      </c>
      <c r="D3" s="233" t="s">
        <v>1</v>
      </c>
    </row>
    <row r="4" spans="2:6" x14ac:dyDescent="0.2">
      <c r="B4" s="233" t="s">
        <v>2</v>
      </c>
      <c r="C4" s="233" t="s">
        <v>3</v>
      </c>
      <c r="D4" s="233" t="s">
        <v>3</v>
      </c>
      <c r="E4" s="233" t="s">
        <v>4</v>
      </c>
      <c r="F4" s="233" t="s">
        <v>5</v>
      </c>
    </row>
    <row r="5" spans="2:6" x14ac:dyDescent="0.2">
      <c r="B5" s="234" t="s">
        <v>6</v>
      </c>
      <c r="C5" s="234" t="s">
        <v>7</v>
      </c>
      <c r="D5" s="234" t="s">
        <v>7</v>
      </c>
      <c r="E5" s="234" t="s">
        <v>8</v>
      </c>
      <c r="F5" s="234" t="s">
        <v>9</v>
      </c>
    </row>
    <row r="6" spans="2:6" x14ac:dyDescent="0.2">
      <c r="B6" s="234" t="s">
        <v>10</v>
      </c>
      <c r="C6" s="234" t="s">
        <v>11</v>
      </c>
      <c r="D6" s="234" t="s">
        <v>7</v>
      </c>
      <c r="E6" s="234" t="s">
        <v>12</v>
      </c>
      <c r="F6" s="234" t="s">
        <v>13</v>
      </c>
    </row>
    <row r="7" spans="2:6" x14ac:dyDescent="0.2">
      <c r="B7" s="234" t="s">
        <v>14</v>
      </c>
      <c r="C7" s="234" t="s">
        <v>15</v>
      </c>
      <c r="D7" s="234" t="s">
        <v>7</v>
      </c>
      <c r="E7" s="234" t="s">
        <v>16</v>
      </c>
    </row>
    <row r="8" spans="2:6" x14ac:dyDescent="0.2">
      <c r="B8" s="234" t="s">
        <v>17</v>
      </c>
      <c r="C8" s="234" t="s">
        <v>18</v>
      </c>
      <c r="D8" s="234" t="s">
        <v>7</v>
      </c>
      <c r="E8" s="234" t="s">
        <v>19</v>
      </c>
    </row>
    <row r="9" spans="2:6" x14ac:dyDescent="0.2">
      <c r="C9" s="234" t="s">
        <v>20</v>
      </c>
      <c r="D9" s="234" t="s">
        <v>11</v>
      </c>
      <c r="E9" s="234" t="s">
        <v>21</v>
      </c>
    </row>
    <row r="10" spans="2:6" x14ac:dyDescent="0.2">
      <c r="B10" s="234" t="s">
        <v>22</v>
      </c>
      <c r="C10" s="234" t="s">
        <v>23</v>
      </c>
      <c r="D10" s="234" t="s">
        <v>11</v>
      </c>
      <c r="E10" s="234" t="s">
        <v>24</v>
      </c>
    </row>
    <row r="11" spans="2:6" x14ac:dyDescent="0.2">
      <c r="B11" s="234" t="s">
        <v>25</v>
      </c>
      <c r="C11" s="234" t="s">
        <v>26</v>
      </c>
      <c r="D11" s="234" t="s">
        <v>11</v>
      </c>
      <c r="E11" s="234" t="s">
        <v>27</v>
      </c>
    </row>
    <row r="12" spans="2:6" x14ac:dyDescent="0.2">
      <c r="B12" s="234" t="s">
        <v>28</v>
      </c>
      <c r="C12" s="234" t="s">
        <v>29</v>
      </c>
      <c r="D12" s="234" t="s">
        <v>11</v>
      </c>
      <c r="E12" s="234" t="s">
        <v>30</v>
      </c>
    </row>
    <row r="13" spans="2:6" x14ac:dyDescent="0.2">
      <c r="C13" s="234" t="s">
        <v>31</v>
      </c>
      <c r="D13" s="234" t="s">
        <v>11</v>
      </c>
      <c r="E13" s="234" t="s">
        <v>32</v>
      </c>
    </row>
    <row r="14" spans="2:6" x14ac:dyDescent="0.2">
      <c r="C14" s="234" t="s">
        <v>33</v>
      </c>
      <c r="D14" s="234" t="s">
        <v>11</v>
      </c>
      <c r="E14" s="234" t="s">
        <v>34</v>
      </c>
    </row>
    <row r="15" spans="2:6" x14ac:dyDescent="0.2">
      <c r="D15" s="234" t="s">
        <v>11</v>
      </c>
      <c r="E15" s="234" t="s">
        <v>35</v>
      </c>
    </row>
    <row r="16" spans="2:6" x14ac:dyDescent="0.2">
      <c r="D16" s="234" t="s">
        <v>11</v>
      </c>
      <c r="E16" s="234" t="s">
        <v>36</v>
      </c>
    </row>
    <row r="17" spans="4:5" x14ac:dyDescent="0.2">
      <c r="D17" s="234" t="s">
        <v>11</v>
      </c>
      <c r="E17" s="234" t="s">
        <v>37</v>
      </c>
    </row>
    <row r="18" spans="4:5" x14ac:dyDescent="0.2">
      <c r="D18" s="234" t="s">
        <v>11</v>
      </c>
      <c r="E18" s="234" t="s">
        <v>38</v>
      </c>
    </row>
    <row r="19" spans="4:5" x14ac:dyDescent="0.2">
      <c r="D19" s="234" t="s">
        <v>11</v>
      </c>
      <c r="E19" s="234" t="s">
        <v>39</v>
      </c>
    </row>
    <row r="20" spans="4:5" x14ac:dyDescent="0.2">
      <c r="D20" s="234" t="s">
        <v>11</v>
      </c>
      <c r="E20" s="234" t="s">
        <v>40</v>
      </c>
    </row>
    <row r="21" spans="4:5" x14ac:dyDescent="0.2">
      <c r="D21" s="234" t="s">
        <v>11</v>
      </c>
      <c r="E21" s="234" t="s">
        <v>41</v>
      </c>
    </row>
    <row r="22" spans="4:5" x14ac:dyDescent="0.2">
      <c r="D22" s="234" t="s">
        <v>11</v>
      </c>
      <c r="E22" s="234" t="s">
        <v>42</v>
      </c>
    </row>
    <row r="23" spans="4:5" x14ac:dyDescent="0.2">
      <c r="D23" s="234" t="s">
        <v>11</v>
      </c>
      <c r="E23" s="234" t="s">
        <v>43</v>
      </c>
    </row>
    <row r="24" spans="4:5" x14ac:dyDescent="0.2">
      <c r="D24" s="234" t="s">
        <v>11</v>
      </c>
      <c r="E24" s="234" t="s">
        <v>44</v>
      </c>
    </row>
    <row r="25" spans="4:5" x14ac:dyDescent="0.2">
      <c r="D25" s="234" t="s">
        <v>11</v>
      </c>
      <c r="E25" s="234" t="s">
        <v>45</v>
      </c>
    </row>
    <row r="26" spans="4:5" x14ac:dyDescent="0.2">
      <c r="D26" s="234" t="s">
        <v>15</v>
      </c>
      <c r="E26" s="234" t="s">
        <v>46</v>
      </c>
    </row>
    <row r="27" spans="4:5" x14ac:dyDescent="0.2">
      <c r="D27" s="234" t="s">
        <v>15</v>
      </c>
      <c r="E27" s="234" t="s">
        <v>47</v>
      </c>
    </row>
    <row r="28" spans="4:5" x14ac:dyDescent="0.2">
      <c r="D28" s="234" t="s">
        <v>15</v>
      </c>
      <c r="E28" s="234" t="s">
        <v>48</v>
      </c>
    </row>
    <row r="29" spans="4:5" x14ac:dyDescent="0.2">
      <c r="D29" s="234" t="s">
        <v>15</v>
      </c>
      <c r="E29" s="234" t="s">
        <v>49</v>
      </c>
    </row>
    <row r="30" spans="4:5" x14ac:dyDescent="0.2">
      <c r="D30" s="234" t="s">
        <v>15</v>
      </c>
      <c r="E30" s="234" t="s">
        <v>50</v>
      </c>
    </row>
    <row r="31" spans="4:5" x14ac:dyDescent="0.2">
      <c r="D31" s="234" t="s">
        <v>15</v>
      </c>
      <c r="E31" s="234" t="s">
        <v>51</v>
      </c>
    </row>
    <row r="32" spans="4:5" x14ac:dyDescent="0.2">
      <c r="D32" s="234" t="s">
        <v>15</v>
      </c>
      <c r="E32" s="234" t="s">
        <v>52</v>
      </c>
    </row>
    <row r="33" spans="4:10" x14ac:dyDescent="0.2">
      <c r="D33" s="234" t="s">
        <v>15</v>
      </c>
      <c r="E33" s="234" t="s">
        <v>53</v>
      </c>
    </row>
    <row r="34" spans="4:10" x14ac:dyDescent="0.2">
      <c r="D34" s="234" t="s">
        <v>15</v>
      </c>
      <c r="E34" s="234" t="s">
        <v>54</v>
      </c>
    </row>
    <row r="35" spans="4:10" x14ac:dyDescent="0.2">
      <c r="D35" s="234" t="s">
        <v>15</v>
      </c>
      <c r="E35" s="234" t="s">
        <v>55</v>
      </c>
    </row>
    <row r="36" spans="4:10" x14ac:dyDescent="0.2">
      <c r="D36" s="234" t="s">
        <v>15</v>
      </c>
      <c r="E36" s="234" t="s">
        <v>56</v>
      </c>
    </row>
    <row r="37" spans="4:10" x14ac:dyDescent="0.2">
      <c r="D37" s="234" t="s">
        <v>15</v>
      </c>
      <c r="E37" s="234" t="s">
        <v>57</v>
      </c>
    </row>
    <row r="38" spans="4:10" x14ac:dyDescent="0.2">
      <c r="D38" s="234" t="s">
        <v>15</v>
      </c>
      <c r="E38" s="234" t="s">
        <v>58</v>
      </c>
    </row>
    <row r="39" spans="4:10" x14ac:dyDescent="0.2">
      <c r="D39" s="234" t="s">
        <v>15</v>
      </c>
      <c r="E39" s="234" t="s">
        <v>59</v>
      </c>
    </row>
    <row r="40" spans="4:10" x14ac:dyDescent="0.2">
      <c r="D40" s="234" t="s">
        <v>15</v>
      </c>
      <c r="E40" s="234" t="s">
        <v>60</v>
      </c>
    </row>
    <row r="41" spans="4:10" x14ac:dyDescent="0.2">
      <c r="D41" s="234" t="s">
        <v>15</v>
      </c>
      <c r="E41" s="234" t="s">
        <v>61</v>
      </c>
    </row>
    <row r="42" spans="4:10" x14ac:dyDescent="0.2">
      <c r="D42" s="234" t="s">
        <v>15</v>
      </c>
      <c r="E42" s="234" t="s">
        <v>62</v>
      </c>
    </row>
    <row r="43" spans="4:10" x14ac:dyDescent="0.2">
      <c r="D43" s="234" t="s">
        <v>15</v>
      </c>
      <c r="E43" s="234" t="s">
        <v>63</v>
      </c>
    </row>
    <row r="44" spans="4:10" x14ac:dyDescent="0.2">
      <c r="D44" s="234" t="s">
        <v>15</v>
      </c>
      <c r="E44" s="234" t="s">
        <v>64</v>
      </c>
    </row>
    <row r="45" spans="4:10" ht="15" x14ac:dyDescent="0.25">
      <c r="D45" s="234" t="s">
        <v>15</v>
      </c>
      <c r="E45" s="234" t="s">
        <v>41</v>
      </c>
      <c r="J45" s="235"/>
    </row>
    <row r="46" spans="4:10" ht="15" x14ac:dyDescent="0.25">
      <c r="D46" s="234" t="s">
        <v>15</v>
      </c>
      <c r="E46" s="234" t="s">
        <v>65</v>
      </c>
      <c r="J46" s="235"/>
    </row>
    <row r="47" spans="4:10" ht="15" x14ac:dyDescent="0.25">
      <c r="D47" s="234" t="s">
        <v>15</v>
      </c>
      <c r="E47" s="234" t="s">
        <v>66</v>
      </c>
      <c r="J47" s="235"/>
    </row>
    <row r="48" spans="4:10" ht="15" x14ac:dyDescent="0.25">
      <c r="D48" s="234" t="s">
        <v>15</v>
      </c>
      <c r="E48" s="234" t="s">
        <v>67</v>
      </c>
      <c r="J48" s="235"/>
    </row>
    <row r="49" spans="4:10" ht="15" x14ac:dyDescent="0.25">
      <c r="D49" s="234" t="s">
        <v>15</v>
      </c>
      <c r="E49" s="234" t="s">
        <v>68</v>
      </c>
      <c r="J49" s="235"/>
    </row>
    <row r="50" spans="4:10" ht="15" x14ac:dyDescent="0.25">
      <c r="D50" s="234" t="s">
        <v>15</v>
      </c>
      <c r="E50" s="234" t="s">
        <v>69</v>
      </c>
      <c r="J50" s="235"/>
    </row>
    <row r="51" spans="4:10" x14ac:dyDescent="0.2">
      <c r="D51" s="234" t="s">
        <v>15</v>
      </c>
      <c r="E51" s="234" t="s">
        <v>70</v>
      </c>
    </row>
    <row r="52" spans="4:10" x14ac:dyDescent="0.2">
      <c r="D52" s="234" t="s">
        <v>15</v>
      </c>
      <c r="E52" s="234" t="s">
        <v>71</v>
      </c>
    </row>
    <row r="53" spans="4:10" x14ac:dyDescent="0.2">
      <c r="D53" s="234" t="s">
        <v>18</v>
      </c>
      <c r="E53" s="234" t="s">
        <v>72</v>
      </c>
    </row>
    <row r="54" spans="4:10" x14ac:dyDescent="0.2">
      <c r="D54" s="234" t="s">
        <v>18</v>
      </c>
      <c r="E54" s="234" t="s">
        <v>73</v>
      </c>
    </row>
    <row r="55" spans="4:10" x14ac:dyDescent="0.2">
      <c r="D55" s="234" t="s">
        <v>18</v>
      </c>
      <c r="E55" s="234" t="s">
        <v>74</v>
      </c>
    </row>
    <row r="56" spans="4:10" x14ac:dyDescent="0.2">
      <c r="D56" s="234" t="s">
        <v>18</v>
      </c>
      <c r="E56" s="234" t="s">
        <v>75</v>
      </c>
    </row>
    <row r="57" spans="4:10" x14ac:dyDescent="0.2">
      <c r="D57" s="234" t="s">
        <v>18</v>
      </c>
      <c r="E57" s="234" t="s">
        <v>76</v>
      </c>
    </row>
    <row r="58" spans="4:10" x14ac:dyDescent="0.2">
      <c r="D58" s="234" t="s">
        <v>18</v>
      </c>
      <c r="E58" s="234" t="s">
        <v>77</v>
      </c>
    </row>
    <row r="59" spans="4:10" x14ac:dyDescent="0.2">
      <c r="D59" s="234" t="s">
        <v>18</v>
      </c>
      <c r="E59" s="234" t="s">
        <v>78</v>
      </c>
    </row>
    <row r="60" spans="4:10" x14ac:dyDescent="0.2">
      <c r="D60" s="234" t="s">
        <v>18</v>
      </c>
      <c r="E60" s="234" t="s">
        <v>79</v>
      </c>
    </row>
    <row r="61" spans="4:10" x14ac:dyDescent="0.2">
      <c r="D61" s="234" t="s">
        <v>18</v>
      </c>
      <c r="E61" s="234" t="s">
        <v>80</v>
      </c>
    </row>
    <row r="62" spans="4:10" x14ac:dyDescent="0.2">
      <c r="D62" s="234" t="s">
        <v>18</v>
      </c>
      <c r="E62" s="234" t="s">
        <v>81</v>
      </c>
    </row>
    <row r="63" spans="4:10" x14ac:dyDescent="0.2">
      <c r="D63" s="234" t="s">
        <v>18</v>
      </c>
      <c r="E63" s="234" t="s">
        <v>82</v>
      </c>
    </row>
    <row r="64" spans="4:10" x14ac:dyDescent="0.2">
      <c r="D64" s="234" t="s">
        <v>18</v>
      </c>
      <c r="E64" s="234" t="s">
        <v>83</v>
      </c>
    </row>
    <row r="65" spans="4:5" x14ac:dyDescent="0.2">
      <c r="D65" s="234" t="s">
        <v>18</v>
      </c>
      <c r="E65" s="234" t="s">
        <v>84</v>
      </c>
    </row>
    <row r="66" spans="4:5" x14ac:dyDescent="0.2">
      <c r="D66" s="234" t="s">
        <v>18</v>
      </c>
      <c r="E66" s="234" t="s">
        <v>85</v>
      </c>
    </row>
    <row r="67" spans="4:5" x14ac:dyDescent="0.2">
      <c r="D67" s="234" t="s">
        <v>18</v>
      </c>
      <c r="E67" s="234" t="s">
        <v>86</v>
      </c>
    </row>
    <row r="68" spans="4:5" x14ac:dyDescent="0.2">
      <c r="D68" s="234" t="s">
        <v>18</v>
      </c>
      <c r="E68" s="234" t="s">
        <v>87</v>
      </c>
    </row>
    <row r="69" spans="4:5" x14ac:dyDescent="0.2">
      <c r="D69" s="234" t="s">
        <v>18</v>
      </c>
      <c r="E69" s="234" t="s">
        <v>88</v>
      </c>
    </row>
    <row r="70" spans="4:5" x14ac:dyDescent="0.2">
      <c r="D70" s="234" t="s">
        <v>18</v>
      </c>
      <c r="E70" s="234" t="s">
        <v>89</v>
      </c>
    </row>
    <row r="71" spans="4:5" x14ac:dyDescent="0.2">
      <c r="D71" s="234" t="s">
        <v>18</v>
      </c>
      <c r="E71" s="234" t="s">
        <v>90</v>
      </c>
    </row>
    <row r="72" spans="4:5" x14ac:dyDescent="0.2">
      <c r="D72" s="234" t="s">
        <v>18</v>
      </c>
      <c r="E72" s="234" t="s">
        <v>91</v>
      </c>
    </row>
    <row r="73" spans="4:5" x14ac:dyDescent="0.2">
      <c r="D73" s="234" t="s">
        <v>18</v>
      </c>
      <c r="E73" s="234" t="s">
        <v>92</v>
      </c>
    </row>
    <row r="74" spans="4:5" x14ac:dyDescent="0.2">
      <c r="D74" s="234" t="s">
        <v>20</v>
      </c>
      <c r="E74" s="234" t="s">
        <v>93</v>
      </c>
    </row>
    <row r="75" spans="4:5" x14ac:dyDescent="0.2">
      <c r="D75" s="234" t="s">
        <v>20</v>
      </c>
      <c r="E75" s="234" t="s">
        <v>94</v>
      </c>
    </row>
    <row r="76" spans="4:5" x14ac:dyDescent="0.2">
      <c r="D76" s="234" t="s">
        <v>20</v>
      </c>
      <c r="E76" s="234" t="s">
        <v>95</v>
      </c>
    </row>
    <row r="77" spans="4:5" x14ac:dyDescent="0.2">
      <c r="D77" s="234" t="s">
        <v>20</v>
      </c>
      <c r="E77" s="234" t="s">
        <v>96</v>
      </c>
    </row>
    <row r="78" spans="4:5" x14ac:dyDescent="0.2">
      <c r="D78" s="234" t="s">
        <v>20</v>
      </c>
      <c r="E78" s="234" t="s">
        <v>97</v>
      </c>
    </row>
    <row r="79" spans="4:5" x14ac:dyDescent="0.2">
      <c r="D79" s="234" t="s">
        <v>20</v>
      </c>
      <c r="E79" s="234" t="s">
        <v>98</v>
      </c>
    </row>
    <row r="80" spans="4:5" x14ac:dyDescent="0.2">
      <c r="D80" s="234" t="s">
        <v>20</v>
      </c>
      <c r="E80" s="234" t="s">
        <v>99</v>
      </c>
    </row>
    <row r="81" spans="4:5" x14ac:dyDescent="0.2">
      <c r="D81" s="234" t="s">
        <v>20</v>
      </c>
      <c r="E81" s="234" t="s">
        <v>100</v>
      </c>
    </row>
    <row r="82" spans="4:5" x14ac:dyDescent="0.2">
      <c r="D82" s="234" t="s">
        <v>20</v>
      </c>
      <c r="E82" s="234" t="s">
        <v>101</v>
      </c>
    </row>
    <row r="83" spans="4:5" x14ac:dyDescent="0.2">
      <c r="D83" s="234" t="s">
        <v>20</v>
      </c>
      <c r="E83" s="234" t="s">
        <v>102</v>
      </c>
    </row>
    <row r="84" spans="4:5" x14ac:dyDescent="0.2">
      <c r="D84" s="234" t="s">
        <v>20</v>
      </c>
      <c r="E84" s="234" t="s">
        <v>103</v>
      </c>
    </row>
    <row r="85" spans="4:5" x14ac:dyDescent="0.2">
      <c r="D85" s="234" t="s">
        <v>20</v>
      </c>
      <c r="E85" s="234" t="s">
        <v>104</v>
      </c>
    </row>
    <row r="86" spans="4:5" x14ac:dyDescent="0.2">
      <c r="D86" s="234" t="s">
        <v>20</v>
      </c>
      <c r="E86" s="234" t="s">
        <v>105</v>
      </c>
    </row>
    <row r="87" spans="4:5" x14ac:dyDescent="0.2">
      <c r="D87" s="234" t="s">
        <v>20</v>
      </c>
      <c r="E87" s="234" t="s">
        <v>106</v>
      </c>
    </row>
    <row r="88" spans="4:5" x14ac:dyDescent="0.2">
      <c r="D88" s="234" t="s">
        <v>20</v>
      </c>
      <c r="E88" s="234" t="s">
        <v>107</v>
      </c>
    </row>
    <row r="89" spans="4:5" x14ac:dyDescent="0.2">
      <c r="D89" s="234" t="s">
        <v>20</v>
      </c>
      <c r="E89" s="234" t="s">
        <v>108</v>
      </c>
    </row>
    <row r="90" spans="4:5" x14ac:dyDescent="0.2">
      <c r="D90" s="234" t="s">
        <v>20</v>
      </c>
      <c r="E90" s="234" t="s">
        <v>109</v>
      </c>
    </row>
    <row r="91" spans="4:5" x14ac:dyDescent="0.2">
      <c r="D91" s="234" t="s">
        <v>20</v>
      </c>
      <c r="E91" s="234" t="s">
        <v>110</v>
      </c>
    </row>
    <row r="92" spans="4:5" x14ac:dyDescent="0.2">
      <c r="D92" s="234" t="s">
        <v>20</v>
      </c>
      <c r="E92" s="234" t="s">
        <v>111</v>
      </c>
    </row>
    <row r="93" spans="4:5" x14ac:dyDescent="0.2">
      <c r="D93" s="234" t="s">
        <v>20</v>
      </c>
      <c r="E93" s="234" t="s">
        <v>112</v>
      </c>
    </row>
    <row r="94" spans="4:5" x14ac:dyDescent="0.2">
      <c r="D94" s="234" t="s">
        <v>23</v>
      </c>
      <c r="E94" s="234" t="s">
        <v>113</v>
      </c>
    </row>
    <row r="95" spans="4:5" x14ac:dyDescent="0.2">
      <c r="D95" s="234" t="s">
        <v>23</v>
      </c>
      <c r="E95" s="234" t="s">
        <v>114</v>
      </c>
    </row>
    <row r="96" spans="4:5" x14ac:dyDescent="0.2">
      <c r="D96" s="234" t="s">
        <v>23</v>
      </c>
      <c r="E96" s="234" t="s">
        <v>115</v>
      </c>
    </row>
    <row r="97" spans="4:5" x14ac:dyDescent="0.2">
      <c r="D97" s="234" t="s">
        <v>23</v>
      </c>
      <c r="E97" s="234" t="s">
        <v>116</v>
      </c>
    </row>
    <row r="98" spans="4:5" x14ac:dyDescent="0.2">
      <c r="D98" s="234" t="s">
        <v>23</v>
      </c>
      <c r="E98" s="234" t="s">
        <v>117</v>
      </c>
    </row>
    <row r="99" spans="4:5" x14ac:dyDescent="0.2">
      <c r="D99" s="234" t="s">
        <v>23</v>
      </c>
      <c r="E99" s="234" t="s">
        <v>97</v>
      </c>
    </row>
    <row r="100" spans="4:5" x14ac:dyDescent="0.2">
      <c r="D100" s="234" t="s">
        <v>23</v>
      </c>
      <c r="E100" s="234" t="s">
        <v>99</v>
      </c>
    </row>
    <row r="101" spans="4:5" x14ac:dyDescent="0.2">
      <c r="D101" s="234" t="s">
        <v>23</v>
      </c>
      <c r="E101" s="234" t="s">
        <v>100</v>
      </c>
    </row>
    <row r="102" spans="4:5" x14ac:dyDescent="0.2">
      <c r="D102" s="234" t="s">
        <v>23</v>
      </c>
      <c r="E102" s="234" t="s">
        <v>118</v>
      </c>
    </row>
    <row r="103" spans="4:5" x14ac:dyDescent="0.2">
      <c r="D103" s="234" t="s">
        <v>23</v>
      </c>
      <c r="E103" s="234" t="s">
        <v>119</v>
      </c>
    </row>
    <row r="104" spans="4:5" x14ac:dyDescent="0.2">
      <c r="D104" s="234" t="s">
        <v>23</v>
      </c>
      <c r="E104" s="234" t="s">
        <v>120</v>
      </c>
    </row>
    <row r="105" spans="4:5" x14ac:dyDescent="0.2">
      <c r="D105" s="234" t="s">
        <v>23</v>
      </c>
      <c r="E105" s="234" t="s">
        <v>106</v>
      </c>
    </row>
    <row r="106" spans="4:5" x14ac:dyDescent="0.2">
      <c r="D106" s="234" t="s">
        <v>23</v>
      </c>
      <c r="E106" s="234" t="s">
        <v>107</v>
      </c>
    </row>
    <row r="107" spans="4:5" x14ac:dyDescent="0.2">
      <c r="D107" s="234" t="s">
        <v>23</v>
      </c>
      <c r="E107" s="234" t="s">
        <v>108</v>
      </c>
    </row>
    <row r="108" spans="4:5" x14ac:dyDescent="0.2">
      <c r="D108" s="234" t="s">
        <v>23</v>
      </c>
      <c r="E108" s="234" t="s">
        <v>109</v>
      </c>
    </row>
    <row r="109" spans="4:5" x14ac:dyDescent="0.2">
      <c r="D109" s="234" t="s">
        <v>23</v>
      </c>
      <c r="E109" s="234" t="s">
        <v>110</v>
      </c>
    </row>
    <row r="110" spans="4:5" x14ac:dyDescent="0.2">
      <c r="D110" s="234" t="s">
        <v>23</v>
      </c>
      <c r="E110" s="234" t="s">
        <v>111</v>
      </c>
    </row>
    <row r="111" spans="4:5" x14ac:dyDescent="0.2">
      <c r="D111" s="234" t="s">
        <v>23</v>
      </c>
      <c r="E111" s="234" t="s">
        <v>112</v>
      </c>
    </row>
    <row r="112" spans="4:5" x14ac:dyDescent="0.2">
      <c r="D112" s="234" t="s">
        <v>26</v>
      </c>
      <c r="E112" s="234" t="s">
        <v>8</v>
      </c>
    </row>
    <row r="113" spans="4:5" x14ac:dyDescent="0.2">
      <c r="D113" s="234" t="s">
        <v>26</v>
      </c>
      <c r="E113" s="234" t="s">
        <v>121</v>
      </c>
    </row>
    <row r="114" spans="4:5" x14ac:dyDescent="0.2">
      <c r="D114" s="234" t="s">
        <v>26</v>
      </c>
      <c r="E114" s="234" t="s">
        <v>96</v>
      </c>
    </row>
    <row r="115" spans="4:5" x14ac:dyDescent="0.2">
      <c r="D115" s="234" t="s">
        <v>26</v>
      </c>
      <c r="E115" s="234" t="s">
        <v>97</v>
      </c>
    </row>
    <row r="116" spans="4:5" x14ac:dyDescent="0.2">
      <c r="D116" s="234" t="s">
        <v>26</v>
      </c>
      <c r="E116" s="234" t="s">
        <v>122</v>
      </c>
    </row>
    <row r="117" spans="4:5" x14ac:dyDescent="0.2">
      <c r="D117" s="234" t="s">
        <v>26</v>
      </c>
      <c r="E117" s="234" t="s">
        <v>123</v>
      </c>
    </row>
    <row r="118" spans="4:5" x14ac:dyDescent="0.2">
      <c r="D118" s="234" t="s">
        <v>26</v>
      </c>
      <c r="E118" s="234" t="s">
        <v>41</v>
      </c>
    </row>
    <row r="119" spans="4:5" x14ac:dyDescent="0.2">
      <c r="D119" s="234" t="s">
        <v>26</v>
      </c>
      <c r="E119" s="234" t="s">
        <v>124</v>
      </c>
    </row>
    <row r="120" spans="4:5" x14ac:dyDescent="0.2">
      <c r="D120" s="234" t="s">
        <v>26</v>
      </c>
      <c r="E120" s="234" t="s">
        <v>106</v>
      </c>
    </row>
    <row r="121" spans="4:5" x14ac:dyDescent="0.2">
      <c r="D121" s="234" t="s">
        <v>26</v>
      </c>
      <c r="E121" s="234" t="s">
        <v>107</v>
      </c>
    </row>
    <row r="122" spans="4:5" x14ac:dyDescent="0.2">
      <c r="D122" s="234" t="s">
        <v>26</v>
      </c>
      <c r="E122" s="234" t="s">
        <v>108</v>
      </c>
    </row>
    <row r="123" spans="4:5" x14ac:dyDescent="0.2">
      <c r="D123" s="234" t="s">
        <v>26</v>
      </c>
      <c r="E123" s="234" t="s">
        <v>110</v>
      </c>
    </row>
    <row r="124" spans="4:5" x14ac:dyDescent="0.2">
      <c r="D124" s="234" t="s">
        <v>26</v>
      </c>
      <c r="E124" s="234" t="s">
        <v>111</v>
      </c>
    </row>
    <row r="125" spans="4:5" x14ac:dyDescent="0.2">
      <c r="D125" s="234" t="s">
        <v>26</v>
      </c>
      <c r="E125" s="234" t="s">
        <v>112</v>
      </c>
    </row>
    <row r="126" spans="4:5" x14ac:dyDescent="0.2">
      <c r="D126" s="234" t="s">
        <v>29</v>
      </c>
      <c r="E126" s="234" t="s">
        <v>8</v>
      </c>
    </row>
    <row r="127" spans="4:5" x14ac:dyDescent="0.2">
      <c r="D127" s="234" t="s">
        <v>29</v>
      </c>
      <c r="E127" s="234" t="s">
        <v>125</v>
      </c>
    </row>
    <row r="128" spans="4:5" x14ac:dyDescent="0.2">
      <c r="D128" s="234" t="s">
        <v>29</v>
      </c>
      <c r="E128" s="234" t="s">
        <v>126</v>
      </c>
    </row>
    <row r="129" spans="4:5" x14ac:dyDescent="0.2">
      <c r="D129" s="234" t="s">
        <v>29</v>
      </c>
      <c r="E129" s="234" t="s">
        <v>96</v>
      </c>
    </row>
    <row r="130" spans="4:5" x14ac:dyDescent="0.2">
      <c r="D130" s="234" t="s">
        <v>29</v>
      </c>
      <c r="E130" s="234" t="s">
        <v>127</v>
      </c>
    </row>
    <row r="131" spans="4:5" x14ac:dyDescent="0.2">
      <c r="D131" s="234" t="s">
        <v>29</v>
      </c>
      <c r="E131" s="234" t="s">
        <v>128</v>
      </c>
    </row>
    <row r="132" spans="4:5" x14ac:dyDescent="0.2">
      <c r="D132" s="234" t="s">
        <v>29</v>
      </c>
      <c r="E132" s="234" t="s">
        <v>129</v>
      </c>
    </row>
    <row r="133" spans="4:5" x14ac:dyDescent="0.2">
      <c r="D133" s="234" t="s">
        <v>29</v>
      </c>
      <c r="E133" s="234" t="s">
        <v>130</v>
      </c>
    </row>
    <row r="134" spans="4:5" x14ac:dyDescent="0.2">
      <c r="D134" s="234" t="s">
        <v>29</v>
      </c>
      <c r="E134" s="234" t="s">
        <v>131</v>
      </c>
    </row>
    <row r="135" spans="4:5" x14ac:dyDescent="0.2">
      <c r="D135" s="234" t="s">
        <v>29</v>
      </c>
      <c r="E135" s="234" t="s">
        <v>132</v>
      </c>
    </row>
    <row r="136" spans="4:5" x14ac:dyDescent="0.2">
      <c r="D136" s="234" t="s">
        <v>29</v>
      </c>
      <c r="E136" s="234" t="s">
        <v>133</v>
      </c>
    </row>
    <row r="137" spans="4:5" x14ac:dyDescent="0.2">
      <c r="D137" s="234" t="s">
        <v>29</v>
      </c>
      <c r="E137" s="234" t="s">
        <v>97</v>
      </c>
    </row>
    <row r="138" spans="4:5" x14ac:dyDescent="0.2">
      <c r="D138" s="234" t="s">
        <v>29</v>
      </c>
      <c r="E138" s="234" t="s">
        <v>134</v>
      </c>
    </row>
    <row r="139" spans="4:5" x14ac:dyDescent="0.2">
      <c r="D139" s="234" t="s">
        <v>29</v>
      </c>
      <c r="E139" s="234" t="s">
        <v>135</v>
      </c>
    </row>
    <row r="140" spans="4:5" x14ac:dyDescent="0.2">
      <c r="D140" s="234" t="s">
        <v>29</v>
      </c>
      <c r="E140" s="234" t="s">
        <v>136</v>
      </c>
    </row>
    <row r="141" spans="4:5" x14ac:dyDescent="0.2">
      <c r="D141" s="234" t="s">
        <v>29</v>
      </c>
      <c r="E141" s="234" t="s">
        <v>137</v>
      </c>
    </row>
    <row r="142" spans="4:5" x14ac:dyDescent="0.2">
      <c r="D142" s="234" t="s">
        <v>29</v>
      </c>
      <c r="E142" s="234" t="s">
        <v>138</v>
      </c>
    </row>
    <row r="143" spans="4:5" x14ac:dyDescent="0.2">
      <c r="D143" s="234" t="s">
        <v>29</v>
      </c>
      <c r="E143" s="234" t="s">
        <v>139</v>
      </c>
    </row>
    <row r="144" spans="4:5" x14ac:dyDescent="0.2">
      <c r="D144" s="234" t="s">
        <v>29</v>
      </c>
      <c r="E144" s="234" t="s">
        <v>41</v>
      </c>
    </row>
    <row r="145" spans="4:5" x14ac:dyDescent="0.2">
      <c r="D145" s="234" t="s">
        <v>29</v>
      </c>
      <c r="E145" s="234" t="s">
        <v>140</v>
      </c>
    </row>
    <row r="146" spans="4:5" x14ac:dyDescent="0.2">
      <c r="D146" s="234" t="s">
        <v>29</v>
      </c>
      <c r="E146" s="234" t="s">
        <v>106</v>
      </c>
    </row>
    <row r="147" spans="4:5" x14ac:dyDescent="0.2">
      <c r="D147" s="234" t="s">
        <v>29</v>
      </c>
      <c r="E147" s="234" t="s">
        <v>107</v>
      </c>
    </row>
    <row r="148" spans="4:5" x14ac:dyDescent="0.2">
      <c r="D148" s="234" t="s">
        <v>29</v>
      </c>
      <c r="E148" s="234" t="s">
        <v>108</v>
      </c>
    </row>
    <row r="149" spans="4:5" x14ac:dyDescent="0.2">
      <c r="D149" s="234" t="s">
        <v>29</v>
      </c>
      <c r="E149" s="234" t="s">
        <v>109</v>
      </c>
    </row>
    <row r="150" spans="4:5" x14ac:dyDescent="0.2">
      <c r="D150" s="234" t="s">
        <v>29</v>
      </c>
      <c r="E150" s="234" t="s">
        <v>141</v>
      </c>
    </row>
    <row r="151" spans="4:5" x14ac:dyDescent="0.2">
      <c r="D151" s="234" t="s">
        <v>29</v>
      </c>
      <c r="E151" s="234" t="s">
        <v>142</v>
      </c>
    </row>
    <row r="152" spans="4:5" x14ac:dyDescent="0.2">
      <c r="D152" s="234" t="s">
        <v>29</v>
      </c>
      <c r="E152" s="234" t="s">
        <v>111</v>
      </c>
    </row>
    <row r="153" spans="4:5" x14ac:dyDescent="0.2">
      <c r="D153" s="234" t="s">
        <v>29</v>
      </c>
      <c r="E153" s="234" t="s">
        <v>112</v>
      </c>
    </row>
    <row r="154" spans="4:5" x14ac:dyDescent="0.2">
      <c r="D154" s="234" t="s">
        <v>31</v>
      </c>
      <c r="E154" s="234" t="s">
        <v>30</v>
      </c>
    </row>
    <row r="155" spans="4:5" x14ac:dyDescent="0.2">
      <c r="D155" s="234" t="s">
        <v>31</v>
      </c>
      <c r="E155" s="234" t="s">
        <v>143</v>
      </c>
    </row>
    <row r="156" spans="4:5" x14ac:dyDescent="0.2">
      <c r="D156" s="234" t="s">
        <v>31</v>
      </c>
      <c r="E156" s="234" t="s">
        <v>144</v>
      </c>
    </row>
    <row r="157" spans="4:5" x14ac:dyDescent="0.2">
      <c r="D157" s="234" t="s">
        <v>31</v>
      </c>
      <c r="E157" s="234" t="s">
        <v>145</v>
      </c>
    </row>
    <row r="158" spans="4:5" x14ac:dyDescent="0.2">
      <c r="D158" s="234" t="s">
        <v>31</v>
      </c>
      <c r="E158" s="234" t="s">
        <v>146</v>
      </c>
    </row>
    <row r="159" spans="4:5" x14ac:dyDescent="0.2">
      <c r="D159" s="234" t="s">
        <v>31</v>
      </c>
      <c r="E159" s="234" t="s">
        <v>147</v>
      </c>
    </row>
    <row r="160" spans="4:5" x14ac:dyDescent="0.2">
      <c r="D160" s="234" t="s">
        <v>31</v>
      </c>
      <c r="E160" s="234" t="s">
        <v>148</v>
      </c>
    </row>
    <row r="161" spans="4:5" x14ac:dyDescent="0.2">
      <c r="D161" s="234" t="s">
        <v>31</v>
      </c>
      <c r="E161" s="234" t="s">
        <v>149</v>
      </c>
    </row>
    <row r="162" spans="4:5" x14ac:dyDescent="0.2">
      <c r="D162" s="234" t="s">
        <v>31</v>
      </c>
      <c r="E162" s="234" t="s">
        <v>150</v>
      </c>
    </row>
    <row r="163" spans="4:5" x14ac:dyDescent="0.2">
      <c r="D163" s="234" t="s">
        <v>31</v>
      </c>
      <c r="E163" s="234" t="s">
        <v>83</v>
      </c>
    </row>
    <row r="164" spans="4:5" x14ac:dyDescent="0.2">
      <c r="D164" s="234" t="s">
        <v>31</v>
      </c>
      <c r="E164" s="234" t="s">
        <v>151</v>
      </c>
    </row>
    <row r="165" spans="4:5" x14ac:dyDescent="0.2">
      <c r="D165" s="234" t="s">
        <v>31</v>
      </c>
      <c r="E165" s="234" t="s">
        <v>152</v>
      </c>
    </row>
    <row r="166" spans="4:5" x14ac:dyDescent="0.2">
      <c r="D166" s="234" t="s">
        <v>31</v>
      </c>
      <c r="E166" s="234" t="s">
        <v>96</v>
      </c>
    </row>
    <row r="167" spans="4:5" x14ac:dyDescent="0.2">
      <c r="D167" s="234" t="s">
        <v>31</v>
      </c>
      <c r="E167" s="234" t="s">
        <v>97</v>
      </c>
    </row>
    <row r="168" spans="4:5" x14ac:dyDescent="0.2">
      <c r="D168" s="234" t="s">
        <v>31</v>
      </c>
      <c r="E168" s="234" t="s">
        <v>153</v>
      </c>
    </row>
    <row r="169" spans="4:5" x14ac:dyDescent="0.2">
      <c r="D169" s="234" t="s">
        <v>31</v>
      </c>
      <c r="E169" s="234" t="s">
        <v>154</v>
      </c>
    </row>
    <row r="170" spans="4:5" x14ac:dyDescent="0.2">
      <c r="D170" s="234" t="s">
        <v>31</v>
      </c>
      <c r="E170" s="234" t="s">
        <v>155</v>
      </c>
    </row>
    <row r="171" spans="4:5" x14ac:dyDescent="0.2">
      <c r="D171" s="234" t="s">
        <v>31</v>
      </c>
      <c r="E171" s="234" t="s">
        <v>156</v>
      </c>
    </row>
    <row r="172" spans="4:5" x14ac:dyDescent="0.2">
      <c r="D172" s="234" t="s">
        <v>31</v>
      </c>
      <c r="E172" s="234" t="s">
        <v>157</v>
      </c>
    </row>
    <row r="173" spans="4:5" x14ac:dyDescent="0.2">
      <c r="D173" s="234" t="s">
        <v>31</v>
      </c>
      <c r="E173" s="234" t="s">
        <v>158</v>
      </c>
    </row>
    <row r="174" spans="4:5" x14ac:dyDescent="0.2">
      <c r="D174" s="234" t="s">
        <v>31</v>
      </c>
      <c r="E174" s="234" t="s">
        <v>159</v>
      </c>
    </row>
    <row r="175" spans="4:5" x14ac:dyDescent="0.2">
      <c r="D175" s="234" t="s">
        <v>31</v>
      </c>
      <c r="E175" s="234" t="s">
        <v>160</v>
      </c>
    </row>
    <row r="176" spans="4:5" x14ac:dyDescent="0.2">
      <c r="D176" s="234" t="s">
        <v>31</v>
      </c>
      <c r="E176" s="234" t="s">
        <v>161</v>
      </c>
    </row>
    <row r="177" spans="4:5" x14ac:dyDescent="0.2">
      <c r="D177" s="234" t="s">
        <v>31</v>
      </c>
      <c r="E177" s="234" t="s">
        <v>36</v>
      </c>
    </row>
    <row r="178" spans="4:5" x14ac:dyDescent="0.2">
      <c r="D178" s="234" t="s">
        <v>31</v>
      </c>
      <c r="E178" s="234" t="s">
        <v>162</v>
      </c>
    </row>
    <row r="179" spans="4:5" x14ac:dyDescent="0.2">
      <c r="D179" s="234" t="s">
        <v>31</v>
      </c>
      <c r="E179" s="234" t="s">
        <v>163</v>
      </c>
    </row>
    <row r="180" spans="4:5" x14ac:dyDescent="0.2">
      <c r="D180" s="234" t="s">
        <v>31</v>
      </c>
      <c r="E180" s="234" t="s">
        <v>88</v>
      </c>
    </row>
    <row r="181" spans="4:5" x14ac:dyDescent="0.2">
      <c r="D181" s="234" t="s">
        <v>31</v>
      </c>
      <c r="E181" s="234" t="s">
        <v>164</v>
      </c>
    </row>
    <row r="182" spans="4:5" x14ac:dyDescent="0.2">
      <c r="D182" s="234" t="s">
        <v>31</v>
      </c>
      <c r="E182" s="234" t="s">
        <v>165</v>
      </c>
    </row>
    <row r="183" spans="4:5" x14ac:dyDescent="0.2">
      <c r="D183" s="234" t="s">
        <v>31</v>
      </c>
      <c r="E183" s="234" t="s">
        <v>166</v>
      </c>
    </row>
    <row r="184" spans="4:5" x14ac:dyDescent="0.2">
      <c r="D184" s="234" t="s">
        <v>31</v>
      </c>
      <c r="E184" s="234" t="s">
        <v>167</v>
      </c>
    </row>
    <row r="185" spans="4:5" x14ac:dyDescent="0.2">
      <c r="D185" s="234" t="s">
        <v>31</v>
      </c>
      <c r="E185" s="234" t="s">
        <v>168</v>
      </c>
    </row>
    <row r="186" spans="4:5" x14ac:dyDescent="0.2">
      <c r="D186" s="234" t="s">
        <v>31</v>
      </c>
      <c r="E186" s="234" t="s">
        <v>43</v>
      </c>
    </row>
    <row r="187" spans="4:5" x14ac:dyDescent="0.2">
      <c r="D187" s="234" t="s">
        <v>31</v>
      </c>
      <c r="E187" s="234" t="s">
        <v>169</v>
      </c>
    </row>
    <row r="188" spans="4:5" x14ac:dyDescent="0.2">
      <c r="D188" s="234" t="s">
        <v>31</v>
      </c>
      <c r="E188" s="234" t="s">
        <v>170</v>
      </c>
    </row>
    <row r="189" spans="4:5" x14ac:dyDescent="0.2">
      <c r="D189" s="234" t="s">
        <v>31</v>
      </c>
      <c r="E189" s="234" t="s">
        <v>112</v>
      </c>
    </row>
    <row r="190" spans="4:5" x14ac:dyDescent="0.2">
      <c r="D190" s="234" t="s">
        <v>33</v>
      </c>
      <c r="E190" s="234" t="s">
        <v>171</v>
      </c>
    </row>
    <row r="191" spans="4:5" x14ac:dyDescent="0.2">
      <c r="D191" s="234" t="s">
        <v>33</v>
      </c>
      <c r="E191" s="234" t="s">
        <v>172</v>
      </c>
    </row>
    <row r="192" spans="4:5" x14ac:dyDescent="0.2">
      <c r="D192" s="234" t="s">
        <v>33</v>
      </c>
      <c r="E192" s="234" t="s">
        <v>173</v>
      </c>
    </row>
    <row r="193" spans="4:5" x14ac:dyDescent="0.2">
      <c r="D193" s="234" t="s">
        <v>33</v>
      </c>
      <c r="E193" s="234" t="s">
        <v>174</v>
      </c>
    </row>
    <row r="194" spans="4:5" x14ac:dyDescent="0.2">
      <c r="D194" s="234" t="s">
        <v>33</v>
      </c>
      <c r="E194" s="234" t="s">
        <v>175</v>
      </c>
    </row>
    <row r="195" spans="4:5" x14ac:dyDescent="0.2">
      <c r="D195" s="234" t="s">
        <v>33</v>
      </c>
      <c r="E195" s="234" t="s">
        <v>176</v>
      </c>
    </row>
    <row r="196" spans="4:5" x14ac:dyDescent="0.2">
      <c r="D196" s="234" t="s">
        <v>33</v>
      </c>
      <c r="E196" s="234" t="s">
        <v>177</v>
      </c>
    </row>
    <row r="197" spans="4:5" x14ac:dyDescent="0.2">
      <c r="D197" s="234" t="s">
        <v>33</v>
      </c>
      <c r="E197" s="234" t="s">
        <v>178</v>
      </c>
    </row>
    <row r="198" spans="4:5" x14ac:dyDescent="0.2">
      <c r="D198" s="234" t="s">
        <v>33</v>
      </c>
      <c r="E198" s="234" t="s">
        <v>179</v>
      </c>
    </row>
    <row r="199" spans="4:5" x14ac:dyDescent="0.2">
      <c r="D199" s="234" t="s">
        <v>33</v>
      </c>
      <c r="E199" s="234" t="s">
        <v>180</v>
      </c>
    </row>
    <row r="200" spans="4:5" x14ac:dyDescent="0.2">
      <c r="D200" s="234" t="s">
        <v>33</v>
      </c>
      <c r="E200" s="234" t="s">
        <v>181</v>
      </c>
    </row>
    <row r="201" spans="4:5" x14ac:dyDescent="0.2">
      <c r="D201" s="234" t="s">
        <v>33</v>
      </c>
      <c r="E201" s="234" t="s">
        <v>36</v>
      </c>
    </row>
    <row r="202" spans="4:5" x14ac:dyDescent="0.2">
      <c r="D202" s="234" t="s">
        <v>33</v>
      </c>
      <c r="E202" s="234" t="s">
        <v>182</v>
      </c>
    </row>
    <row r="203" spans="4:5" x14ac:dyDescent="0.2">
      <c r="D203" s="234" t="s">
        <v>33</v>
      </c>
      <c r="E203" s="234" t="s">
        <v>183</v>
      </c>
    </row>
  </sheetData>
  <customSheetViews>
    <customSheetView guid="{40817DC6-4291-4A72-AC70-E8710064089B}" state="hidden">
      <selection activeCell="G8" sqref="G8"/>
      <pageMargins left="0" right="0" top="0" bottom="0" header="0" footer="0"/>
    </customSheetView>
    <customSheetView guid="{55B393C6-D96A-4245-BC73-FC5790070AA2}" state="hidden">
      <selection activeCell="G8" sqref="G8"/>
      <pageMargins left="0" right="0" top="0" bottom="0" header="0" footer="0"/>
    </customSheetView>
    <customSheetView guid="{C5333697-7BE7-4020-97A4-B735E526926D}" state="hidden">
      <selection activeCell="G8" sqref="G8"/>
      <pageMargins left="0" right="0" top="0" bottom="0" header="0" footer="0"/>
    </customSheetView>
    <customSheetView guid="{9C22FFE9-00CF-47D0-BD99-D84A00825140}" state="hidden">
      <selection activeCell="G8" sqref="G8"/>
      <pageMargins left="0" right="0" top="0" bottom="0" header="0" footer="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65"/>
  <sheetViews>
    <sheetView topLeftCell="A34" zoomScaleNormal="100" zoomScaleSheetLayoutView="100" workbookViewId="0">
      <selection activeCell="G45" sqref="G45:O49"/>
    </sheetView>
  </sheetViews>
  <sheetFormatPr defaultColWidth="9.140625" defaultRowHeight="12.75" outlineLevelCol="1" x14ac:dyDescent="0.2"/>
  <cols>
    <col min="1" max="1" width="1.85546875" style="3" customWidth="1"/>
    <col min="2" max="2" width="11.28515625" style="4" customWidth="1"/>
    <col min="3" max="3" width="9.42578125" style="3" bestFit="1" customWidth="1"/>
    <col min="4" max="4" width="10" style="3" customWidth="1"/>
    <col min="5" max="5" width="15.28515625" style="3" customWidth="1"/>
    <col min="6" max="6" width="10.28515625" style="3" bestFit="1" customWidth="1"/>
    <col min="7" max="7" width="9.42578125" style="3" bestFit="1" customWidth="1"/>
    <col min="8" max="8" width="9.28515625" style="3" customWidth="1"/>
    <col min="9" max="9" width="10.42578125" style="3" bestFit="1" customWidth="1"/>
    <col min="10" max="10" width="10.7109375" style="3" customWidth="1"/>
    <col min="11" max="11" width="11.42578125" style="118" bestFit="1" customWidth="1"/>
    <col min="12" max="12" width="10.28515625" style="3" customWidth="1"/>
    <col min="13" max="13" width="10.140625" style="3" customWidth="1"/>
    <col min="14" max="14" width="11.5703125" style="3" customWidth="1"/>
    <col min="15" max="15" width="12.28515625" style="3" customWidth="1"/>
    <col min="16" max="16" width="14.7109375" style="3" customWidth="1"/>
    <col min="17" max="17" width="4.5703125" style="128" customWidth="1"/>
    <col min="18" max="18" width="4.28515625" style="3" customWidth="1" outlineLevel="1"/>
    <col min="19" max="19" width="10.5703125" style="3" customWidth="1" outlineLevel="1"/>
    <col min="20" max="25" width="9.140625" style="3" customWidth="1" outlineLevel="1"/>
    <col min="26" max="26" width="12.28515625" style="3" customWidth="1" outlineLevel="1"/>
    <col min="27" max="28" width="9.140625" style="3" customWidth="1" outlineLevel="1"/>
    <col min="29" max="16384" width="9.140625" style="3"/>
  </cols>
  <sheetData>
    <row r="1" spans="2:28" ht="9.75" customHeight="1" x14ac:dyDescent="0.2"/>
    <row r="2" spans="2:28" ht="17.25" customHeight="1" x14ac:dyDescent="0.2">
      <c r="B2" s="152" t="s">
        <v>184</v>
      </c>
    </row>
    <row r="3" spans="2:28" ht="9.75" customHeight="1" thickBot="1" x14ac:dyDescent="0.25"/>
    <row r="4" spans="2:28" ht="18" customHeight="1" thickBot="1" x14ac:dyDescent="0.25">
      <c r="B4" s="167" t="s">
        <v>185</v>
      </c>
      <c r="C4" s="169">
        <f ca="1">SUM(C8:C38)</f>
        <v>0</v>
      </c>
      <c r="D4" s="169"/>
      <c r="E4" s="169">
        <f ca="1">SUM(E8:E38)</f>
        <v>47755.11299999999</v>
      </c>
      <c r="F4" s="169">
        <f t="shared" ref="F4:G4" ca="1" si="0">SUM(F8:F38)</f>
        <v>2525</v>
      </c>
      <c r="G4" s="169">
        <f t="shared" ca="1" si="0"/>
        <v>4472</v>
      </c>
      <c r="H4" s="169">
        <f>SUM(H8:H38)</f>
        <v>0</v>
      </c>
      <c r="I4" s="169">
        <f ca="1">SUM(I8:I38)</f>
        <v>68143.721966666664</v>
      </c>
      <c r="J4" s="171"/>
      <c r="K4" s="169">
        <f ca="1">SUM(K8:K38)</f>
        <v>204432.16589999996</v>
      </c>
      <c r="L4" s="173"/>
      <c r="M4" s="171"/>
      <c r="N4" s="171"/>
      <c r="O4" s="169">
        <f ca="1">SUM(O8:O38)</f>
        <v>8593.25</v>
      </c>
      <c r="P4" s="146">
        <f ca="1">SUM(P8:P38)</f>
        <v>0</v>
      </c>
      <c r="Q4" s="129"/>
      <c r="S4" s="147" t="s">
        <v>186</v>
      </c>
      <c r="U4" s="175">
        <v>50000</v>
      </c>
      <c r="V4" s="6"/>
      <c r="W4" s="6"/>
      <c r="X4" s="175">
        <f>U4*0.965</f>
        <v>48250</v>
      </c>
      <c r="Y4" s="6"/>
      <c r="Z4" s="6"/>
      <c r="AA4" s="6"/>
      <c r="AB4" s="6"/>
    </row>
    <row r="5" spans="2:28" ht="18" customHeight="1" thickBot="1" x14ac:dyDescent="0.25">
      <c r="B5" s="168" t="s">
        <v>187</v>
      </c>
      <c r="C5" s="170" t="str">
        <f ca="1">IFERROR((AVERAGEIF(C8:C38,"&lt;&gt;0")),"")</f>
        <v/>
      </c>
      <c r="D5" s="170"/>
      <c r="E5" s="170">
        <f t="shared" ref="E5:N5" ca="1" si="1">IFERROR((AVERAGEIF(E8:E38,"&lt;&gt;0")),"")</f>
        <v>1591.8370999999997</v>
      </c>
      <c r="F5" s="170">
        <f ca="1">IFERROR((AVERAGEIF(F8:F38,"&lt;&gt;0")),"")</f>
        <v>101</v>
      </c>
      <c r="G5" s="170">
        <f t="shared" ca="1" si="1"/>
        <v>154.20689655172413</v>
      </c>
      <c r="H5" s="170"/>
      <c r="I5" s="170">
        <f t="shared" ca="1" si="1"/>
        <v>2271.4573988888887</v>
      </c>
      <c r="J5" s="172">
        <f t="shared" ca="1" si="1"/>
        <v>1.3812473776024987</v>
      </c>
      <c r="K5" s="170">
        <f t="shared" ca="1" si="1"/>
        <v>6814.4055299999991</v>
      </c>
      <c r="L5" s="172">
        <f ca="1">IFERROR((AVERAGEIF(L8:L38,"&lt;&gt;0")),"")</f>
        <v>4.1437649561978187</v>
      </c>
      <c r="M5" s="172">
        <f t="shared" ca="1" si="1"/>
        <v>3.9054796957217119</v>
      </c>
      <c r="N5" s="170">
        <f t="shared" ca="1" si="1"/>
        <v>117.86215137672887</v>
      </c>
      <c r="O5" s="174"/>
      <c r="P5" s="145"/>
      <c r="S5" s="147" t="s">
        <v>188</v>
      </c>
      <c r="U5" s="149">
        <f>U4/C51</f>
        <v>1666.6666666666667</v>
      </c>
      <c r="X5" s="149">
        <f>X4/30</f>
        <v>1608.3333333333333</v>
      </c>
      <c r="AA5" s="148">
        <v>1.5</v>
      </c>
    </row>
    <row r="6" spans="2:28" ht="9.75" customHeight="1" x14ac:dyDescent="0.2"/>
    <row r="7" spans="2:28" s="120" customFormat="1" ht="39" customHeight="1" x14ac:dyDescent="0.2">
      <c r="B7" s="122" t="s">
        <v>189</v>
      </c>
      <c r="C7" s="122" t="s">
        <v>190</v>
      </c>
      <c r="D7" s="122" t="s">
        <v>191</v>
      </c>
      <c r="E7" s="122" t="s">
        <v>192</v>
      </c>
      <c r="F7" s="122" t="s">
        <v>193</v>
      </c>
      <c r="G7" s="122" t="s">
        <v>194</v>
      </c>
      <c r="H7" s="122" t="s">
        <v>195</v>
      </c>
      <c r="I7" s="122" t="s">
        <v>196</v>
      </c>
      <c r="J7" s="122" t="s">
        <v>197</v>
      </c>
      <c r="K7" s="123" t="s">
        <v>198</v>
      </c>
      <c r="L7" s="122" t="s">
        <v>199</v>
      </c>
      <c r="M7" s="122" t="s">
        <v>200</v>
      </c>
      <c r="N7" s="122" t="s">
        <v>201</v>
      </c>
      <c r="O7" s="122" t="s">
        <v>202</v>
      </c>
      <c r="P7" s="122" t="s">
        <v>203</v>
      </c>
      <c r="Q7" s="130"/>
      <c r="S7" s="122" t="s">
        <v>189</v>
      </c>
      <c r="T7" s="122" t="s">
        <v>190</v>
      </c>
      <c r="U7" s="122" t="s">
        <v>204</v>
      </c>
      <c r="V7" s="126" t="s">
        <v>205</v>
      </c>
      <c r="W7" s="122" t="s">
        <v>206</v>
      </c>
      <c r="X7" s="122" t="s">
        <v>204</v>
      </c>
      <c r="Y7" s="126" t="s">
        <v>205</v>
      </c>
      <c r="Z7" s="133" t="s">
        <v>207</v>
      </c>
      <c r="AA7" s="122" t="s">
        <v>204</v>
      </c>
      <c r="AB7" s="126" t="s">
        <v>205</v>
      </c>
    </row>
    <row r="8" spans="2:28" x14ac:dyDescent="0.2">
      <c r="B8" s="117">
        <v>1</v>
      </c>
      <c r="C8" s="121">
        <f ca="1">IF(ISERROR(INDIRECT("'"&amp;B8&amp;"'!H20")),"",(INDIRECT("'"&amp;B8&amp;"'!H20")))</f>
        <v>0</v>
      </c>
      <c r="D8" s="121"/>
      <c r="E8" s="121">
        <f ca="1">IF(ISERROR(INDIRECT("'"&amp;B8&amp;"'!K41")),"",(INDIRECT("'"&amp;B8&amp;"'!K41")))</f>
        <v>1656.79</v>
      </c>
      <c r="F8" s="121">
        <f ca="1">IF(ISERROR(INDIRECT("'"&amp;B8&amp;"'!K38")),"",(INDIRECT("'"&amp;B8&amp;"'!K38")))</f>
        <v>30</v>
      </c>
      <c r="G8" s="121">
        <f ca="1">IF(ISERROR(INDIRECT("'"&amp;B8&amp;"'!K39")-H8),"",(INDIRECT("'"&amp;B8&amp;"'!K39")-H8))</f>
        <v>75</v>
      </c>
      <c r="H8" s="121"/>
      <c r="I8" s="121">
        <f t="shared" ref="I8:I38" ca="1" si="2">IF(ISERROR(INDIRECT("'"&amp;B8&amp;"'!M58")),"",(INDIRECT("'"&amp;B8&amp;"'!M58")))</f>
        <v>2288.1236666666668</v>
      </c>
      <c r="J8" s="196">
        <f t="shared" ref="J8:J38" ca="1" si="3">IF(ISERROR(INDIRECT("'"&amp;B8&amp;"'!M59")),"",(INDIRECT("'"&amp;B8&amp;"'!M59")))</f>
        <v>1.4122302321083968</v>
      </c>
      <c r="K8" s="121">
        <f t="shared" ref="K8:K38" ca="1" si="4">IF(ISERROR(INDIRECT("'"&amp;B8&amp;"'!L58")),"",(INDIRECT("'"&amp;B8&amp;"'!L58")))</f>
        <v>6864.3710000000001</v>
      </c>
      <c r="L8" s="196">
        <f t="shared" ref="L8:L38" ca="1" si="5">IF(ISERROR(INDIRECT("'"&amp;B8&amp;"'!L59")),"",(INDIRECT("'"&amp;B8&amp;"'!L59")))</f>
        <v>4.2366906963251907</v>
      </c>
      <c r="M8" s="196">
        <f t="shared" ref="M8:M38" ca="1" si="6">IF(ISERROR(INDIRECT("'"&amp;B8&amp;"'!H59")),"",(INDIRECT("'"&amp;B8&amp;"'!H59")))</f>
        <v>0</v>
      </c>
      <c r="N8" s="196">
        <f t="shared" ref="N8:N38" ca="1" si="7">IF(ISERROR(INDIRECT("'"&amp;B8&amp;"'!C59")),"",(INDIRECT("'"&amp;B8&amp;"'!C59")))</f>
        <v>120.80458209378973</v>
      </c>
      <c r="O8" s="121">
        <f t="shared" ref="O8:O38" ca="1" si="8">IF(ISERROR(INDIRECT("'"&amp;B8&amp;"'!D54")),"",(INDIRECT("'"&amp;B8&amp;"'!D54")))</f>
        <v>339.75</v>
      </c>
      <c r="P8" s="121">
        <f t="shared" ref="P8:P38" ca="1" si="9">IF(ISERROR(INDIRECT("'"&amp;B8&amp;"'!J18")),"",(INDIRECT("'"&amp;B8&amp;"'!J18")))</f>
        <v>0</v>
      </c>
      <c r="Q8" s="131"/>
      <c r="S8" s="117">
        <v>1</v>
      </c>
      <c r="T8" s="121">
        <f t="shared" ref="T8:T38" ca="1" si="10">C8</f>
        <v>0</v>
      </c>
      <c r="U8" s="125">
        <f>$U$5</f>
        <v>1666.6666666666667</v>
      </c>
      <c r="V8" s="132">
        <f ca="1">IF(T8&lt;U8,T8,"")</f>
        <v>0</v>
      </c>
      <c r="W8" s="125">
        <f t="shared" ref="W8:W38" ca="1" si="11">E8</f>
        <v>1656.79</v>
      </c>
      <c r="X8" s="125">
        <f>$X$5</f>
        <v>1608.3333333333333</v>
      </c>
      <c r="Y8" s="132" t="str">
        <f ca="1">IF(W8&lt;X8,W8,"")</f>
        <v/>
      </c>
      <c r="Z8" s="127">
        <f ca="1">J8</f>
        <v>1.4122302321083968</v>
      </c>
      <c r="AA8" s="127">
        <f>$AA$5</f>
        <v>1.5</v>
      </c>
      <c r="AB8" s="150" t="str">
        <f t="shared" ref="AB8:AB38" ca="1" si="12">IF(Z8&gt;AA8,Z8,"")</f>
        <v/>
      </c>
    </row>
    <row r="9" spans="2:28" x14ac:dyDescent="0.2">
      <c r="B9" s="117">
        <v>2</v>
      </c>
      <c r="C9" s="121">
        <f t="shared" ref="C9:C38" ca="1" si="13">IF(ISERROR(INDIRECT("'"&amp;B9&amp;"'!H20")),"",(INDIRECT("'"&amp;B9&amp;"'!H20")))</f>
        <v>0</v>
      </c>
      <c r="D9" s="121"/>
      <c r="E9" s="121">
        <f t="shared" ref="E9:E38" ca="1" si="14">IF(ISERROR(INDIRECT("'"&amp;B9&amp;"'!K41")),"",(INDIRECT("'"&amp;B9&amp;"'!K41")))</f>
        <v>1723.92</v>
      </c>
      <c r="F9" s="121">
        <f t="shared" ref="F9:F38" ca="1" si="15">IF(ISERROR(INDIRECT("'"&amp;B9&amp;"'!K38")),"",(INDIRECT("'"&amp;B9&amp;"'!K38")))</f>
        <v>120</v>
      </c>
      <c r="G9" s="121">
        <f t="shared" ref="G9:G38" ca="1" si="16">IF(ISERROR(INDIRECT("'"&amp;B9&amp;"'!K39")-H9),"",(INDIRECT("'"&amp;B9&amp;"'!K39")-H9))</f>
        <v>105</v>
      </c>
      <c r="H9" s="121"/>
      <c r="I9" s="121">
        <f t="shared" ca="1" si="2"/>
        <v>2239</v>
      </c>
      <c r="J9" s="196">
        <f t="shared" ca="1" si="3"/>
        <v>1.5330471280186786</v>
      </c>
      <c r="K9" s="121">
        <f t="shared" ca="1" si="4"/>
        <v>6718</v>
      </c>
      <c r="L9" s="196">
        <f t="shared" ca="1" si="5"/>
        <v>4.599826085765736</v>
      </c>
      <c r="M9" s="196">
        <f t="shared" ca="1" si="6"/>
        <v>0</v>
      </c>
      <c r="N9" s="196">
        <f t="shared" ca="1" si="7"/>
        <v>133.564762511212</v>
      </c>
      <c r="O9" s="121">
        <f t="shared" ca="1" si="8"/>
        <v>358</v>
      </c>
      <c r="P9" s="121">
        <f t="shared" ca="1" si="9"/>
        <v>0</v>
      </c>
      <c r="Q9" s="131"/>
      <c r="S9" s="117">
        <v>2</v>
      </c>
      <c r="T9" s="121">
        <f t="shared" ca="1" si="10"/>
        <v>0</v>
      </c>
      <c r="U9" s="125">
        <f t="shared" ref="U9:U38" si="17">$U$5</f>
        <v>1666.6666666666667</v>
      </c>
      <c r="V9" s="132">
        <f t="shared" ref="V9:V38" ca="1" si="18">IF(T9&lt;U9,T9,"")</f>
        <v>0</v>
      </c>
      <c r="W9" s="125">
        <f t="shared" ca="1" si="11"/>
        <v>1723.92</v>
      </c>
      <c r="X9" s="125">
        <f t="shared" ref="X9:X38" si="19">$X$5</f>
        <v>1608.3333333333333</v>
      </c>
      <c r="Y9" s="132" t="str">
        <f t="shared" ref="Y9:Y38" ca="1" si="20">IF(W9&lt;X9,W9,"")</f>
        <v/>
      </c>
      <c r="Z9" s="127">
        <f t="shared" ref="Z9:Z38" ca="1" si="21">J9</f>
        <v>1.5330471280186786</v>
      </c>
      <c r="AA9" s="127">
        <f t="shared" ref="AA9:AA38" si="22">$AA$5</f>
        <v>1.5</v>
      </c>
      <c r="AB9" s="150">
        <f t="shared" ca="1" si="12"/>
        <v>1.5330471280186786</v>
      </c>
    </row>
    <row r="10" spans="2:28" x14ac:dyDescent="0.2">
      <c r="B10" s="117">
        <v>3</v>
      </c>
      <c r="C10" s="121">
        <f t="shared" ca="1" si="13"/>
        <v>0</v>
      </c>
      <c r="D10" s="121"/>
      <c r="E10" s="121">
        <f t="shared" ca="1" si="14"/>
        <v>1412.96</v>
      </c>
      <c r="F10" s="121">
        <f t="shared" ca="1" si="15"/>
        <v>120</v>
      </c>
      <c r="G10" s="121">
        <f t="shared" ca="1" si="16"/>
        <v>60</v>
      </c>
      <c r="H10" s="121"/>
      <c r="I10" s="121">
        <f t="shared" ca="1" si="2"/>
        <v>2205.3966666666665</v>
      </c>
      <c r="J10" s="196">
        <f t="shared" ca="1" si="3"/>
        <v>1.2966667058634462</v>
      </c>
      <c r="K10" s="121">
        <f t="shared" ca="1" si="4"/>
        <v>6616.19</v>
      </c>
      <c r="L10" s="196">
        <f t="shared" ca="1" si="5"/>
        <v>3.8900001175903385</v>
      </c>
      <c r="M10" s="196">
        <f t="shared" ca="1" si="6"/>
        <v>3.6941004927035195</v>
      </c>
      <c r="N10" s="196">
        <f t="shared" ca="1" si="7"/>
        <v>112.88672522665539</v>
      </c>
      <c r="O10" s="121">
        <f t="shared" ca="1" si="8"/>
        <v>378.25</v>
      </c>
      <c r="P10" s="121">
        <f t="shared" ca="1" si="9"/>
        <v>0</v>
      </c>
      <c r="Q10" s="131"/>
      <c r="S10" s="117">
        <v>3</v>
      </c>
      <c r="T10" s="121">
        <f t="shared" ca="1" si="10"/>
        <v>0</v>
      </c>
      <c r="U10" s="125">
        <f t="shared" si="17"/>
        <v>1666.6666666666667</v>
      </c>
      <c r="V10" s="132">
        <f t="shared" ca="1" si="18"/>
        <v>0</v>
      </c>
      <c r="W10" s="125">
        <f t="shared" ca="1" si="11"/>
        <v>1412.96</v>
      </c>
      <c r="X10" s="125">
        <f t="shared" si="19"/>
        <v>1608.3333333333333</v>
      </c>
      <c r="Y10" s="132">
        <f t="shared" ca="1" si="20"/>
        <v>1412.96</v>
      </c>
      <c r="Z10" s="127">
        <f t="shared" ca="1" si="21"/>
        <v>1.2966667058634462</v>
      </c>
      <c r="AA10" s="127">
        <f t="shared" si="22"/>
        <v>1.5</v>
      </c>
      <c r="AB10" s="150" t="str">
        <f t="shared" ca="1" si="12"/>
        <v/>
      </c>
    </row>
    <row r="11" spans="2:28" x14ac:dyDescent="0.2">
      <c r="B11" s="117">
        <v>4</v>
      </c>
      <c r="C11" s="121">
        <f t="shared" ca="1" si="13"/>
        <v>0</v>
      </c>
      <c r="D11" s="121"/>
      <c r="E11" s="121">
        <f t="shared" ca="1" si="14"/>
        <v>1812.09</v>
      </c>
      <c r="F11" s="121">
        <f t="shared" ca="1" si="15"/>
        <v>120</v>
      </c>
      <c r="G11" s="121">
        <f t="shared" ca="1" si="16"/>
        <v>135</v>
      </c>
      <c r="H11" s="121"/>
      <c r="I11" s="121">
        <f t="shared" ca="1" si="2"/>
        <v>2231.2166666666667</v>
      </c>
      <c r="J11" s="196">
        <f t="shared" ca="1" si="3"/>
        <v>1.3600004063553985</v>
      </c>
      <c r="K11" s="121">
        <f t="shared" ca="1" si="4"/>
        <v>6693.65</v>
      </c>
      <c r="L11" s="196">
        <f t="shared" ca="1" si="5"/>
        <v>4.0800012190661956</v>
      </c>
      <c r="M11" s="196">
        <f t="shared" ca="1" si="6"/>
        <v>0</v>
      </c>
      <c r="N11" s="196">
        <f t="shared" ca="1" si="7"/>
        <v>0</v>
      </c>
      <c r="O11" s="121">
        <f t="shared" ca="1" si="8"/>
        <v>0</v>
      </c>
      <c r="P11" s="121">
        <f t="shared" ca="1" si="9"/>
        <v>0</v>
      </c>
      <c r="Q11" s="131"/>
      <c r="S11" s="117">
        <v>4</v>
      </c>
      <c r="T11" s="121">
        <f t="shared" ca="1" si="10"/>
        <v>0</v>
      </c>
      <c r="U11" s="125">
        <f t="shared" si="17"/>
        <v>1666.6666666666667</v>
      </c>
      <c r="V11" s="132">
        <f t="shared" ca="1" si="18"/>
        <v>0</v>
      </c>
      <c r="W11" s="125">
        <f t="shared" ca="1" si="11"/>
        <v>1812.09</v>
      </c>
      <c r="X11" s="125">
        <f t="shared" si="19"/>
        <v>1608.3333333333333</v>
      </c>
      <c r="Y11" s="132" t="str">
        <f t="shared" ca="1" si="20"/>
        <v/>
      </c>
      <c r="Z11" s="127">
        <f t="shared" ca="1" si="21"/>
        <v>1.3600004063553985</v>
      </c>
      <c r="AA11" s="127">
        <f t="shared" si="22"/>
        <v>1.5</v>
      </c>
      <c r="AB11" s="150" t="str">
        <f t="shared" ca="1" si="12"/>
        <v/>
      </c>
    </row>
    <row r="12" spans="2:28" x14ac:dyDescent="0.2">
      <c r="B12" s="117">
        <v>5</v>
      </c>
      <c r="C12" s="121">
        <f t="shared" ca="1" si="13"/>
        <v>0</v>
      </c>
      <c r="D12" s="121"/>
      <c r="E12" s="121">
        <f t="shared" ca="1" si="14"/>
        <v>1608.87</v>
      </c>
      <c r="F12" s="121">
        <f t="shared" ca="1" si="15"/>
        <v>30</v>
      </c>
      <c r="G12" s="121">
        <f t="shared" ca="1" si="16"/>
        <v>90</v>
      </c>
      <c r="H12" s="121"/>
      <c r="I12" s="121">
        <f t="shared" ca="1" si="2"/>
        <v>2257.5</v>
      </c>
      <c r="J12" s="196">
        <f t="shared" ca="1" si="3"/>
        <v>1.29</v>
      </c>
      <c r="K12" s="121">
        <f t="shared" ca="1" si="4"/>
        <v>6772.5</v>
      </c>
      <c r="L12" s="196">
        <f t="shared" ca="1" si="5"/>
        <v>3.87</v>
      </c>
      <c r="M12" s="196">
        <f t="shared" ca="1" si="6"/>
        <v>3.9097142857142857</v>
      </c>
      <c r="N12" s="196">
        <f t="shared" ca="1" si="7"/>
        <v>110.24</v>
      </c>
      <c r="O12" s="121">
        <f t="shared" ca="1" si="8"/>
        <v>313</v>
      </c>
      <c r="P12" s="121">
        <f t="shared" ca="1" si="9"/>
        <v>0</v>
      </c>
      <c r="Q12" s="131"/>
      <c r="S12" s="117">
        <v>5</v>
      </c>
      <c r="T12" s="121">
        <f t="shared" ca="1" si="10"/>
        <v>0</v>
      </c>
      <c r="U12" s="125">
        <f t="shared" si="17"/>
        <v>1666.6666666666667</v>
      </c>
      <c r="V12" s="132">
        <f t="shared" ca="1" si="18"/>
        <v>0</v>
      </c>
      <c r="W12" s="125">
        <f t="shared" ca="1" si="11"/>
        <v>1608.87</v>
      </c>
      <c r="X12" s="125">
        <f t="shared" si="19"/>
        <v>1608.3333333333333</v>
      </c>
      <c r="Y12" s="132" t="str">
        <f t="shared" ca="1" si="20"/>
        <v/>
      </c>
      <c r="Z12" s="127">
        <f t="shared" ca="1" si="21"/>
        <v>1.29</v>
      </c>
      <c r="AA12" s="127">
        <f t="shared" si="22"/>
        <v>1.5</v>
      </c>
      <c r="AB12" s="150" t="str">
        <f t="shared" ca="1" si="12"/>
        <v/>
      </c>
    </row>
    <row r="13" spans="2:28" x14ac:dyDescent="0.2">
      <c r="B13" s="117">
        <v>6</v>
      </c>
      <c r="C13" s="121">
        <f t="shared" ca="1" si="13"/>
        <v>0</v>
      </c>
      <c r="D13" s="121"/>
      <c r="E13" s="121">
        <f t="shared" ca="1" si="14"/>
        <v>1693.76</v>
      </c>
      <c r="F13" s="121">
        <f t="shared" ca="1" si="15"/>
        <v>30</v>
      </c>
      <c r="G13" s="121">
        <f t="shared" ca="1" si="16"/>
        <v>180</v>
      </c>
      <c r="H13" s="121"/>
      <c r="I13" s="121">
        <f t="shared" ca="1" si="2"/>
        <v>2245.41</v>
      </c>
      <c r="J13" s="196">
        <f t="shared" ca="1" si="3"/>
        <v>1.5166667792420077</v>
      </c>
      <c r="K13" s="121">
        <f t="shared" ca="1" si="4"/>
        <v>6736.23</v>
      </c>
      <c r="L13" s="196">
        <f t="shared" ca="1" si="5"/>
        <v>4.550000337726023</v>
      </c>
      <c r="M13" s="196">
        <f t="shared" ca="1" si="6"/>
        <v>4.2458915629284899</v>
      </c>
      <c r="N13" s="196">
        <f t="shared" ca="1" si="7"/>
        <v>129.68679288613905</v>
      </c>
      <c r="O13" s="121">
        <f t="shared" ca="1" si="8"/>
        <v>367.5</v>
      </c>
      <c r="P13" s="121">
        <f t="shared" ca="1" si="9"/>
        <v>0</v>
      </c>
      <c r="Q13" s="131"/>
      <c r="S13" s="117">
        <v>6</v>
      </c>
      <c r="T13" s="121">
        <f t="shared" ca="1" si="10"/>
        <v>0</v>
      </c>
      <c r="U13" s="125">
        <f t="shared" si="17"/>
        <v>1666.6666666666667</v>
      </c>
      <c r="V13" s="132">
        <f t="shared" ca="1" si="18"/>
        <v>0</v>
      </c>
      <c r="W13" s="125">
        <f t="shared" ca="1" si="11"/>
        <v>1693.76</v>
      </c>
      <c r="X13" s="125">
        <f t="shared" si="19"/>
        <v>1608.3333333333333</v>
      </c>
      <c r="Y13" s="132" t="str">
        <f t="shared" ca="1" si="20"/>
        <v/>
      </c>
      <c r="Z13" s="127">
        <f t="shared" ca="1" si="21"/>
        <v>1.5166667792420077</v>
      </c>
      <c r="AA13" s="127">
        <f t="shared" si="22"/>
        <v>1.5</v>
      </c>
      <c r="AB13" s="150">
        <f t="shared" ca="1" si="12"/>
        <v>1.5166667792420077</v>
      </c>
    </row>
    <row r="14" spans="2:28" x14ac:dyDescent="0.2">
      <c r="B14" s="117">
        <v>7</v>
      </c>
      <c r="C14" s="121">
        <f t="shared" ca="1" si="13"/>
        <v>0</v>
      </c>
      <c r="D14" s="121"/>
      <c r="E14" s="121">
        <f t="shared" ca="1" si="14"/>
        <v>1343.24</v>
      </c>
      <c r="F14" s="121">
        <f t="shared" ca="1" si="15"/>
        <v>0</v>
      </c>
      <c r="G14" s="121">
        <f t="shared" ca="1" si="16"/>
        <v>0</v>
      </c>
      <c r="H14" s="121"/>
      <c r="I14" s="121">
        <f t="shared" ca="1" si="2"/>
        <v>2664.6180000000004</v>
      </c>
      <c r="J14" s="196">
        <f t="shared" ca="1" si="3"/>
        <v>1.5666666666666667</v>
      </c>
      <c r="K14" s="121">
        <f t="shared" ca="1" si="4"/>
        <v>7993.8540000000012</v>
      </c>
      <c r="L14" s="196">
        <f t="shared" ca="1" si="5"/>
        <v>4.7</v>
      </c>
      <c r="M14" s="196">
        <f t="shared" ca="1" si="6"/>
        <v>3.9275173151773846</v>
      </c>
      <c r="N14" s="196">
        <f t="shared" ca="1" si="7"/>
        <v>115.07390552792181</v>
      </c>
      <c r="O14" s="121">
        <f t="shared" ca="1" si="8"/>
        <v>458</v>
      </c>
      <c r="P14" s="121">
        <f t="shared" ca="1" si="9"/>
        <v>0</v>
      </c>
      <c r="Q14" s="131"/>
      <c r="S14" s="117">
        <v>7</v>
      </c>
      <c r="T14" s="121">
        <f t="shared" ca="1" si="10"/>
        <v>0</v>
      </c>
      <c r="U14" s="125">
        <f t="shared" si="17"/>
        <v>1666.6666666666667</v>
      </c>
      <c r="V14" s="132">
        <f t="shared" ca="1" si="18"/>
        <v>0</v>
      </c>
      <c r="W14" s="125">
        <f t="shared" ca="1" si="11"/>
        <v>1343.24</v>
      </c>
      <c r="X14" s="125">
        <f t="shared" si="19"/>
        <v>1608.3333333333333</v>
      </c>
      <c r="Y14" s="132">
        <f t="shared" ca="1" si="20"/>
        <v>1343.24</v>
      </c>
      <c r="Z14" s="127">
        <f t="shared" ca="1" si="21"/>
        <v>1.5666666666666667</v>
      </c>
      <c r="AA14" s="127">
        <f t="shared" si="22"/>
        <v>1.5</v>
      </c>
      <c r="AB14" s="150">
        <f t="shared" ca="1" si="12"/>
        <v>1.5666666666666667</v>
      </c>
    </row>
    <row r="15" spans="2:28" x14ac:dyDescent="0.2">
      <c r="B15" s="117">
        <v>8</v>
      </c>
      <c r="C15" s="121">
        <f t="shared" ca="1" si="13"/>
        <v>0</v>
      </c>
      <c r="D15" s="121"/>
      <c r="E15" s="121">
        <f t="shared" ca="1" si="14"/>
        <v>1159.7</v>
      </c>
      <c r="F15" s="121">
        <f t="shared" ca="1" si="15"/>
        <v>0</v>
      </c>
      <c r="G15" s="121">
        <f t="shared" ca="1" si="16"/>
        <v>120</v>
      </c>
      <c r="H15" s="121"/>
      <c r="I15" s="121">
        <f t="shared" ca="1" si="2"/>
        <v>2140.0914666666663</v>
      </c>
      <c r="J15" s="196">
        <f t="shared" ca="1" si="3"/>
        <v>1.8933333333333331</v>
      </c>
      <c r="K15" s="121">
        <f t="shared" ca="1" si="4"/>
        <v>6420.2743999999993</v>
      </c>
      <c r="L15" s="196">
        <f t="shared" ca="1" si="5"/>
        <v>5.68</v>
      </c>
      <c r="M15" s="196">
        <f t="shared" ca="1" si="6"/>
        <v>0</v>
      </c>
      <c r="N15" s="196">
        <f t="shared" ca="1" si="7"/>
        <v>163.59824122159017</v>
      </c>
      <c r="O15" s="121">
        <f t="shared" ca="1" si="8"/>
        <v>344.5</v>
      </c>
      <c r="P15" s="121">
        <f t="shared" ca="1" si="9"/>
        <v>0</v>
      </c>
      <c r="Q15" s="131"/>
      <c r="S15" s="117">
        <v>8</v>
      </c>
      <c r="T15" s="121">
        <f t="shared" ca="1" si="10"/>
        <v>0</v>
      </c>
      <c r="U15" s="125">
        <f t="shared" si="17"/>
        <v>1666.6666666666667</v>
      </c>
      <c r="V15" s="132">
        <f t="shared" ca="1" si="18"/>
        <v>0</v>
      </c>
      <c r="W15" s="125">
        <f t="shared" ca="1" si="11"/>
        <v>1159.7</v>
      </c>
      <c r="X15" s="125">
        <f t="shared" si="19"/>
        <v>1608.3333333333333</v>
      </c>
      <c r="Y15" s="132">
        <f t="shared" ca="1" si="20"/>
        <v>1159.7</v>
      </c>
      <c r="Z15" s="127">
        <f t="shared" ca="1" si="21"/>
        <v>1.8933333333333331</v>
      </c>
      <c r="AA15" s="127">
        <f t="shared" si="22"/>
        <v>1.5</v>
      </c>
      <c r="AB15" s="150">
        <f t="shared" ca="1" si="12"/>
        <v>1.8933333333333331</v>
      </c>
    </row>
    <row r="16" spans="2:28" x14ac:dyDescent="0.2">
      <c r="B16" s="117">
        <v>9</v>
      </c>
      <c r="C16" s="121">
        <f t="shared" ca="1" si="13"/>
        <v>0</v>
      </c>
      <c r="D16" s="121"/>
      <c r="E16" s="121">
        <f t="shared" ca="1" si="14"/>
        <v>1796.94</v>
      </c>
      <c r="F16" s="121">
        <f t="shared" ca="1" si="15"/>
        <v>5</v>
      </c>
      <c r="G16" s="121">
        <f t="shared" ca="1" si="16"/>
        <v>210</v>
      </c>
      <c r="H16" s="121"/>
      <c r="I16" s="121">
        <f t="shared" ca="1" si="2"/>
        <v>2363.5161666666668</v>
      </c>
      <c r="J16" s="196">
        <f t="shared" ca="1" si="3"/>
        <v>1.4233333333333333</v>
      </c>
      <c r="K16" s="121">
        <f t="shared" ca="1" si="4"/>
        <v>7090.5484999999999</v>
      </c>
      <c r="L16" s="196">
        <f t="shared" ca="1" si="5"/>
        <v>4.2699999999999996</v>
      </c>
      <c r="M16" s="196">
        <f t="shared" ca="1" si="6"/>
        <v>0</v>
      </c>
      <c r="N16" s="196">
        <f t="shared" ca="1" si="7"/>
        <v>116.50959019601937</v>
      </c>
      <c r="O16" s="121">
        <f t="shared" ca="1" si="8"/>
        <v>267.5</v>
      </c>
      <c r="P16" s="121">
        <f t="shared" ca="1" si="9"/>
        <v>0</v>
      </c>
      <c r="Q16" s="131"/>
      <c r="S16" s="117">
        <v>9</v>
      </c>
      <c r="T16" s="121">
        <f t="shared" ca="1" si="10"/>
        <v>0</v>
      </c>
      <c r="U16" s="125">
        <f t="shared" si="17"/>
        <v>1666.6666666666667</v>
      </c>
      <c r="V16" s="132">
        <f t="shared" ca="1" si="18"/>
        <v>0</v>
      </c>
      <c r="W16" s="125">
        <f t="shared" ca="1" si="11"/>
        <v>1796.94</v>
      </c>
      <c r="X16" s="125">
        <f t="shared" si="19"/>
        <v>1608.3333333333333</v>
      </c>
      <c r="Y16" s="132" t="str">
        <f t="shared" ca="1" si="20"/>
        <v/>
      </c>
      <c r="Z16" s="127">
        <f t="shared" ca="1" si="21"/>
        <v>1.4233333333333333</v>
      </c>
      <c r="AA16" s="127">
        <f t="shared" si="22"/>
        <v>1.5</v>
      </c>
      <c r="AB16" s="150" t="str">
        <f t="shared" ca="1" si="12"/>
        <v/>
      </c>
    </row>
    <row r="17" spans="2:28" x14ac:dyDescent="0.2">
      <c r="B17" s="117">
        <v>10</v>
      </c>
      <c r="C17" s="121">
        <f t="shared" ca="1" si="13"/>
        <v>0</v>
      </c>
      <c r="D17" s="121"/>
      <c r="E17" s="121">
        <f t="shared" ca="1" si="14"/>
        <v>1561.9099999999999</v>
      </c>
      <c r="F17" s="121">
        <f t="shared" ca="1" si="15"/>
        <v>120</v>
      </c>
      <c r="G17" s="121">
        <f t="shared" ca="1" si="16"/>
        <v>165</v>
      </c>
      <c r="H17" s="121"/>
      <c r="I17" s="121">
        <f t="shared" ca="1" si="2"/>
        <v>2271.0333333333333</v>
      </c>
      <c r="J17" s="196">
        <f t="shared" ca="1" si="3"/>
        <v>1.2900007005625327</v>
      </c>
      <c r="K17" s="121">
        <f t="shared" ca="1" si="4"/>
        <v>6813.1</v>
      </c>
      <c r="L17" s="196">
        <f t="shared" ca="1" si="5"/>
        <v>3.8700021016875987</v>
      </c>
      <c r="M17" s="196">
        <f t="shared" ca="1" si="6"/>
        <v>3.6381916398275478</v>
      </c>
      <c r="N17" s="196">
        <f t="shared" ca="1" si="7"/>
        <v>108.24259155121585</v>
      </c>
      <c r="O17" s="121">
        <f t="shared" ca="1" si="8"/>
        <v>492.5</v>
      </c>
      <c r="P17" s="121">
        <f t="shared" ca="1" si="9"/>
        <v>0</v>
      </c>
      <c r="Q17" s="131"/>
      <c r="S17" s="117">
        <v>10</v>
      </c>
      <c r="T17" s="121">
        <f t="shared" ca="1" si="10"/>
        <v>0</v>
      </c>
      <c r="U17" s="125">
        <f t="shared" si="17"/>
        <v>1666.6666666666667</v>
      </c>
      <c r="V17" s="132">
        <f t="shared" ca="1" si="18"/>
        <v>0</v>
      </c>
      <c r="W17" s="125">
        <f t="shared" ca="1" si="11"/>
        <v>1561.9099999999999</v>
      </c>
      <c r="X17" s="125">
        <f t="shared" si="19"/>
        <v>1608.3333333333333</v>
      </c>
      <c r="Y17" s="132">
        <f t="shared" ca="1" si="20"/>
        <v>1561.9099999999999</v>
      </c>
      <c r="Z17" s="127">
        <f t="shared" ca="1" si="21"/>
        <v>1.2900007005625327</v>
      </c>
      <c r="AA17" s="127">
        <f t="shared" si="22"/>
        <v>1.5</v>
      </c>
      <c r="AB17" s="150" t="str">
        <f t="shared" ca="1" si="12"/>
        <v/>
      </c>
    </row>
    <row r="18" spans="2:28" x14ac:dyDescent="0.2">
      <c r="B18" s="117">
        <v>11</v>
      </c>
      <c r="C18" s="121">
        <f t="shared" ca="1" si="13"/>
        <v>0</v>
      </c>
      <c r="D18" s="121"/>
      <c r="E18" s="121">
        <f t="shared" ca="1" si="14"/>
        <v>1734.5899999999997</v>
      </c>
      <c r="F18" s="121">
        <f t="shared" ca="1" si="15"/>
        <v>120</v>
      </c>
      <c r="G18" s="121">
        <f t="shared" ca="1" si="16"/>
        <v>210</v>
      </c>
      <c r="H18" s="121"/>
      <c r="I18" s="121">
        <f t="shared" ca="1" si="2"/>
        <v>2275.4</v>
      </c>
      <c r="J18" s="196">
        <f t="shared" ca="1" si="3"/>
        <v>1.2996196068128076</v>
      </c>
      <c r="K18" s="121">
        <f t="shared" ca="1" si="4"/>
        <v>6826.2</v>
      </c>
      <c r="L18" s="196">
        <f t="shared" ca="1" si="5"/>
        <v>3.8988588204384227</v>
      </c>
      <c r="M18" s="196">
        <f t="shared" ca="1" si="6"/>
        <v>3.8033607109811398</v>
      </c>
      <c r="N18" s="196">
        <f t="shared" ca="1" si="7"/>
        <v>109.85709553237911</v>
      </c>
      <c r="O18" s="121">
        <f t="shared" ca="1" si="8"/>
        <v>284</v>
      </c>
      <c r="P18" s="121">
        <f t="shared" ca="1" si="9"/>
        <v>0</v>
      </c>
      <c r="Q18" s="131"/>
      <c r="S18" s="117">
        <v>11</v>
      </c>
      <c r="T18" s="121">
        <f t="shared" ca="1" si="10"/>
        <v>0</v>
      </c>
      <c r="U18" s="125">
        <f t="shared" si="17"/>
        <v>1666.6666666666667</v>
      </c>
      <c r="V18" s="132">
        <f t="shared" ca="1" si="18"/>
        <v>0</v>
      </c>
      <c r="W18" s="125">
        <f t="shared" ca="1" si="11"/>
        <v>1734.5899999999997</v>
      </c>
      <c r="X18" s="125">
        <f t="shared" si="19"/>
        <v>1608.3333333333333</v>
      </c>
      <c r="Y18" s="132" t="str">
        <f t="shared" ca="1" si="20"/>
        <v/>
      </c>
      <c r="Z18" s="127">
        <f t="shared" ca="1" si="21"/>
        <v>1.2996196068128076</v>
      </c>
      <c r="AA18" s="127">
        <f t="shared" si="22"/>
        <v>1.5</v>
      </c>
      <c r="AB18" s="150" t="str">
        <f t="shared" ca="1" si="12"/>
        <v/>
      </c>
    </row>
    <row r="19" spans="2:28" x14ac:dyDescent="0.2">
      <c r="B19" s="117">
        <v>12</v>
      </c>
      <c r="C19" s="121">
        <f t="shared" ca="1" si="13"/>
        <v>0</v>
      </c>
      <c r="D19" s="121"/>
      <c r="E19" s="121">
        <f t="shared" ca="1" si="14"/>
        <v>1520.96</v>
      </c>
      <c r="F19" s="121">
        <f t="shared" ca="1" si="15"/>
        <v>60</v>
      </c>
      <c r="G19" s="121">
        <f t="shared" ca="1" si="16"/>
        <v>180</v>
      </c>
      <c r="H19" s="121"/>
      <c r="I19" s="121">
        <f t="shared" ca="1" si="2"/>
        <v>2333.3333333333335</v>
      </c>
      <c r="J19" s="196">
        <f t="shared" ca="1" si="3"/>
        <v>1.4397959603439057</v>
      </c>
      <c r="K19" s="121">
        <f t="shared" ca="1" si="4"/>
        <v>7000</v>
      </c>
      <c r="L19" s="196">
        <f t="shared" ca="1" si="5"/>
        <v>4.3193878810317168</v>
      </c>
      <c r="M19" s="196">
        <f t="shared" ca="1" si="6"/>
        <v>3.8016783907194869</v>
      </c>
      <c r="N19" s="196">
        <f t="shared" ca="1" si="7"/>
        <v>117.87609527335556</v>
      </c>
      <c r="O19" s="121">
        <f t="shared" ca="1" si="8"/>
        <v>262</v>
      </c>
      <c r="P19" s="121">
        <f t="shared" ca="1" si="9"/>
        <v>0</v>
      </c>
      <c r="Q19" s="131"/>
      <c r="S19" s="117">
        <v>12</v>
      </c>
      <c r="T19" s="121">
        <f t="shared" ca="1" si="10"/>
        <v>0</v>
      </c>
      <c r="U19" s="125">
        <f t="shared" si="17"/>
        <v>1666.6666666666667</v>
      </c>
      <c r="V19" s="132">
        <f t="shared" ca="1" si="18"/>
        <v>0</v>
      </c>
      <c r="W19" s="125">
        <f t="shared" ca="1" si="11"/>
        <v>1520.96</v>
      </c>
      <c r="X19" s="125">
        <f t="shared" si="19"/>
        <v>1608.3333333333333</v>
      </c>
      <c r="Y19" s="132">
        <f t="shared" ca="1" si="20"/>
        <v>1520.96</v>
      </c>
      <c r="Z19" s="127">
        <f t="shared" ca="1" si="21"/>
        <v>1.4397959603439057</v>
      </c>
      <c r="AA19" s="127">
        <f t="shared" si="22"/>
        <v>1.5</v>
      </c>
      <c r="AB19" s="150" t="str">
        <f t="shared" ca="1" si="12"/>
        <v/>
      </c>
    </row>
    <row r="20" spans="2:28" x14ac:dyDescent="0.2">
      <c r="B20" s="117">
        <v>13</v>
      </c>
      <c r="C20" s="121">
        <f t="shared" ca="1" si="13"/>
        <v>0</v>
      </c>
      <c r="D20" s="121"/>
      <c r="E20" s="121">
        <f t="shared" ca="1" si="14"/>
        <v>1555.2</v>
      </c>
      <c r="F20" s="121">
        <f t="shared" ca="1" si="15"/>
        <v>0</v>
      </c>
      <c r="G20" s="121">
        <f t="shared" ca="1" si="16"/>
        <v>150</v>
      </c>
      <c r="H20" s="121"/>
      <c r="I20" s="121">
        <f t="shared" ca="1" si="2"/>
        <v>2170.6833333333334</v>
      </c>
      <c r="J20" s="196">
        <f t="shared" ca="1" si="3"/>
        <v>1.2400007616653814</v>
      </c>
      <c r="K20" s="121">
        <f t="shared" ca="1" si="4"/>
        <v>6512.05</v>
      </c>
      <c r="L20" s="196">
        <f t="shared" ca="1" si="5"/>
        <v>3.720002284996144</v>
      </c>
      <c r="M20" s="196">
        <f t="shared" ca="1" si="6"/>
        <v>3.5645939847476509</v>
      </c>
      <c r="N20" s="196">
        <f t="shared" ca="1" si="7"/>
        <v>109.65696495387164</v>
      </c>
      <c r="O20" s="121">
        <f t="shared" ca="1" si="8"/>
        <v>490.5</v>
      </c>
      <c r="P20" s="121">
        <f t="shared" ca="1" si="9"/>
        <v>0</v>
      </c>
      <c r="Q20" s="131"/>
      <c r="S20" s="117">
        <v>13</v>
      </c>
      <c r="T20" s="121">
        <f t="shared" ca="1" si="10"/>
        <v>0</v>
      </c>
      <c r="U20" s="125">
        <f t="shared" si="17"/>
        <v>1666.6666666666667</v>
      </c>
      <c r="V20" s="132">
        <f t="shared" ca="1" si="18"/>
        <v>0</v>
      </c>
      <c r="W20" s="125">
        <f t="shared" ca="1" si="11"/>
        <v>1555.2</v>
      </c>
      <c r="X20" s="125">
        <f t="shared" si="19"/>
        <v>1608.3333333333333</v>
      </c>
      <c r="Y20" s="132">
        <f t="shared" ca="1" si="20"/>
        <v>1555.2</v>
      </c>
      <c r="Z20" s="127">
        <f t="shared" ca="1" si="21"/>
        <v>1.2400007616653814</v>
      </c>
      <c r="AA20" s="127">
        <f t="shared" si="22"/>
        <v>1.5</v>
      </c>
      <c r="AB20" s="150" t="str">
        <f t="shared" ca="1" si="12"/>
        <v/>
      </c>
    </row>
    <row r="21" spans="2:28" x14ac:dyDescent="0.2">
      <c r="B21" s="117">
        <v>14</v>
      </c>
      <c r="C21" s="121">
        <f t="shared" ca="1" si="13"/>
        <v>0</v>
      </c>
      <c r="D21" s="121"/>
      <c r="E21" s="121">
        <f t="shared" ca="1" si="14"/>
        <v>1755.01</v>
      </c>
      <c r="F21" s="121">
        <f t="shared" ca="1" si="15"/>
        <v>120</v>
      </c>
      <c r="G21" s="121">
        <f t="shared" ca="1" si="16"/>
        <v>195</v>
      </c>
      <c r="H21" s="121"/>
      <c r="I21" s="121">
        <f t="shared" ca="1" si="2"/>
        <v>2274.9533333333334</v>
      </c>
      <c r="J21" s="196">
        <f t="shared" ca="1" si="3"/>
        <v>1.3300009548920679</v>
      </c>
      <c r="K21" s="121">
        <f t="shared" ca="1" si="4"/>
        <v>6824.86</v>
      </c>
      <c r="L21" s="196">
        <f t="shared" ca="1" si="5"/>
        <v>3.9900028646762036</v>
      </c>
      <c r="M21" s="196">
        <f t="shared" ca="1" si="6"/>
        <v>3.6328771287759647</v>
      </c>
      <c r="N21" s="196">
        <f t="shared" ca="1" si="7"/>
        <v>111.88606773497652</v>
      </c>
      <c r="O21" s="121">
        <f t="shared" ca="1" si="8"/>
        <v>286</v>
      </c>
      <c r="P21" s="121">
        <f t="shared" ca="1" si="9"/>
        <v>0</v>
      </c>
      <c r="Q21" s="131"/>
      <c r="S21" s="117">
        <v>14</v>
      </c>
      <c r="T21" s="121">
        <f t="shared" ca="1" si="10"/>
        <v>0</v>
      </c>
      <c r="U21" s="125">
        <f t="shared" si="17"/>
        <v>1666.6666666666667</v>
      </c>
      <c r="V21" s="132">
        <f t="shared" ca="1" si="18"/>
        <v>0</v>
      </c>
      <c r="W21" s="125">
        <f t="shared" ca="1" si="11"/>
        <v>1755.01</v>
      </c>
      <c r="X21" s="125">
        <f t="shared" si="19"/>
        <v>1608.3333333333333</v>
      </c>
      <c r="Y21" s="132" t="str">
        <f t="shared" ca="1" si="20"/>
        <v/>
      </c>
      <c r="Z21" s="127">
        <f t="shared" ca="1" si="21"/>
        <v>1.3300009548920679</v>
      </c>
      <c r="AA21" s="127">
        <f t="shared" si="22"/>
        <v>1.5</v>
      </c>
      <c r="AB21" s="150" t="str">
        <f t="shared" ca="1" si="12"/>
        <v/>
      </c>
    </row>
    <row r="22" spans="2:28" x14ac:dyDescent="0.2">
      <c r="B22" s="117">
        <v>15</v>
      </c>
      <c r="C22" s="121">
        <f t="shared" ca="1" si="13"/>
        <v>0</v>
      </c>
      <c r="D22" s="121"/>
      <c r="E22" s="121">
        <f t="shared" ca="1" si="14"/>
        <v>1666.61</v>
      </c>
      <c r="F22" s="121">
        <f t="shared" ca="1" si="15"/>
        <v>120</v>
      </c>
      <c r="G22" s="121">
        <f t="shared" ca="1" si="16"/>
        <v>150</v>
      </c>
      <c r="H22" s="121"/>
      <c r="I22" s="121">
        <f t="shared" ca="1" si="2"/>
        <v>2291.5166666666669</v>
      </c>
      <c r="J22" s="196">
        <f t="shared" ca="1" si="3"/>
        <v>1.3633325797329083</v>
      </c>
      <c r="K22" s="121">
        <f t="shared" ca="1" si="4"/>
        <v>6874.55</v>
      </c>
      <c r="L22" s="196">
        <f t="shared" ca="1" si="5"/>
        <v>4.0899977391987248</v>
      </c>
      <c r="M22" s="196">
        <f t="shared" ca="1" si="6"/>
        <v>0</v>
      </c>
      <c r="N22" s="196">
        <f t="shared" ca="1" si="7"/>
        <v>0</v>
      </c>
      <c r="O22" s="121">
        <f t="shared" ca="1" si="8"/>
        <v>224</v>
      </c>
      <c r="P22" s="121">
        <f t="shared" ca="1" si="9"/>
        <v>0</v>
      </c>
      <c r="Q22" s="131"/>
      <c r="S22" s="117">
        <v>15</v>
      </c>
      <c r="T22" s="121">
        <f t="shared" ca="1" si="10"/>
        <v>0</v>
      </c>
      <c r="U22" s="125">
        <f t="shared" si="17"/>
        <v>1666.6666666666667</v>
      </c>
      <c r="V22" s="132">
        <f t="shared" ca="1" si="18"/>
        <v>0</v>
      </c>
      <c r="W22" s="125">
        <f t="shared" ca="1" si="11"/>
        <v>1666.61</v>
      </c>
      <c r="X22" s="125">
        <f t="shared" si="19"/>
        <v>1608.3333333333333</v>
      </c>
      <c r="Y22" s="132" t="str">
        <f t="shared" ca="1" si="20"/>
        <v/>
      </c>
      <c r="Z22" s="127">
        <f t="shared" ca="1" si="21"/>
        <v>1.3633325797329083</v>
      </c>
      <c r="AA22" s="127">
        <f t="shared" si="22"/>
        <v>1.5</v>
      </c>
      <c r="AB22" s="150" t="str">
        <f t="shared" ca="1" si="12"/>
        <v/>
      </c>
    </row>
    <row r="23" spans="2:28" x14ac:dyDescent="0.2">
      <c r="B23" s="117">
        <v>16</v>
      </c>
      <c r="C23" s="121">
        <f t="shared" ca="1" si="13"/>
        <v>0</v>
      </c>
      <c r="D23" s="121"/>
      <c r="E23" s="121">
        <f t="shared" ca="1" si="14"/>
        <v>1684.94</v>
      </c>
      <c r="F23" s="121">
        <f t="shared" ca="1" si="15"/>
        <v>120</v>
      </c>
      <c r="G23" s="121">
        <f t="shared" ca="1" si="16"/>
        <v>180</v>
      </c>
      <c r="H23" s="121"/>
      <c r="I23" s="121">
        <f t="shared" ca="1" si="2"/>
        <v>2252.88</v>
      </c>
      <c r="J23" s="196">
        <f t="shared" ca="1" si="3"/>
        <v>1.3566662652053476</v>
      </c>
      <c r="K23" s="121">
        <f t="shared" ca="1" si="4"/>
        <v>6758.64</v>
      </c>
      <c r="L23" s="196">
        <f t="shared" ca="1" si="5"/>
        <v>4.0699987956160424</v>
      </c>
      <c r="M23" s="196">
        <f t="shared" ca="1" si="6"/>
        <v>0</v>
      </c>
      <c r="N23" s="196">
        <f t="shared" ca="1" si="7"/>
        <v>0</v>
      </c>
      <c r="O23" s="121">
        <f t="shared" ca="1" si="8"/>
        <v>149.75</v>
      </c>
      <c r="P23" s="121">
        <f t="shared" ca="1" si="9"/>
        <v>0</v>
      </c>
      <c r="Q23" s="131"/>
      <c r="S23" s="117">
        <v>16</v>
      </c>
      <c r="T23" s="121">
        <f t="shared" ca="1" si="10"/>
        <v>0</v>
      </c>
      <c r="U23" s="125">
        <f t="shared" si="17"/>
        <v>1666.6666666666667</v>
      </c>
      <c r="V23" s="132">
        <f t="shared" ca="1" si="18"/>
        <v>0</v>
      </c>
      <c r="W23" s="125">
        <f t="shared" ca="1" si="11"/>
        <v>1684.94</v>
      </c>
      <c r="X23" s="125">
        <f t="shared" si="19"/>
        <v>1608.3333333333333</v>
      </c>
      <c r="Y23" s="132" t="str">
        <f t="shared" ca="1" si="20"/>
        <v/>
      </c>
      <c r="Z23" s="127">
        <f t="shared" ca="1" si="21"/>
        <v>1.3566662652053476</v>
      </c>
      <c r="AA23" s="127">
        <f t="shared" si="22"/>
        <v>1.5</v>
      </c>
      <c r="AB23" s="150" t="str">
        <f t="shared" ca="1" si="12"/>
        <v/>
      </c>
    </row>
    <row r="24" spans="2:28" x14ac:dyDescent="0.2">
      <c r="B24" s="117">
        <v>17</v>
      </c>
      <c r="C24" s="121">
        <f t="shared" ca="1" si="13"/>
        <v>0</v>
      </c>
      <c r="D24" s="121"/>
      <c r="E24" s="121">
        <f t="shared" ca="1" si="14"/>
        <v>1474.7249999999999</v>
      </c>
      <c r="F24" s="121">
        <f t="shared" ca="1" si="15"/>
        <v>90</v>
      </c>
      <c r="G24" s="121">
        <f t="shared" ca="1" si="16"/>
        <v>195</v>
      </c>
      <c r="H24" s="121"/>
      <c r="I24" s="121">
        <f t="shared" ca="1" si="2"/>
        <v>2246.5233333333331</v>
      </c>
      <c r="J24" s="196">
        <f t="shared" ca="1" si="3"/>
        <v>1.3133339179406232</v>
      </c>
      <c r="K24" s="121">
        <f t="shared" ca="1" si="4"/>
        <v>6739.57</v>
      </c>
      <c r="L24" s="196">
        <f t="shared" ca="1" si="5"/>
        <v>3.9400017538218695</v>
      </c>
      <c r="M24" s="196">
        <f t="shared" ca="1" si="6"/>
        <v>0</v>
      </c>
      <c r="N24" s="196">
        <f t="shared" ca="1" si="7"/>
        <v>0</v>
      </c>
      <c r="O24" s="121">
        <f t="shared" ca="1" si="8"/>
        <v>204</v>
      </c>
      <c r="P24" s="121">
        <f t="shared" ca="1" si="9"/>
        <v>0</v>
      </c>
      <c r="Q24" s="131"/>
      <c r="S24" s="117">
        <v>17</v>
      </c>
      <c r="T24" s="121">
        <f t="shared" ca="1" si="10"/>
        <v>0</v>
      </c>
      <c r="U24" s="125">
        <f t="shared" si="17"/>
        <v>1666.6666666666667</v>
      </c>
      <c r="V24" s="132">
        <f t="shared" ca="1" si="18"/>
        <v>0</v>
      </c>
      <c r="W24" s="125">
        <f t="shared" ca="1" si="11"/>
        <v>1474.7249999999999</v>
      </c>
      <c r="X24" s="125">
        <f t="shared" si="19"/>
        <v>1608.3333333333333</v>
      </c>
      <c r="Y24" s="132">
        <f t="shared" ca="1" si="20"/>
        <v>1474.7249999999999</v>
      </c>
      <c r="Z24" s="127">
        <f t="shared" ca="1" si="21"/>
        <v>1.3133339179406232</v>
      </c>
      <c r="AA24" s="127">
        <f t="shared" si="22"/>
        <v>1.5</v>
      </c>
      <c r="AB24" s="150" t="str">
        <f t="shared" ca="1" si="12"/>
        <v/>
      </c>
    </row>
    <row r="25" spans="2:28" x14ac:dyDescent="0.2">
      <c r="B25" s="117">
        <v>18</v>
      </c>
      <c r="C25" s="121">
        <f t="shared" ca="1" si="13"/>
        <v>0</v>
      </c>
      <c r="D25" s="121"/>
      <c r="E25" s="121">
        <f t="shared" ca="1" si="14"/>
        <v>1431.23</v>
      </c>
      <c r="F25" s="121">
        <f t="shared" ca="1" si="15"/>
        <v>0</v>
      </c>
      <c r="G25" s="121">
        <f t="shared" ca="1" si="16"/>
        <v>135</v>
      </c>
      <c r="H25" s="121"/>
      <c r="I25" s="121">
        <f t="shared" ca="1" si="2"/>
        <v>2289.9933333333333</v>
      </c>
      <c r="J25" s="196">
        <f t="shared" ca="1" si="3"/>
        <v>1.346666745075439</v>
      </c>
      <c r="K25" s="121">
        <f t="shared" ca="1" si="4"/>
        <v>6869.98</v>
      </c>
      <c r="L25" s="196">
        <f t="shared" ca="1" si="5"/>
        <v>4.0400002352263167</v>
      </c>
      <c r="M25" s="196">
        <f t="shared" ca="1" si="6"/>
        <v>3.8835864956571342</v>
      </c>
      <c r="N25" s="196">
        <f t="shared" ca="1" si="7"/>
        <v>113.40260748372528</v>
      </c>
      <c r="O25" s="121">
        <f t="shared" ca="1" si="8"/>
        <v>252.5</v>
      </c>
      <c r="P25" s="121">
        <f t="shared" ca="1" si="9"/>
        <v>0</v>
      </c>
      <c r="Q25" s="131"/>
      <c r="S25" s="117">
        <v>18</v>
      </c>
      <c r="T25" s="121">
        <f t="shared" ca="1" si="10"/>
        <v>0</v>
      </c>
      <c r="U25" s="125">
        <f t="shared" si="17"/>
        <v>1666.6666666666667</v>
      </c>
      <c r="V25" s="132">
        <f t="shared" ca="1" si="18"/>
        <v>0</v>
      </c>
      <c r="W25" s="125">
        <f t="shared" ca="1" si="11"/>
        <v>1431.23</v>
      </c>
      <c r="X25" s="125">
        <f t="shared" si="19"/>
        <v>1608.3333333333333</v>
      </c>
      <c r="Y25" s="132">
        <f t="shared" ca="1" si="20"/>
        <v>1431.23</v>
      </c>
      <c r="Z25" s="127">
        <f t="shared" ca="1" si="21"/>
        <v>1.346666745075439</v>
      </c>
      <c r="AA25" s="127">
        <f t="shared" si="22"/>
        <v>1.5</v>
      </c>
      <c r="AB25" s="150" t="str">
        <f t="shared" ca="1" si="12"/>
        <v/>
      </c>
    </row>
    <row r="26" spans="2:28" x14ac:dyDescent="0.2">
      <c r="B26" s="117">
        <v>19</v>
      </c>
      <c r="C26" s="121">
        <f t="shared" ca="1" si="13"/>
        <v>0</v>
      </c>
      <c r="D26" s="121"/>
      <c r="E26" s="121">
        <f t="shared" ca="1" si="14"/>
        <v>1619.42</v>
      </c>
      <c r="F26" s="121">
        <f t="shared" ca="1" si="15"/>
        <v>90</v>
      </c>
      <c r="G26" s="121">
        <f t="shared" ca="1" si="16"/>
        <v>180</v>
      </c>
      <c r="H26" s="121"/>
      <c r="I26" s="121">
        <f t="shared" ca="1" si="2"/>
        <v>2312.37</v>
      </c>
      <c r="J26" s="196">
        <f t="shared" ca="1" si="3"/>
        <v>1.4266667489295541</v>
      </c>
      <c r="K26" s="121">
        <f t="shared" ca="1" si="4"/>
        <v>6937.11</v>
      </c>
      <c r="L26" s="196">
        <f t="shared" ca="1" si="5"/>
        <v>4.2800002467886626</v>
      </c>
      <c r="M26" s="196">
        <f t="shared" ca="1" si="6"/>
        <v>3.8949420663614713</v>
      </c>
      <c r="N26" s="196">
        <f t="shared" ca="1" si="7"/>
        <v>119.01383250453475</v>
      </c>
      <c r="O26" s="121">
        <f t="shared" ca="1" si="8"/>
        <v>310.5</v>
      </c>
      <c r="P26" s="121">
        <f t="shared" ca="1" si="9"/>
        <v>0</v>
      </c>
      <c r="Q26" s="131"/>
      <c r="S26" s="117">
        <v>19</v>
      </c>
      <c r="T26" s="121">
        <f t="shared" ca="1" si="10"/>
        <v>0</v>
      </c>
      <c r="U26" s="125">
        <f t="shared" si="17"/>
        <v>1666.6666666666667</v>
      </c>
      <c r="V26" s="132">
        <f t="shared" ca="1" si="18"/>
        <v>0</v>
      </c>
      <c r="W26" s="125">
        <f t="shared" ca="1" si="11"/>
        <v>1619.42</v>
      </c>
      <c r="X26" s="125">
        <f t="shared" si="19"/>
        <v>1608.3333333333333</v>
      </c>
      <c r="Y26" s="132" t="str">
        <f t="shared" ca="1" si="20"/>
        <v/>
      </c>
      <c r="Z26" s="127">
        <f t="shared" ca="1" si="21"/>
        <v>1.4266667489295541</v>
      </c>
      <c r="AA26" s="127">
        <f t="shared" si="22"/>
        <v>1.5</v>
      </c>
      <c r="AB26" s="150" t="str">
        <f t="shared" ca="1" si="12"/>
        <v/>
      </c>
    </row>
    <row r="27" spans="2:28" x14ac:dyDescent="0.2">
      <c r="B27" s="117">
        <v>20</v>
      </c>
      <c r="C27" s="121">
        <f t="shared" ca="1" si="13"/>
        <v>0</v>
      </c>
      <c r="D27" s="121"/>
      <c r="E27" s="121">
        <f t="shared" ca="1" si="14"/>
        <v>1498.1999999999998</v>
      </c>
      <c r="F27" s="121">
        <f t="shared" ca="1" si="15"/>
        <v>30</v>
      </c>
      <c r="G27" s="121">
        <f t="shared" ca="1" si="16"/>
        <v>150</v>
      </c>
      <c r="H27" s="121"/>
      <c r="I27" s="121">
        <f t="shared" ca="1" si="2"/>
        <v>2306.9966666666664</v>
      </c>
      <c r="J27" s="196">
        <f t="shared" ca="1" si="3"/>
        <v>1.4148145876773375</v>
      </c>
      <c r="K27" s="121">
        <f t="shared" ca="1" si="4"/>
        <v>6920.99</v>
      </c>
      <c r="L27" s="196">
        <f t="shared" ca="1" si="5"/>
        <v>4.2444437630320131</v>
      </c>
      <c r="M27" s="196">
        <f t="shared" ca="1" si="6"/>
        <v>4.1426468784496508</v>
      </c>
      <c r="N27" s="196">
        <f t="shared" ca="1" si="7"/>
        <v>116.00024530847541</v>
      </c>
      <c r="O27" s="121">
        <f t="shared" ca="1" si="8"/>
        <v>298</v>
      </c>
      <c r="P27" s="121">
        <f t="shared" ca="1" si="9"/>
        <v>0</v>
      </c>
      <c r="Q27" s="131"/>
      <c r="S27" s="117">
        <v>20</v>
      </c>
      <c r="T27" s="121">
        <f t="shared" ca="1" si="10"/>
        <v>0</v>
      </c>
      <c r="U27" s="125">
        <f t="shared" si="17"/>
        <v>1666.6666666666667</v>
      </c>
      <c r="V27" s="132">
        <f t="shared" ca="1" si="18"/>
        <v>0</v>
      </c>
      <c r="W27" s="125">
        <f t="shared" ca="1" si="11"/>
        <v>1498.1999999999998</v>
      </c>
      <c r="X27" s="125">
        <f t="shared" si="19"/>
        <v>1608.3333333333333</v>
      </c>
      <c r="Y27" s="132">
        <f t="shared" ca="1" si="20"/>
        <v>1498.1999999999998</v>
      </c>
      <c r="Z27" s="127">
        <f t="shared" ca="1" si="21"/>
        <v>1.4148145876773375</v>
      </c>
      <c r="AA27" s="127">
        <f t="shared" si="22"/>
        <v>1.5</v>
      </c>
      <c r="AB27" s="150" t="str">
        <f t="shared" ca="1" si="12"/>
        <v/>
      </c>
    </row>
    <row r="28" spans="2:28" x14ac:dyDescent="0.2">
      <c r="B28" s="117">
        <v>21</v>
      </c>
      <c r="C28" s="121">
        <f t="shared" ca="1" si="13"/>
        <v>0</v>
      </c>
      <c r="D28" s="121"/>
      <c r="E28" s="121">
        <f t="shared" ca="1" si="14"/>
        <v>1677.22</v>
      </c>
      <c r="F28" s="121">
        <f t="shared" ca="1" si="15"/>
        <v>90</v>
      </c>
      <c r="G28" s="121">
        <f t="shared" ca="1" si="16"/>
        <v>210</v>
      </c>
      <c r="H28" s="121"/>
      <c r="I28" s="121">
        <f t="shared" ca="1" si="2"/>
        <v>2244.0333333333333</v>
      </c>
      <c r="J28" s="196">
        <f t="shared" ca="1" si="3"/>
        <v>1.3933335403019671</v>
      </c>
      <c r="K28" s="121">
        <f t="shared" ca="1" si="4"/>
        <v>6732.1</v>
      </c>
      <c r="L28" s="196">
        <f t="shared" ca="1" si="5"/>
        <v>4.1800006209059015</v>
      </c>
      <c r="M28" s="196">
        <f t="shared" ca="1" si="6"/>
        <v>0</v>
      </c>
      <c r="N28" s="196">
        <f t="shared" ca="1" si="7"/>
        <v>118.8227624103567</v>
      </c>
      <c r="O28" s="121">
        <f t="shared" ca="1" si="8"/>
        <v>234</v>
      </c>
      <c r="P28" s="121">
        <f t="shared" ca="1" si="9"/>
        <v>0</v>
      </c>
      <c r="Q28" s="131"/>
      <c r="S28" s="117">
        <v>21</v>
      </c>
      <c r="T28" s="121">
        <f t="shared" ca="1" si="10"/>
        <v>0</v>
      </c>
      <c r="U28" s="125">
        <f t="shared" si="17"/>
        <v>1666.6666666666667</v>
      </c>
      <c r="V28" s="132">
        <f t="shared" ca="1" si="18"/>
        <v>0</v>
      </c>
      <c r="W28" s="125">
        <f t="shared" ca="1" si="11"/>
        <v>1677.22</v>
      </c>
      <c r="X28" s="125">
        <f t="shared" si="19"/>
        <v>1608.3333333333333</v>
      </c>
      <c r="Y28" s="132" t="str">
        <f t="shared" ca="1" si="20"/>
        <v/>
      </c>
      <c r="Z28" s="127">
        <f t="shared" ca="1" si="21"/>
        <v>1.3933335403019671</v>
      </c>
      <c r="AA28" s="127">
        <f t="shared" si="22"/>
        <v>1.5</v>
      </c>
      <c r="AB28" s="150" t="str">
        <f t="shared" ca="1" si="12"/>
        <v/>
      </c>
    </row>
    <row r="29" spans="2:28" x14ac:dyDescent="0.2">
      <c r="B29" s="117">
        <v>22</v>
      </c>
      <c r="C29" s="121">
        <f t="shared" ca="1" si="13"/>
        <v>0</v>
      </c>
      <c r="D29" s="121"/>
      <c r="E29" s="121">
        <f t="shared" ca="1" si="14"/>
        <v>1552.2</v>
      </c>
      <c r="F29" s="121">
        <f t="shared" ca="1" si="15"/>
        <v>120</v>
      </c>
      <c r="G29" s="121">
        <f t="shared" ca="1" si="16"/>
        <v>165</v>
      </c>
      <c r="H29" s="121"/>
      <c r="I29" s="121">
        <f t="shared" ca="1" si="2"/>
        <v>2287.5286666666666</v>
      </c>
      <c r="J29" s="196">
        <f t="shared" ca="1" si="3"/>
        <v>1.3612271817545278</v>
      </c>
      <c r="K29" s="121">
        <f t="shared" ca="1" si="4"/>
        <v>6862.5860000000002</v>
      </c>
      <c r="L29" s="196">
        <f t="shared" ca="1" si="5"/>
        <v>4.083681545263584</v>
      </c>
      <c r="M29" s="196">
        <f t="shared" ca="1" si="6"/>
        <v>0</v>
      </c>
      <c r="N29" s="196">
        <f t="shared" ca="1" si="7"/>
        <v>113.28243548012782</v>
      </c>
      <c r="O29" s="121">
        <f t="shared" ca="1" si="8"/>
        <v>204.5</v>
      </c>
      <c r="P29" s="121">
        <f t="shared" ca="1" si="9"/>
        <v>0</v>
      </c>
      <c r="Q29" s="131"/>
      <c r="S29" s="117">
        <v>22</v>
      </c>
      <c r="T29" s="121">
        <f t="shared" ca="1" si="10"/>
        <v>0</v>
      </c>
      <c r="U29" s="125">
        <f t="shared" si="17"/>
        <v>1666.6666666666667</v>
      </c>
      <c r="V29" s="132">
        <f t="shared" ca="1" si="18"/>
        <v>0</v>
      </c>
      <c r="W29" s="125">
        <f t="shared" ca="1" si="11"/>
        <v>1552.2</v>
      </c>
      <c r="X29" s="125">
        <f t="shared" si="19"/>
        <v>1608.3333333333333</v>
      </c>
      <c r="Y29" s="132">
        <f t="shared" ca="1" si="20"/>
        <v>1552.2</v>
      </c>
      <c r="Z29" s="127">
        <f t="shared" ca="1" si="21"/>
        <v>1.3612271817545278</v>
      </c>
      <c r="AA29" s="127">
        <f t="shared" si="22"/>
        <v>1.5</v>
      </c>
      <c r="AB29" s="150" t="str">
        <f t="shared" ca="1" si="12"/>
        <v/>
      </c>
    </row>
    <row r="30" spans="2:28" x14ac:dyDescent="0.2">
      <c r="B30" s="117">
        <v>23</v>
      </c>
      <c r="C30" s="121">
        <f t="shared" ca="1" si="13"/>
        <v>0</v>
      </c>
      <c r="D30" s="121"/>
      <c r="E30" s="121">
        <f t="shared" ca="1" si="14"/>
        <v>1507.511</v>
      </c>
      <c r="F30" s="121">
        <f t="shared" ca="1" si="15"/>
        <v>120</v>
      </c>
      <c r="G30" s="121">
        <f t="shared" ca="1" si="16"/>
        <v>165</v>
      </c>
      <c r="H30" s="121"/>
      <c r="I30" s="121">
        <f t="shared" ca="1" si="2"/>
        <v>2287.5286666666666</v>
      </c>
      <c r="J30" s="196">
        <f t="shared" ca="1" si="3"/>
        <v>1.2991269219265265</v>
      </c>
      <c r="K30" s="121">
        <f t="shared" ca="1" si="4"/>
        <v>6862.5860000000002</v>
      </c>
      <c r="L30" s="196">
        <f t="shared" ca="1" si="5"/>
        <v>3.8973807657795798</v>
      </c>
      <c r="M30" s="196">
        <f t="shared" ca="1" si="6"/>
        <v>3.6091139355527533</v>
      </c>
      <c r="N30" s="196">
        <f t="shared" ca="1" si="7"/>
        <v>108.29613475539804</v>
      </c>
      <c r="O30" s="121">
        <f t="shared" ca="1" si="8"/>
        <v>256</v>
      </c>
      <c r="P30" s="121">
        <f t="shared" ca="1" si="9"/>
        <v>0</v>
      </c>
      <c r="Q30" s="131"/>
      <c r="S30" s="117">
        <v>23</v>
      </c>
      <c r="T30" s="121">
        <f t="shared" ca="1" si="10"/>
        <v>0</v>
      </c>
      <c r="U30" s="125">
        <f t="shared" si="17"/>
        <v>1666.6666666666667</v>
      </c>
      <c r="V30" s="132">
        <f t="shared" ca="1" si="18"/>
        <v>0</v>
      </c>
      <c r="W30" s="125">
        <f t="shared" ca="1" si="11"/>
        <v>1507.511</v>
      </c>
      <c r="X30" s="125">
        <f t="shared" si="19"/>
        <v>1608.3333333333333</v>
      </c>
      <c r="Y30" s="132">
        <f t="shared" ca="1" si="20"/>
        <v>1507.511</v>
      </c>
      <c r="Z30" s="127">
        <f t="shared" ca="1" si="21"/>
        <v>1.2991269219265265</v>
      </c>
      <c r="AA30" s="127">
        <f t="shared" si="22"/>
        <v>1.5</v>
      </c>
      <c r="AB30" s="150" t="str">
        <f t="shared" ca="1" si="12"/>
        <v/>
      </c>
    </row>
    <row r="31" spans="2:28" x14ac:dyDescent="0.2">
      <c r="B31" s="117">
        <v>24</v>
      </c>
      <c r="C31" s="121">
        <f t="shared" ca="1" si="13"/>
        <v>0</v>
      </c>
      <c r="D31" s="121"/>
      <c r="E31" s="121">
        <f t="shared" ca="1" si="14"/>
        <v>1566.527</v>
      </c>
      <c r="F31" s="121">
        <f t="shared" ca="1" si="15"/>
        <v>120</v>
      </c>
      <c r="G31" s="121">
        <f t="shared" ca="1" si="16"/>
        <v>165</v>
      </c>
      <c r="H31" s="121"/>
      <c r="I31" s="121">
        <f t="shared" ca="1" si="2"/>
        <v>2248</v>
      </c>
      <c r="J31" s="196">
        <f t="shared" ca="1" si="3"/>
        <v>1.3065209810531211</v>
      </c>
      <c r="K31" s="121">
        <f t="shared" ca="1" si="4"/>
        <v>6744</v>
      </c>
      <c r="L31" s="196">
        <f t="shared" ca="1" si="5"/>
        <v>3.919562943159363</v>
      </c>
      <c r="M31" s="196">
        <f t="shared" ca="1" si="6"/>
        <v>4.1462280599790775</v>
      </c>
      <c r="N31" s="196">
        <f t="shared" ca="1" si="7"/>
        <v>111.0717191677322</v>
      </c>
      <c r="O31" s="121">
        <f t="shared" ca="1" si="8"/>
        <v>233</v>
      </c>
      <c r="P31" s="121">
        <f t="shared" ca="1" si="9"/>
        <v>0</v>
      </c>
      <c r="Q31" s="131"/>
      <c r="S31" s="117">
        <v>24</v>
      </c>
      <c r="T31" s="121">
        <f t="shared" ca="1" si="10"/>
        <v>0</v>
      </c>
      <c r="U31" s="125">
        <f t="shared" si="17"/>
        <v>1666.6666666666667</v>
      </c>
      <c r="V31" s="132">
        <f t="shared" ca="1" si="18"/>
        <v>0</v>
      </c>
      <c r="W31" s="125">
        <f t="shared" ca="1" si="11"/>
        <v>1566.527</v>
      </c>
      <c r="X31" s="125">
        <f t="shared" si="19"/>
        <v>1608.3333333333333</v>
      </c>
      <c r="Y31" s="132">
        <f t="shared" ca="1" si="20"/>
        <v>1566.527</v>
      </c>
      <c r="Z31" s="127">
        <f t="shared" ca="1" si="21"/>
        <v>1.3065209810531211</v>
      </c>
      <c r="AA31" s="127">
        <f t="shared" si="22"/>
        <v>1.5</v>
      </c>
      <c r="AB31" s="150" t="str">
        <f t="shared" ca="1" si="12"/>
        <v/>
      </c>
    </row>
    <row r="32" spans="2:28" x14ac:dyDescent="0.2">
      <c r="B32" s="117">
        <v>25</v>
      </c>
      <c r="C32" s="121">
        <f t="shared" ca="1" si="13"/>
        <v>0</v>
      </c>
      <c r="D32" s="121"/>
      <c r="E32" s="121">
        <f t="shared" ca="1" si="14"/>
        <v>1641</v>
      </c>
      <c r="F32" s="121">
        <f t="shared" ca="1" si="15"/>
        <v>120</v>
      </c>
      <c r="G32" s="121">
        <f t="shared" ca="1" si="16"/>
        <v>122</v>
      </c>
      <c r="H32" s="121"/>
      <c r="I32" s="121">
        <f t="shared" ca="1" si="2"/>
        <v>2248.8679999999999</v>
      </c>
      <c r="J32" s="196">
        <f t="shared" ca="1" si="3"/>
        <v>1.2022496057309346</v>
      </c>
      <c r="K32" s="121">
        <f t="shared" ca="1" si="4"/>
        <v>6746.6040000000003</v>
      </c>
      <c r="L32" s="196">
        <f t="shared" ca="1" si="5"/>
        <v>3.6067488171928046</v>
      </c>
      <c r="M32" s="196">
        <f t="shared" ca="1" si="6"/>
        <v>0</v>
      </c>
      <c r="N32" s="196">
        <f t="shared" ca="1" si="7"/>
        <v>0</v>
      </c>
      <c r="O32" s="121">
        <f t="shared" ca="1" si="8"/>
        <v>324</v>
      </c>
      <c r="P32" s="121">
        <f t="shared" ca="1" si="9"/>
        <v>0</v>
      </c>
      <c r="Q32" s="131"/>
      <c r="S32" s="117">
        <v>25</v>
      </c>
      <c r="T32" s="121">
        <f t="shared" ca="1" si="10"/>
        <v>0</v>
      </c>
      <c r="U32" s="125">
        <f t="shared" si="17"/>
        <v>1666.6666666666667</v>
      </c>
      <c r="V32" s="132">
        <f t="shared" ca="1" si="18"/>
        <v>0</v>
      </c>
      <c r="W32" s="125">
        <f t="shared" ca="1" si="11"/>
        <v>1641</v>
      </c>
      <c r="X32" s="125">
        <f t="shared" si="19"/>
        <v>1608.3333333333333</v>
      </c>
      <c r="Y32" s="132" t="str">
        <f t="shared" ca="1" si="20"/>
        <v/>
      </c>
      <c r="Z32" s="127">
        <f t="shared" ca="1" si="21"/>
        <v>1.2022496057309346</v>
      </c>
      <c r="AA32" s="127">
        <f t="shared" si="22"/>
        <v>1.5</v>
      </c>
      <c r="AB32" s="150" t="str">
        <f t="shared" ca="1" si="12"/>
        <v/>
      </c>
    </row>
    <row r="33" spans="2:28" x14ac:dyDescent="0.2">
      <c r="B33" s="117">
        <v>26</v>
      </c>
      <c r="C33" s="121">
        <f t="shared" ca="1" si="13"/>
        <v>0</v>
      </c>
      <c r="D33" s="121"/>
      <c r="E33" s="121">
        <f t="shared" ca="1" si="14"/>
        <v>1660.8</v>
      </c>
      <c r="F33" s="121">
        <f t="shared" ca="1" si="15"/>
        <v>0</v>
      </c>
      <c r="G33" s="121">
        <f t="shared" ca="1" si="16"/>
        <v>150</v>
      </c>
      <c r="H33" s="121"/>
      <c r="I33" s="121">
        <f t="shared" ca="1" si="2"/>
        <v>2237.5673333333334</v>
      </c>
      <c r="J33" s="196">
        <f t="shared" ca="1" si="3"/>
        <v>1.3394676611852412</v>
      </c>
      <c r="K33" s="121">
        <f t="shared" ca="1" si="4"/>
        <v>6712.7020000000002</v>
      </c>
      <c r="L33" s="196">
        <f t="shared" ca="1" si="5"/>
        <v>4.0184029835557231</v>
      </c>
      <c r="M33" s="196">
        <f t="shared" ca="1" si="6"/>
        <v>0</v>
      </c>
      <c r="N33" s="196">
        <f t="shared" ca="1" si="7"/>
        <v>0</v>
      </c>
      <c r="O33" s="121">
        <f t="shared" ca="1" si="8"/>
        <v>261</v>
      </c>
      <c r="P33" s="121">
        <f t="shared" ca="1" si="9"/>
        <v>0</v>
      </c>
      <c r="Q33" s="131"/>
      <c r="S33" s="117">
        <v>26</v>
      </c>
      <c r="T33" s="121">
        <f t="shared" ca="1" si="10"/>
        <v>0</v>
      </c>
      <c r="U33" s="125">
        <f t="shared" si="17"/>
        <v>1666.6666666666667</v>
      </c>
      <c r="V33" s="132">
        <f t="shared" ca="1" si="18"/>
        <v>0</v>
      </c>
      <c r="W33" s="125">
        <f t="shared" ca="1" si="11"/>
        <v>1660.8</v>
      </c>
      <c r="X33" s="125">
        <f t="shared" si="19"/>
        <v>1608.3333333333333</v>
      </c>
      <c r="Y33" s="132" t="str">
        <f t="shared" ca="1" si="20"/>
        <v/>
      </c>
      <c r="Z33" s="127">
        <f t="shared" ca="1" si="21"/>
        <v>1.3394676611852412</v>
      </c>
      <c r="AA33" s="127">
        <f t="shared" si="22"/>
        <v>1.5</v>
      </c>
      <c r="AB33" s="150" t="str">
        <f t="shared" ca="1" si="12"/>
        <v/>
      </c>
    </row>
    <row r="34" spans="2:28" x14ac:dyDescent="0.2">
      <c r="B34" s="117">
        <v>27</v>
      </c>
      <c r="C34" s="121">
        <f t="shared" ca="1" si="13"/>
        <v>0</v>
      </c>
      <c r="D34" s="121"/>
      <c r="E34" s="121">
        <f t="shared" ca="1" si="14"/>
        <v>1592.6299999999999</v>
      </c>
      <c r="F34" s="121">
        <f t="shared" ca="1" si="15"/>
        <v>30</v>
      </c>
      <c r="G34" s="121">
        <f t="shared" ca="1" si="16"/>
        <v>120</v>
      </c>
      <c r="H34" s="121"/>
      <c r="I34" s="121">
        <f t="shared" ca="1" si="2"/>
        <v>2285.2666666666669</v>
      </c>
      <c r="J34" s="196">
        <f t="shared" ca="1" si="3"/>
        <v>1.3759869622636209</v>
      </c>
      <c r="K34" s="121">
        <f t="shared" ca="1" si="4"/>
        <v>6855.8</v>
      </c>
      <c r="L34" s="196">
        <f t="shared" ca="1" si="5"/>
        <v>4.1279608867908628</v>
      </c>
      <c r="M34" s="196">
        <f t="shared" ca="1" si="6"/>
        <v>3.9715321347286281</v>
      </c>
      <c r="N34" s="196">
        <f t="shared" ca="1" si="7"/>
        <v>115.70188220276731</v>
      </c>
      <c r="O34" s="121">
        <f t="shared" ca="1" si="8"/>
        <v>340.5</v>
      </c>
      <c r="P34" s="121">
        <f t="shared" ca="1" si="9"/>
        <v>0</v>
      </c>
      <c r="Q34" s="131"/>
      <c r="S34" s="117">
        <v>27</v>
      </c>
      <c r="T34" s="121">
        <f t="shared" ca="1" si="10"/>
        <v>0</v>
      </c>
      <c r="U34" s="125">
        <f t="shared" si="17"/>
        <v>1666.6666666666667</v>
      </c>
      <c r="V34" s="132">
        <f t="shared" ca="1" si="18"/>
        <v>0</v>
      </c>
      <c r="W34" s="125">
        <f t="shared" ca="1" si="11"/>
        <v>1592.6299999999999</v>
      </c>
      <c r="X34" s="125">
        <f t="shared" si="19"/>
        <v>1608.3333333333333</v>
      </c>
      <c r="Y34" s="132">
        <f t="shared" ca="1" si="20"/>
        <v>1592.6299999999999</v>
      </c>
      <c r="Z34" s="127">
        <f t="shared" ca="1" si="21"/>
        <v>1.3759869622636209</v>
      </c>
      <c r="AA34" s="127">
        <f t="shared" si="22"/>
        <v>1.5</v>
      </c>
      <c r="AB34" s="150" t="str">
        <f t="shared" ca="1" si="12"/>
        <v/>
      </c>
    </row>
    <row r="35" spans="2:28" x14ac:dyDescent="0.2">
      <c r="B35" s="117">
        <v>28</v>
      </c>
      <c r="C35" s="121">
        <f t="shared" ca="1" si="13"/>
        <v>0</v>
      </c>
      <c r="D35" s="121"/>
      <c r="E35" s="121">
        <f t="shared" ca="1" si="14"/>
        <v>1681.5</v>
      </c>
      <c r="F35" s="121">
        <f t="shared" ca="1" si="15"/>
        <v>210</v>
      </c>
      <c r="G35" s="121">
        <f t="shared" ca="1" si="16"/>
        <v>195</v>
      </c>
      <c r="H35" s="121"/>
      <c r="I35" s="121">
        <f t="shared" ca="1" si="2"/>
        <v>2266.4466666666667</v>
      </c>
      <c r="J35" s="196">
        <f t="shared" ca="1" si="3"/>
        <v>1.3566662676084442</v>
      </c>
      <c r="K35" s="121">
        <f t="shared" ca="1" si="4"/>
        <v>6799.34</v>
      </c>
      <c r="L35" s="196">
        <f t="shared" ca="1" si="5"/>
        <v>4.0699988028253324</v>
      </c>
      <c r="M35" s="196">
        <f t="shared" ca="1" si="6"/>
        <v>4.3631030767388967</v>
      </c>
      <c r="N35" s="196">
        <f t="shared" ca="1" si="7"/>
        <v>114.71926254040466</v>
      </c>
      <c r="O35" s="121">
        <f t="shared" ca="1" si="8"/>
        <v>206.5</v>
      </c>
      <c r="P35" s="121">
        <f t="shared" ca="1" si="9"/>
        <v>0</v>
      </c>
      <c r="Q35" s="131"/>
      <c r="S35" s="117">
        <v>28</v>
      </c>
      <c r="T35" s="121">
        <f t="shared" ca="1" si="10"/>
        <v>0</v>
      </c>
      <c r="U35" s="125">
        <f t="shared" si="17"/>
        <v>1666.6666666666667</v>
      </c>
      <c r="V35" s="132">
        <f t="shared" ca="1" si="18"/>
        <v>0</v>
      </c>
      <c r="W35" s="125">
        <f t="shared" ca="1" si="11"/>
        <v>1681.5</v>
      </c>
      <c r="X35" s="125">
        <f t="shared" si="19"/>
        <v>1608.3333333333333</v>
      </c>
      <c r="Y35" s="132" t="str">
        <f t="shared" ca="1" si="20"/>
        <v/>
      </c>
      <c r="Z35" s="127">
        <f t="shared" ca="1" si="21"/>
        <v>1.3566662676084442</v>
      </c>
      <c r="AA35" s="127">
        <f t="shared" si="22"/>
        <v>1.5</v>
      </c>
      <c r="AB35" s="150" t="str">
        <f t="shared" ca="1" si="12"/>
        <v/>
      </c>
    </row>
    <row r="36" spans="2:28" x14ac:dyDescent="0.2">
      <c r="B36" s="117">
        <v>29</v>
      </c>
      <c r="C36" s="121">
        <f t="shared" ca="1" si="13"/>
        <v>0</v>
      </c>
      <c r="D36" s="121"/>
      <c r="E36" s="121">
        <f t="shared" ca="1" si="14"/>
        <v>1563.1000000000001</v>
      </c>
      <c r="F36" s="121">
        <f t="shared" ca="1" si="15"/>
        <v>240</v>
      </c>
      <c r="G36" s="121">
        <f t="shared" ca="1" si="16"/>
        <v>150</v>
      </c>
      <c r="H36" s="121"/>
      <c r="I36" s="121">
        <f t="shared" ca="1" si="2"/>
        <v>2188.04</v>
      </c>
      <c r="J36" s="196">
        <f t="shared" ca="1" si="3"/>
        <v>1.2866660786216222</v>
      </c>
      <c r="K36" s="121">
        <f t="shared" ca="1" si="4"/>
        <v>6564.12</v>
      </c>
      <c r="L36" s="196">
        <f t="shared" ca="1" si="5"/>
        <v>3.8599982358648668</v>
      </c>
      <c r="M36" s="196">
        <f t="shared" ca="1" si="6"/>
        <v>0</v>
      </c>
      <c r="N36" s="196">
        <f t="shared" ca="1" si="7"/>
        <v>0</v>
      </c>
      <c r="O36" s="121">
        <f t="shared" ca="1" si="8"/>
        <v>202.5</v>
      </c>
      <c r="P36" s="121">
        <f t="shared" ca="1" si="9"/>
        <v>0</v>
      </c>
      <c r="Q36" s="131"/>
      <c r="S36" s="117">
        <v>29</v>
      </c>
      <c r="T36" s="121">
        <f t="shared" ca="1" si="10"/>
        <v>0</v>
      </c>
      <c r="U36" s="125">
        <f t="shared" si="17"/>
        <v>1666.6666666666667</v>
      </c>
      <c r="V36" s="132">
        <f t="shared" ca="1" si="18"/>
        <v>0</v>
      </c>
      <c r="W36" s="125">
        <f t="shared" ca="1" si="11"/>
        <v>1563.1000000000001</v>
      </c>
      <c r="X36" s="125">
        <f t="shared" si="19"/>
        <v>1608.3333333333333</v>
      </c>
      <c r="Y36" s="132">
        <f t="shared" ca="1" si="20"/>
        <v>1563.1000000000001</v>
      </c>
      <c r="Z36" s="127">
        <f t="shared" ca="1" si="21"/>
        <v>1.2866660786216222</v>
      </c>
      <c r="AA36" s="127">
        <f t="shared" si="22"/>
        <v>1.5</v>
      </c>
      <c r="AB36" s="150" t="str">
        <f t="shared" ca="1" si="12"/>
        <v/>
      </c>
    </row>
    <row r="37" spans="2:28" x14ac:dyDescent="0.2">
      <c r="B37" s="117">
        <v>30</v>
      </c>
      <c r="C37" s="121">
        <f t="shared" ca="1" si="13"/>
        <v>0</v>
      </c>
      <c r="D37" s="121"/>
      <c r="E37" s="121">
        <f t="shared" ca="1" si="14"/>
        <v>1601.56</v>
      </c>
      <c r="F37" s="121">
        <f t="shared" ca="1" si="15"/>
        <v>150</v>
      </c>
      <c r="G37" s="121">
        <f t="shared" ca="1" si="16"/>
        <v>165</v>
      </c>
      <c r="H37" s="121"/>
      <c r="I37" s="121">
        <f t="shared" ca="1" si="2"/>
        <v>2189.8866666666668</v>
      </c>
      <c r="J37" s="196">
        <f t="shared" ca="1" si="3"/>
        <v>1.4033327138697889</v>
      </c>
      <c r="K37" s="121">
        <f t="shared" ca="1" si="4"/>
        <v>6569.66</v>
      </c>
      <c r="L37" s="196">
        <f t="shared" ca="1" si="5"/>
        <v>4.2099981416093666</v>
      </c>
      <c r="M37" s="196">
        <f t="shared" ca="1" si="6"/>
        <v>4.1640766682260058</v>
      </c>
      <c r="N37" s="196">
        <f t="shared" ca="1" si="7"/>
        <v>120.63518510211536</v>
      </c>
      <c r="O37" s="121">
        <f t="shared" ca="1" si="8"/>
        <v>251</v>
      </c>
      <c r="P37" s="121">
        <f t="shared" ca="1" si="9"/>
        <v>0</v>
      </c>
      <c r="Q37" s="131"/>
      <c r="S37" s="117">
        <v>30</v>
      </c>
      <c r="T37" s="121">
        <f t="shared" ca="1" si="10"/>
        <v>0</v>
      </c>
      <c r="U37" s="125">
        <f t="shared" si="17"/>
        <v>1666.6666666666667</v>
      </c>
      <c r="V37" s="132">
        <f t="shared" ca="1" si="18"/>
        <v>0</v>
      </c>
      <c r="W37" s="125">
        <f t="shared" ca="1" si="11"/>
        <v>1601.56</v>
      </c>
      <c r="X37" s="125">
        <f t="shared" si="19"/>
        <v>1608.3333333333333</v>
      </c>
      <c r="Y37" s="132">
        <f t="shared" ca="1" si="20"/>
        <v>1601.56</v>
      </c>
      <c r="Z37" s="127">
        <f t="shared" ca="1" si="21"/>
        <v>1.4033327138697889</v>
      </c>
      <c r="AA37" s="127">
        <f t="shared" si="22"/>
        <v>1.5</v>
      </c>
      <c r="AB37" s="150" t="str">
        <f t="shared" ca="1" si="12"/>
        <v/>
      </c>
    </row>
    <row r="38" spans="2:28" x14ac:dyDescent="0.2">
      <c r="B38" s="117">
        <v>31</v>
      </c>
      <c r="C38" s="121">
        <f t="shared" ca="1" si="13"/>
        <v>0</v>
      </c>
      <c r="D38" s="121"/>
      <c r="E38" s="121">
        <f t="shared" ca="1" si="14"/>
        <v>0</v>
      </c>
      <c r="F38" s="121">
        <f t="shared" ca="1" si="15"/>
        <v>0</v>
      </c>
      <c r="G38" s="121">
        <f t="shared" ca="1" si="16"/>
        <v>0</v>
      </c>
      <c r="H38" s="121"/>
      <c r="I38" s="121">
        <f t="shared" ca="1" si="2"/>
        <v>0</v>
      </c>
      <c r="J38" s="196" t="str">
        <f t="shared" ca="1" si="3"/>
        <v/>
      </c>
      <c r="K38" s="121">
        <f t="shared" ca="1" si="4"/>
        <v>0</v>
      </c>
      <c r="L38" s="196" t="str">
        <f t="shared" ca="1" si="5"/>
        <v/>
      </c>
      <c r="M38" s="196" t="str">
        <f t="shared" ca="1" si="6"/>
        <v/>
      </c>
      <c r="N38" s="196" t="str">
        <f t="shared" ca="1" si="7"/>
        <v/>
      </c>
      <c r="O38" s="121">
        <f t="shared" ca="1" si="8"/>
        <v>0</v>
      </c>
      <c r="P38" s="121">
        <f t="shared" ca="1" si="9"/>
        <v>0</v>
      </c>
      <c r="Q38" s="131"/>
      <c r="S38" s="117">
        <v>31</v>
      </c>
      <c r="T38" s="121">
        <f t="shared" ca="1" si="10"/>
        <v>0</v>
      </c>
      <c r="U38" s="125">
        <f t="shared" si="17"/>
        <v>1666.6666666666667</v>
      </c>
      <c r="V38" s="132">
        <f t="shared" ca="1" si="18"/>
        <v>0</v>
      </c>
      <c r="W38" s="125">
        <f t="shared" ca="1" si="11"/>
        <v>0</v>
      </c>
      <c r="X38" s="125">
        <f t="shared" si="19"/>
        <v>1608.3333333333333</v>
      </c>
      <c r="Y38" s="132">
        <f t="shared" ca="1" si="20"/>
        <v>0</v>
      </c>
      <c r="Z38" s="127" t="str">
        <f t="shared" ca="1" si="21"/>
        <v/>
      </c>
      <c r="AA38" s="127">
        <f t="shared" si="22"/>
        <v>1.5</v>
      </c>
      <c r="AB38" s="150" t="str">
        <f t="shared" ca="1" si="12"/>
        <v/>
      </c>
    </row>
    <row r="39" spans="2:28" x14ac:dyDescent="0.2">
      <c r="C39" s="119"/>
      <c r="D39" s="119"/>
      <c r="I39" s="119"/>
    </row>
    <row r="41" spans="2:28" ht="18" x14ac:dyDescent="0.2">
      <c r="B41" s="152" t="s">
        <v>208</v>
      </c>
      <c r="C41" s="119"/>
      <c r="D41" s="119"/>
    </row>
    <row r="42" spans="2:28" x14ac:dyDescent="0.2">
      <c r="C42" s="119"/>
      <c r="D42" s="119"/>
    </row>
    <row r="43" spans="2:28" x14ac:dyDescent="0.2">
      <c r="C43" s="119"/>
      <c r="D43" s="119"/>
      <c r="M43" s="141"/>
    </row>
    <row r="44" spans="2:28" s="4" customFormat="1" ht="38.25" x14ac:dyDescent="0.2">
      <c r="B44" s="143" t="s">
        <v>209</v>
      </c>
      <c r="C44" s="151" t="s">
        <v>210</v>
      </c>
      <c r="D44" s="144" t="s">
        <v>211</v>
      </c>
      <c r="E44" s="144" t="s">
        <v>212</v>
      </c>
      <c r="F44" s="144" t="s">
        <v>213</v>
      </c>
      <c r="G44" s="144" t="s">
        <v>214</v>
      </c>
      <c r="H44" s="144" t="s">
        <v>215</v>
      </c>
      <c r="I44" s="144" t="s">
        <v>216</v>
      </c>
      <c r="J44" s="144" t="s">
        <v>217</v>
      </c>
      <c r="K44" s="144" t="s">
        <v>195</v>
      </c>
      <c r="L44" s="144" t="s">
        <v>218</v>
      </c>
      <c r="M44" s="144" t="s">
        <v>219</v>
      </c>
      <c r="N44" s="144" t="s">
        <v>220</v>
      </c>
      <c r="O44" s="144" t="s">
        <v>221</v>
      </c>
      <c r="Q44" s="140"/>
      <c r="S44" s="122" t="s">
        <v>209</v>
      </c>
      <c r="T44" s="122" t="s">
        <v>190</v>
      </c>
      <c r="U44" s="122" t="s">
        <v>204</v>
      </c>
      <c r="V44" s="126" t="s">
        <v>205</v>
      </c>
      <c r="W44" s="122" t="s">
        <v>206</v>
      </c>
      <c r="X44" s="122" t="s">
        <v>204</v>
      </c>
      <c r="Y44" s="126" t="s">
        <v>205</v>
      </c>
      <c r="Z44" s="133" t="s">
        <v>222</v>
      </c>
      <c r="AA44" s="122" t="s">
        <v>204</v>
      </c>
      <c r="AB44" s="126" t="s">
        <v>205</v>
      </c>
    </row>
    <row r="45" spans="2:28" x14ac:dyDescent="0.2">
      <c r="B45" s="117" t="s">
        <v>223</v>
      </c>
      <c r="C45" s="176">
        <v>3</v>
      </c>
      <c r="D45" s="177">
        <f>SUM(D8:D10)</f>
        <v>0</v>
      </c>
      <c r="E45" s="177">
        <f ca="1">SUM(C8:C10)</f>
        <v>0</v>
      </c>
      <c r="F45" s="178">
        <f>C45*$U$5</f>
        <v>5000</v>
      </c>
      <c r="G45" s="177">
        <f ca="1">SUM(E8:E10)</f>
        <v>4793.67</v>
      </c>
      <c r="H45" s="177">
        <f ca="1">SUM(F8:F10)</f>
        <v>270</v>
      </c>
      <c r="I45" s="177">
        <f t="shared" ref="I45" ca="1" si="23">SUM(G8:G10)</f>
        <v>240</v>
      </c>
      <c r="J45" s="177">
        <f ca="1">SUM(P8:P10)</f>
        <v>0</v>
      </c>
      <c r="K45" s="177">
        <f>SUM(H8:H10)</f>
        <v>0</v>
      </c>
      <c r="L45" s="132">
        <f ca="1">O10</f>
        <v>378.25</v>
      </c>
      <c r="M45" s="132" t="str">
        <f ca="1">IF(ISERROR((L45+G45+J45-K45)/(E45)),"",((L45+G45+J45-K45)/(E45)))</f>
        <v/>
      </c>
      <c r="N45" s="179" t="str">
        <f ca="1">IF(ISERROR((G45+L45-K45)/(E45)),"",((G45+L45-K45)/(E45)))</f>
        <v/>
      </c>
      <c r="O45" s="180" t="str">
        <f ca="1">IF(ISERROR(M45-N45),"",(M45-N45))</f>
        <v/>
      </c>
      <c r="P45" s="119"/>
      <c r="S45" s="117" t="str">
        <f>B45</f>
        <v>WK 44</v>
      </c>
      <c r="T45" s="125">
        <f ca="1">E45</f>
        <v>0</v>
      </c>
      <c r="U45" s="125">
        <f>F45</f>
        <v>5000</v>
      </c>
      <c r="V45" s="132">
        <f ca="1">IF(T45&lt;U45,T45,"")</f>
        <v>0</v>
      </c>
      <c r="W45" s="125">
        <f ca="1">IF(ISERROR((G45+L45-K45)),"",((G45+L45-K45)))</f>
        <v>5171.92</v>
      </c>
      <c r="X45" s="132">
        <f>($X$5)*C45</f>
        <v>4825</v>
      </c>
      <c r="Y45" s="132" t="str">
        <f t="shared" ref="Y45:Y49" ca="1" si="24">IF(W45&lt;X45,W45,"")</f>
        <v/>
      </c>
      <c r="Z45" s="182"/>
      <c r="AA45" s="142">
        <v>0.96499999999999997</v>
      </c>
      <c r="AB45" s="182"/>
    </row>
    <row r="46" spans="2:28" x14ac:dyDescent="0.2">
      <c r="B46" s="117" t="s">
        <v>224</v>
      </c>
      <c r="C46" s="176">
        <v>7</v>
      </c>
      <c r="D46" s="177">
        <f>SUM(D11:D17)</f>
        <v>0</v>
      </c>
      <c r="E46" s="177">
        <f ca="1">SUM(C11:C17)</f>
        <v>0</v>
      </c>
      <c r="F46" s="181">
        <f>C46*$U$5</f>
        <v>11666.666666666668</v>
      </c>
      <c r="G46" s="177">
        <f ca="1">SUM(E11:E17)</f>
        <v>10976.51</v>
      </c>
      <c r="H46" s="177">
        <f ca="1">SUM(F11:F17)</f>
        <v>305</v>
      </c>
      <c r="I46" s="177">
        <f ca="1">SUM(G11:G17)</f>
        <v>900</v>
      </c>
      <c r="J46" s="177">
        <f ca="1">SUM(P11:P17)</f>
        <v>0</v>
      </c>
      <c r="K46" s="177">
        <f>SUM(H11:H17)</f>
        <v>0</v>
      </c>
      <c r="L46" s="132">
        <f ca="1">P17</f>
        <v>0</v>
      </c>
      <c r="M46" s="132" t="str">
        <f ca="1">IF(ISERROR((L46+G46+J46-K46)/(E46)),"",((L46+G46+J46-K46)/(E46)))</f>
        <v/>
      </c>
      <c r="N46" s="179" t="str">
        <f t="shared" ref="N46:N51" ca="1" si="25">IF(ISERROR((G46+L46-K46)/(E46)),"",((G46+L46-K46)/(E46)))</f>
        <v/>
      </c>
      <c r="O46" s="180" t="str">
        <f t="shared" ref="O46:O51" ca="1" si="26">IF(ISERROR(M46-N46),"",(M46-N46))</f>
        <v/>
      </c>
      <c r="S46" s="117" t="str">
        <f t="shared" ref="S46:S49" si="27">B46</f>
        <v>WK 45</v>
      </c>
      <c r="T46" s="125">
        <f t="shared" ref="T46:T49" ca="1" si="28">E46</f>
        <v>0</v>
      </c>
      <c r="U46" s="125">
        <f>F46</f>
        <v>11666.666666666668</v>
      </c>
      <c r="V46" s="132">
        <f t="shared" ref="V46:V49" ca="1" si="29">IF(T46&lt;U46,T46,"")</f>
        <v>0</v>
      </c>
      <c r="W46" s="125">
        <f t="shared" ref="W46:W49" ca="1" si="30">IF(ISERROR((G46+L46-K46)),"",((G46+L46-K46)))</f>
        <v>10976.51</v>
      </c>
      <c r="X46" s="132">
        <f t="shared" ref="X46:X49" si="31">($X$5)*C46</f>
        <v>11258.333333333332</v>
      </c>
      <c r="Y46" s="132">
        <f t="shared" ca="1" si="24"/>
        <v>10976.51</v>
      </c>
      <c r="Z46" s="182"/>
      <c r="AA46" s="142">
        <v>0.96499999999999997</v>
      </c>
      <c r="AB46" s="182"/>
    </row>
    <row r="47" spans="2:28" x14ac:dyDescent="0.2">
      <c r="B47" s="117" t="s">
        <v>225</v>
      </c>
      <c r="C47" s="176">
        <v>7</v>
      </c>
      <c r="D47" s="177">
        <f>SUM(D18:D24)</f>
        <v>0</v>
      </c>
      <c r="E47" s="177">
        <f ca="1">SUM(C18:C24)</f>
        <v>0</v>
      </c>
      <c r="F47" s="181">
        <f>C47*$U$5</f>
        <v>11666.666666666668</v>
      </c>
      <c r="G47" s="177">
        <f ca="1">SUM(E18:E24)</f>
        <v>11392.035000000002</v>
      </c>
      <c r="H47" s="177">
        <f ca="1">SUM(F18:F24)</f>
        <v>630</v>
      </c>
      <c r="I47" s="177">
        <f ca="1">SUM(G18:G24)</f>
        <v>1260</v>
      </c>
      <c r="J47" s="177">
        <f ca="1">SUM(P18:P24)</f>
        <v>0</v>
      </c>
      <c r="K47" s="177">
        <f>SUM(H18:H24)</f>
        <v>0</v>
      </c>
      <c r="L47" s="132">
        <f ca="1">P24</f>
        <v>0</v>
      </c>
      <c r="M47" s="132" t="str">
        <f ca="1">IF(ISERROR((L47+G47+J47-K47)/(E47)),"",((L47+G47+J47-K47)/(E47)))</f>
        <v/>
      </c>
      <c r="N47" s="179" t="str">
        <f t="shared" ca="1" si="25"/>
        <v/>
      </c>
      <c r="O47" s="180" t="str">
        <f t="shared" ca="1" si="26"/>
        <v/>
      </c>
      <c r="S47" s="117" t="str">
        <f t="shared" si="27"/>
        <v>WK 46</v>
      </c>
      <c r="T47" s="125">
        <f t="shared" ca="1" si="28"/>
        <v>0</v>
      </c>
      <c r="U47" s="125">
        <f t="shared" ref="U47:U49" si="32">F47</f>
        <v>11666.666666666668</v>
      </c>
      <c r="V47" s="132">
        <f t="shared" ca="1" si="29"/>
        <v>0</v>
      </c>
      <c r="W47" s="125">
        <f t="shared" ca="1" si="30"/>
        <v>11392.035000000002</v>
      </c>
      <c r="X47" s="132">
        <f t="shared" si="31"/>
        <v>11258.333333333332</v>
      </c>
      <c r="Y47" s="132" t="str">
        <f t="shared" ca="1" si="24"/>
        <v/>
      </c>
      <c r="Z47" s="182"/>
      <c r="AA47" s="142">
        <v>0.96499999999999997</v>
      </c>
      <c r="AB47" s="182"/>
    </row>
    <row r="48" spans="2:28" x14ac:dyDescent="0.2">
      <c r="B48" s="117" t="s">
        <v>226</v>
      </c>
      <c r="C48" s="176">
        <v>7</v>
      </c>
      <c r="D48" s="177">
        <f>SUM(D25:D31)</f>
        <v>0</v>
      </c>
      <c r="E48" s="177">
        <f ca="1">SUM(C25:C31)</f>
        <v>0</v>
      </c>
      <c r="F48" s="181">
        <f>C48*$U$5</f>
        <v>11666.666666666668</v>
      </c>
      <c r="G48" s="177">
        <f ca="1">SUM(E25:E31)</f>
        <v>10852.308000000001</v>
      </c>
      <c r="H48" s="177">
        <f ca="1">SUM(F25:F31)</f>
        <v>570</v>
      </c>
      <c r="I48" s="177">
        <f ca="1">SUM(G25:G31)</f>
        <v>1170</v>
      </c>
      <c r="J48" s="177">
        <f ca="1">SUM(P25:P31)</f>
        <v>0</v>
      </c>
      <c r="K48" s="177">
        <f>SUM(H25:H31)</f>
        <v>0</v>
      </c>
      <c r="L48" s="132">
        <f ca="1">P31</f>
        <v>0</v>
      </c>
      <c r="M48" s="132" t="str">
        <f ca="1">IF(ISERROR((L48+G48+J48-K48)/(E48)),"",((L48+G48+J48-K48)/(E48)))</f>
        <v/>
      </c>
      <c r="N48" s="179" t="str">
        <f t="shared" ca="1" si="25"/>
        <v/>
      </c>
      <c r="O48" s="180" t="str">
        <f t="shared" ca="1" si="26"/>
        <v/>
      </c>
      <c r="S48" s="117" t="str">
        <f t="shared" si="27"/>
        <v>WK 47</v>
      </c>
      <c r="T48" s="125">
        <f t="shared" ca="1" si="28"/>
        <v>0</v>
      </c>
      <c r="U48" s="125">
        <f t="shared" si="32"/>
        <v>11666.666666666668</v>
      </c>
      <c r="V48" s="132">
        <f t="shared" ca="1" si="29"/>
        <v>0</v>
      </c>
      <c r="W48" s="125">
        <f t="shared" ca="1" si="30"/>
        <v>10852.308000000001</v>
      </c>
      <c r="X48" s="132">
        <f t="shared" si="31"/>
        <v>11258.333333333332</v>
      </c>
      <c r="Y48" s="132">
        <f t="shared" ca="1" si="24"/>
        <v>10852.308000000001</v>
      </c>
      <c r="Z48" s="182"/>
      <c r="AA48" s="142">
        <v>0.96499999999999997</v>
      </c>
      <c r="AB48" s="182"/>
    </row>
    <row r="49" spans="2:28" x14ac:dyDescent="0.2">
      <c r="B49" s="117" t="s">
        <v>227</v>
      </c>
      <c r="C49" s="176">
        <v>6</v>
      </c>
      <c r="D49" s="177">
        <f>SUM(D32:D38)</f>
        <v>0</v>
      </c>
      <c r="E49" s="177">
        <f ca="1">SUM(C32:C38)</f>
        <v>0</v>
      </c>
      <c r="F49" s="181">
        <f>C49*$U$5</f>
        <v>10000</v>
      </c>
      <c r="G49" s="177">
        <f ca="1">SUM(E32:E38)</f>
        <v>9740.59</v>
      </c>
      <c r="H49" s="177">
        <f ca="1">SUM(F32:F38)</f>
        <v>750</v>
      </c>
      <c r="I49" s="177">
        <f ca="1">SUM(G32:G38)</f>
        <v>902</v>
      </c>
      <c r="J49" s="177">
        <f ca="1">SUM(P32:P38)</f>
        <v>0</v>
      </c>
      <c r="K49" s="177">
        <f>SUM(H32:H38)</f>
        <v>0</v>
      </c>
      <c r="L49" s="132">
        <f ca="1">P38</f>
        <v>0</v>
      </c>
      <c r="M49" s="132" t="str">
        <f ca="1">IF(ISERROR((L49+G49+J49-K49)/(E49)),"",((L49+G49+J49-K49)/(E49)))</f>
        <v/>
      </c>
      <c r="N49" s="179" t="str">
        <f t="shared" ca="1" si="25"/>
        <v/>
      </c>
      <c r="O49" s="180" t="str">
        <f t="shared" ca="1" si="26"/>
        <v/>
      </c>
      <c r="S49" s="117" t="str">
        <f t="shared" si="27"/>
        <v>WK 48</v>
      </c>
      <c r="T49" s="125">
        <f t="shared" ca="1" si="28"/>
        <v>0</v>
      </c>
      <c r="U49" s="125">
        <f t="shared" si="32"/>
        <v>10000</v>
      </c>
      <c r="V49" s="132">
        <f t="shared" ca="1" si="29"/>
        <v>0</v>
      </c>
      <c r="W49" s="125">
        <f t="shared" ca="1" si="30"/>
        <v>9740.59</v>
      </c>
      <c r="X49" s="132">
        <f t="shared" si="31"/>
        <v>9650</v>
      </c>
      <c r="Y49" s="132" t="str">
        <f t="shared" ca="1" si="24"/>
        <v/>
      </c>
      <c r="Z49" s="182"/>
      <c r="AA49" s="142">
        <v>0.96499999999999997</v>
      </c>
      <c r="AB49" s="182"/>
    </row>
    <row r="50" spans="2:28" ht="7.5" customHeight="1" x14ac:dyDescent="0.2">
      <c r="C50" s="5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2:28" x14ac:dyDescent="0.2">
      <c r="B51" s="117" t="s">
        <v>228</v>
      </c>
      <c r="C51" s="132">
        <f t="shared" ref="C51:L51" si="33">SUM(C45:C49)</f>
        <v>30</v>
      </c>
      <c r="D51" s="132">
        <f t="shared" si="33"/>
        <v>0</v>
      </c>
      <c r="E51" s="132">
        <f t="shared" ca="1" si="33"/>
        <v>0</v>
      </c>
      <c r="F51" s="132">
        <f t="shared" si="33"/>
        <v>50000</v>
      </c>
      <c r="G51" s="132">
        <f t="shared" ca="1" si="33"/>
        <v>47755.112999999998</v>
      </c>
      <c r="H51" s="132">
        <f t="shared" ca="1" si="33"/>
        <v>2525</v>
      </c>
      <c r="I51" s="132">
        <f t="shared" ca="1" si="33"/>
        <v>4472</v>
      </c>
      <c r="J51" s="132">
        <f t="shared" ca="1" si="33"/>
        <v>0</v>
      </c>
      <c r="K51" s="132">
        <f t="shared" si="33"/>
        <v>0</v>
      </c>
      <c r="L51" s="132">
        <f t="shared" ca="1" si="33"/>
        <v>378.25</v>
      </c>
      <c r="M51" s="132" t="str">
        <f ca="1">IF(ISERROR((L51+G51+J51-K51)/(E51)),"",((L51+G51+J51-K51)/(E51)))</f>
        <v/>
      </c>
      <c r="N51" s="132" t="str">
        <f t="shared" ca="1" si="25"/>
        <v/>
      </c>
      <c r="O51" s="132" t="str">
        <f t="shared" ca="1" si="26"/>
        <v/>
      </c>
    </row>
    <row r="52" spans="2:28" x14ac:dyDescent="0.2">
      <c r="C52" s="4"/>
      <c r="D52" s="4"/>
      <c r="E52" s="119"/>
    </row>
    <row r="53" spans="2:28" ht="13.5" thickBot="1" x14ac:dyDescent="0.25">
      <c r="C53" s="4"/>
      <c r="D53" s="4"/>
    </row>
    <row r="54" spans="2:28" x14ac:dyDescent="0.2">
      <c r="C54" s="4"/>
      <c r="D54" s="154" t="s">
        <v>229</v>
      </c>
      <c r="E54" s="155" t="s">
        <v>230</v>
      </c>
    </row>
    <row r="55" spans="2:28" x14ac:dyDescent="0.2">
      <c r="C55" s="4"/>
      <c r="D55" s="153" t="e">
        <f ca="1">((G51-K51)+(O29-O28))/D51</f>
        <v>#DIV/0!</v>
      </c>
      <c r="E55" s="156" t="e">
        <f ca="1">((G51-K51)+(O29-O28))/E51</f>
        <v>#DIV/0!</v>
      </c>
      <c r="G55" s="3" t="e">
        <f ca="1">(G51-K51)/D51</f>
        <v>#DIV/0!</v>
      </c>
    </row>
    <row r="56" spans="2:28" x14ac:dyDescent="0.2">
      <c r="C56" s="4"/>
      <c r="D56" s="157"/>
      <c r="E56" s="158"/>
    </row>
    <row r="57" spans="2:28" ht="13.5" thickBot="1" x14ac:dyDescent="0.25">
      <c r="C57" s="4"/>
      <c r="D57" s="159" t="e">
        <f ca="1">((G51-K51)+(L51))/D51</f>
        <v>#DIV/0!</v>
      </c>
      <c r="E57" s="160" t="e">
        <f ca="1">((G51-K51)+(L51))/E51</f>
        <v>#DIV/0!</v>
      </c>
    </row>
    <row r="58" spans="2:28" x14ac:dyDescent="0.2">
      <c r="C58" s="4"/>
      <c r="D58" s="4"/>
    </row>
    <row r="59" spans="2:28" x14ac:dyDescent="0.2">
      <c r="C59" s="4"/>
      <c r="D59" s="4"/>
    </row>
    <row r="60" spans="2:28" x14ac:dyDescent="0.2">
      <c r="C60" s="4"/>
      <c r="D60" s="4"/>
    </row>
    <row r="61" spans="2:28" x14ac:dyDescent="0.2">
      <c r="C61" s="4"/>
      <c r="D61" s="4"/>
    </row>
    <row r="62" spans="2:28" x14ac:dyDescent="0.2">
      <c r="C62" s="4"/>
      <c r="D62" s="4"/>
    </row>
    <row r="63" spans="2:28" x14ac:dyDescent="0.2">
      <c r="C63" s="4"/>
      <c r="D63" s="4"/>
    </row>
    <row r="64" spans="2:28" x14ac:dyDescent="0.2">
      <c r="C64" s="4"/>
      <c r="D64" s="4"/>
    </row>
    <row r="65" spans="3:4" x14ac:dyDescent="0.2">
      <c r="C65" s="4"/>
      <c r="D65" s="4"/>
    </row>
  </sheetData>
  <customSheetViews>
    <customSheetView guid="{40817DC6-4291-4A72-AC70-E8710064089B}" state="hidden" topLeftCell="A34">
      <selection activeCell="G45" sqref="G45:O49"/>
      <pageMargins left="0" right="0" top="0" bottom="0" header="0" footer="0"/>
      <pageSetup paperSize="9" orientation="portrait" r:id="rId1"/>
    </customSheetView>
    <customSheetView guid="{55B393C6-D96A-4245-BC73-FC5790070AA2}" state="hidden" topLeftCell="A34">
      <selection activeCell="G45" sqref="G45:O49"/>
      <pageMargins left="0" right="0" top="0" bottom="0" header="0" footer="0"/>
      <pageSetup paperSize="9" orientation="portrait" r:id="rId2"/>
    </customSheetView>
    <customSheetView guid="{C5333697-7BE7-4020-97A4-B735E526926D}" showPageBreaks="1" printArea="1" state="hidden" topLeftCell="A34">
      <selection activeCell="G45" sqref="G45:O49"/>
      <pageMargins left="0" right="0" top="0" bottom="0" header="0" footer="0"/>
      <pageSetup paperSize="9" orientation="portrait" r:id="rId3"/>
    </customSheetView>
    <customSheetView guid="{C7D8C3A9-FB79-4D22-935E-FEFA619A3CE5}" showPageBreaks="1" printArea="1" state="hidden" topLeftCell="A34">
      <selection activeCell="G45" sqref="G45:O49"/>
      <pageMargins left="0" right="0" top="0" bottom="0" header="0" footer="0"/>
      <pageSetup paperSize="9" orientation="portrait" r:id="rId4"/>
    </customSheetView>
    <customSheetView guid="{180A269B-7E32-4D24-945A-4A804FC4280D}" state="hidden" topLeftCell="A34">
      <selection activeCell="G45" sqref="G45:O49"/>
      <pageMargins left="0" right="0" top="0" bottom="0" header="0" footer="0"/>
      <pageSetup paperSize="9" orientation="portrait" r:id="rId5"/>
    </customSheetView>
    <customSheetView guid="{9C22FFE9-00CF-47D0-BD99-D84A00825140}" showPageBreaks="1" printArea="1" state="hidden" topLeftCell="A34">
      <selection activeCell="G45" sqref="G45:O49"/>
      <pageMargins left="0" right="0" top="0" bottom="0" header="0" footer="0"/>
      <pageSetup paperSize="9" orientation="portrait" r:id="rId6"/>
    </customSheetView>
  </customSheetView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Z91"/>
  <sheetViews>
    <sheetView showGridLines="0" topLeftCell="AU3" zoomScale="85" zoomScaleNormal="70" workbookViewId="0"/>
  </sheetViews>
  <sheetFormatPr defaultRowHeight="12.75" x14ac:dyDescent="0.2"/>
  <cols>
    <col min="1" max="1" width="2.5703125" customWidth="1"/>
    <col min="13" max="13" width="14" customWidth="1"/>
    <col min="14" max="14" width="2.42578125" customWidth="1"/>
    <col min="26" max="26" width="14.42578125" customWidth="1"/>
    <col min="27" max="27" width="2" customWidth="1"/>
    <col min="39" max="39" width="14.42578125" customWidth="1"/>
    <col min="40" max="40" width="2.5703125" customWidth="1"/>
    <col min="52" max="52" width="14.42578125" customWidth="1"/>
    <col min="53" max="53" width="3.85546875" customWidth="1"/>
  </cols>
  <sheetData>
    <row r="1" spans="2:52" ht="13.5" thickBot="1" x14ac:dyDescent="0.25"/>
    <row r="2" spans="2:52" s="186" customFormat="1" ht="36.75" customHeight="1" thickBot="1" x14ac:dyDescent="0.25">
      <c r="B2" s="319" t="s">
        <v>231</v>
      </c>
      <c r="C2" s="320"/>
      <c r="D2" s="320"/>
      <c r="E2" s="320"/>
      <c r="F2" s="320"/>
      <c r="G2" s="320"/>
      <c r="H2" s="320"/>
      <c r="I2" s="320"/>
      <c r="J2" s="320"/>
      <c r="K2" s="320"/>
      <c r="L2" s="320"/>
      <c r="M2" s="321"/>
      <c r="O2" s="316" t="s">
        <v>232</v>
      </c>
      <c r="P2" s="317"/>
      <c r="Q2" s="317"/>
      <c r="R2" s="317"/>
      <c r="S2" s="317"/>
      <c r="T2" s="317"/>
      <c r="U2" s="317"/>
      <c r="V2" s="317"/>
      <c r="W2" s="317"/>
      <c r="X2" s="317"/>
      <c r="Y2" s="317"/>
      <c r="Z2" s="318"/>
      <c r="AB2" s="312" t="s">
        <v>233</v>
      </c>
      <c r="AC2" s="313"/>
      <c r="AD2" s="313"/>
      <c r="AE2" s="313"/>
      <c r="AF2" s="313"/>
      <c r="AG2" s="313"/>
      <c r="AH2" s="313"/>
      <c r="AI2" s="313"/>
      <c r="AJ2" s="313"/>
      <c r="AK2" s="314" t="s">
        <v>204</v>
      </c>
      <c r="AL2" s="315"/>
      <c r="AM2" s="192">
        <f>Summary!AD45</f>
        <v>0.96499999999999997</v>
      </c>
      <c r="AO2" s="312" t="s">
        <v>234</v>
      </c>
      <c r="AP2" s="313"/>
      <c r="AQ2" s="313"/>
      <c r="AR2" s="313"/>
      <c r="AS2" s="313"/>
      <c r="AT2" s="313"/>
      <c r="AU2" s="313"/>
      <c r="AV2" s="313"/>
      <c r="AW2" s="313"/>
      <c r="AX2" s="314" t="s">
        <v>204</v>
      </c>
      <c r="AY2" s="315"/>
      <c r="AZ2" s="192">
        <f>AM2</f>
        <v>0.96499999999999997</v>
      </c>
    </row>
    <row r="3" spans="2:52" x14ac:dyDescent="0.2">
      <c r="B3" s="293"/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5"/>
      <c r="O3" s="293"/>
      <c r="P3" s="294"/>
      <c r="Q3" s="294"/>
      <c r="R3" s="294"/>
      <c r="S3" s="294"/>
      <c r="T3" s="294"/>
      <c r="U3" s="294"/>
      <c r="V3" s="294"/>
      <c r="W3" s="294"/>
      <c r="X3" s="294"/>
      <c r="Y3" s="294"/>
      <c r="Z3" s="295"/>
      <c r="AB3" s="293"/>
      <c r="AC3" s="294"/>
      <c r="AD3" s="294"/>
      <c r="AE3" s="294"/>
      <c r="AF3" s="294"/>
      <c r="AG3" s="294"/>
      <c r="AH3" s="294"/>
      <c r="AI3" s="294"/>
      <c r="AJ3" s="294"/>
      <c r="AK3" s="297"/>
      <c r="AL3" s="297"/>
      <c r="AM3" s="298"/>
      <c r="AO3" s="293"/>
      <c r="AP3" s="294"/>
      <c r="AQ3" s="294"/>
      <c r="AR3" s="294"/>
      <c r="AS3" s="294"/>
      <c r="AT3" s="294"/>
      <c r="AU3" s="294"/>
      <c r="AV3" s="294"/>
      <c r="AW3" s="294"/>
      <c r="AX3" s="297"/>
      <c r="AY3" s="297"/>
      <c r="AZ3" s="298"/>
    </row>
    <row r="4" spans="2:52" x14ac:dyDescent="0.2">
      <c r="B4" s="296"/>
      <c r="C4" s="297"/>
      <c r="D4" s="297"/>
      <c r="E4" s="297"/>
      <c r="F4" s="297"/>
      <c r="G4" s="297"/>
      <c r="H4" s="297"/>
      <c r="I4" s="297"/>
      <c r="J4" s="297"/>
      <c r="K4" s="297"/>
      <c r="L4" s="297"/>
      <c r="M4" s="298"/>
      <c r="O4" s="296"/>
      <c r="P4" s="297"/>
      <c r="Q4" s="297"/>
      <c r="R4" s="297"/>
      <c r="S4" s="297"/>
      <c r="T4" s="297"/>
      <c r="U4" s="297"/>
      <c r="V4" s="297"/>
      <c r="W4" s="297"/>
      <c r="X4" s="297"/>
      <c r="Y4" s="297"/>
      <c r="Z4" s="298"/>
      <c r="AB4" s="296"/>
      <c r="AC4" s="297"/>
      <c r="AD4" s="297"/>
      <c r="AE4" s="297"/>
      <c r="AF4" s="297"/>
      <c r="AG4" s="297"/>
      <c r="AH4" s="297"/>
      <c r="AI4" s="297"/>
      <c r="AJ4" s="297"/>
      <c r="AK4" s="297"/>
      <c r="AL4" s="297"/>
      <c r="AM4" s="298"/>
      <c r="AO4" s="296"/>
      <c r="AP4" s="297"/>
      <c r="AQ4" s="297"/>
      <c r="AR4" s="297"/>
      <c r="AS4" s="297"/>
      <c r="AT4" s="297"/>
      <c r="AU4" s="297"/>
      <c r="AV4" s="297"/>
      <c r="AW4" s="297"/>
      <c r="AX4" s="297"/>
      <c r="AY4" s="297"/>
      <c r="AZ4" s="298"/>
    </row>
    <row r="5" spans="2:52" x14ac:dyDescent="0.2">
      <c r="B5" s="296"/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8"/>
      <c r="O5" s="296"/>
      <c r="P5" s="297"/>
      <c r="Q5" s="297"/>
      <c r="R5" s="297"/>
      <c r="S5" s="297"/>
      <c r="T5" s="297"/>
      <c r="U5" s="297"/>
      <c r="V5" s="297"/>
      <c r="W5" s="297"/>
      <c r="X5" s="297"/>
      <c r="Y5" s="297"/>
      <c r="Z5" s="298"/>
      <c r="AB5" s="296"/>
      <c r="AC5" s="297"/>
      <c r="AD5" s="297"/>
      <c r="AE5" s="297"/>
      <c r="AF5" s="297"/>
      <c r="AG5" s="297"/>
      <c r="AH5" s="297"/>
      <c r="AI5" s="297"/>
      <c r="AJ5" s="297"/>
      <c r="AK5" s="297"/>
      <c r="AL5" s="297"/>
      <c r="AM5" s="298"/>
      <c r="AO5" s="296"/>
      <c r="AP5" s="297"/>
      <c r="AQ5" s="297"/>
      <c r="AR5" s="297"/>
      <c r="AS5" s="297"/>
      <c r="AT5" s="297"/>
      <c r="AU5" s="297"/>
      <c r="AV5" s="297"/>
      <c r="AW5" s="297"/>
      <c r="AX5" s="297"/>
      <c r="AY5" s="297"/>
      <c r="AZ5" s="298"/>
    </row>
    <row r="6" spans="2:52" x14ac:dyDescent="0.2">
      <c r="B6" s="296"/>
      <c r="C6" s="297"/>
      <c r="D6" s="297"/>
      <c r="E6" s="297"/>
      <c r="F6" s="297"/>
      <c r="G6" s="297"/>
      <c r="H6" s="297"/>
      <c r="I6" s="297"/>
      <c r="J6" s="297"/>
      <c r="K6" s="297"/>
      <c r="L6" s="297"/>
      <c r="M6" s="298"/>
      <c r="O6" s="296"/>
      <c r="P6" s="297"/>
      <c r="Q6" s="297"/>
      <c r="R6" s="297"/>
      <c r="S6" s="297"/>
      <c r="T6" s="297"/>
      <c r="U6" s="297"/>
      <c r="V6" s="297"/>
      <c r="W6" s="297"/>
      <c r="X6" s="297"/>
      <c r="Y6" s="297"/>
      <c r="Z6" s="298"/>
      <c r="AB6" s="296"/>
      <c r="AC6" s="297"/>
      <c r="AD6" s="297"/>
      <c r="AE6" s="297"/>
      <c r="AF6" s="297"/>
      <c r="AG6" s="297"/>
      <c r="AH6" s="297"/>
      <c r="AI6" s="297"/>
      <c r="AJ6" s="297"/>
      <c r="AK6" s="297"/>
      <c r="AL6" s="297"/>
      <c r="AM6" s="298"/>
      <c r="AO6" s="296"/>
      <c r="AP6" s="297"/>
      <c r="AQ6" s="297"/>
      <c r="AR6" s="297"/>
      <c r="AS6" s="297"/>
      <c r="AT6" s="297"/>
      <c r="AU6" s="297"/>
      <c r="AV6" s="297"/>
      <c r="AW6" s="297"/>
      <c r="AX6" s="297"/>
      <c r="AY6" s="297"/>
      <c r="AZ6" s="298"/>
    </row>
    <row r="7" spans="2:52" x14ac:dyDescent="0.2">
      <c r="B7" s="296"/>
      <c r="C7" s="297"/>
      <c r="D7" s="297"/>
      <c r="E7" s="297"/>
      <c r="F7" s="297"/>
      <c r="G7" s="297"/>
      <c r="H7" s="297"/>
      <c r="I7" s="297"/>
      <c r="J7" s="297"/>
      <c r="K7" s="297"/>
      <c r="L7" s="297"/>
      <c r="M7" s="298"/>
      <c r="O7" s="296"/>
      <c r="P7" s="297"/>
      <c r="Q7" s="297"/>
      <c r="R7" s="297"/>
      <c r="S7" s="297"/>
      <c r="T7" s="297"/>
      <c r="U7" s="297"/>
      <c r="V7" s="297"/>
      <c r="W7" s="297"/>
      <c r="X7" s="297"/>
      <c r="Y7" s="297"/>
      <c r="Z7" s="298"/>
      <c r="AB7" s="296"/>
      <c r="AC7" s="297"/>
      <c r="AD7" s="297"/>
      <c r="AE7" s="297"/>
      <c r="AF7" s="297"/>
      <c r="AG7" s="297"/>
      <c r="AH7" s="297"/>
      <c r="AI7" s="297"/>
      <c r="AJ7" s="297"/>
      <c r="AK7" s="297"/>
      <c r="AL7" s="297"/>
      <c r="AM7" s="298"/>
      <c r="AO7" s="296"/>
      <c r="AP7" s="297"/>
      <c r="AQ7" s="297"/>
      <c r="AR7" s="297"/>
      <c r="AS7" s="297"/>
      <c r="AT7" s="297"/>
      <c r="AU7" s="297"/>
      <c r="AV7" s="297"/>
      <c r="AW7" s="297"/>
      <c r="AX7" s="297"/>
      <c r="AY7" s="297"/>
      <c r="AZ7" s="298"/>
    </row>
    <row r="8" spans="2:52" x14ac:dyDescent="0.2">
      <c r="B8" s="296"/>
      <c r="C8" s="297"/>
      <c r="D8" s="297"/>
      <c r="E8" s="297"/>
      <c r="F8" s="297"/>
      <c r="G8" s="297"/>
      <c r="H8" s="297"/>
      <c r="I8" s="297"/>
      <c r="J8" s="297"/>
      <c r="K8" s="297"/>
      <c r="L8" s="297"/>
      <c r="M8" s="298"/>
      <c r="O8" s="296"/>
      <c r="P8" s="297"/>
      <c r="Q8" s="297"/>
      <c r="R8" s="297"/>
      <c r="S8" s="297"/>
      <c r="T8" s="297"/>
      <c r="U8" s="297"/>
      <c r="V8" s="297"/>
      <c r="W8" s="297"/>
      <c r="X8" s="297"/>
      <c r="Y8" s="297"/>
      <c r="Z8" s="298"/>
      <c r="AB8" s="296"/>
      <c r="AC8" s="297"/>
      <c r="AD8" s="297"/>
      <c r="AE8" s="297"/>
      <c r="AF8" s="297"/>
      <c r="AG8" s="297"/>
      <c r="AH8" s="297"/>
      <c r="AI8" s="297"/>
      <c r="AJ8" s="297"/>
      <c r="AK8" s="297"/>
      <c r="AL8" s="297"/>
      <c r="AM8" s="298"/>
      <c r="AO8" s="296"/>
      <c r="AP8" s="297"/>
      <c r="AQ8" s="297"/>
      <c r="AR8" s="297"/>
      <c r="AS8" s="297"/>
      <c r="AT8" s="297"/>
      <c r="AU8" s="297"/>
      <c r="AV8" s="297"/>
      <c r="AW8" s="297"/>
      <c r="AX8" s="297"/>
      <c r="AY8" s="297"/>
      <c r="AZ8" s="298"/>
    </row>
    <row r="9" spans="2:52" x14ac:dyDescent="0.2">
      <c r="B9" s="296"/>
      <c r="C9" s="297"/>
      <c r="D9" s="297"/>
      <c r="E9" s="297"/>
      <c r="F9" s="297"/>
      <c r="G9" s="297"/>
      <c r="H9" s="297"/>
      <c r="I9" s="297"/>
      <c r="J9" s="297"/>
      <c r="K9" s="297"/>
      <c r="L9" s="297"/>
      <c r="M9" s="298"/>
      <c r="O9" s="296"/>
      <c r="P9" s="297"/>
      <c r="Q9" s="297"/>
      <c r="R9" s="297"/>
      <c r="S9" s="297"/>
      <c r="T9" s="297"/>
      <c r="U9" s="297"/>
      <c r="V9" s="297"/>
      <c r="W9" s="297"/>
      <c r="X9" s="297"/>
      <c r="Y9" s="297"/>
      <c r="Z9" s="298"/>
      <c r="AB9" s="296"/>
      <c r="AC9" s="297"/>
      <c r="AD9" s="297"/>
      <c r="AE9" s="297"/>
      <c r="AF9" s="297"/>
      <c r="AG9" s="297"/>
      <c r="AH9" s="297"/>
      <c r="AI9" s="297"/>
      <c r="AJ9" s="297"/>
      <c r="AK9" s="297"/>
      <c r="AL9" s="297"/>
      <c r="AM9" s="298"/>
      <c r="AO9" s="296"/>
      <c r="AP9" s="297"/>
      <c r="AQ9" s="297"/>
      <c r="AR9" s="297"/>
      <c r="AS9" s="297"/>
      <c r="AT9" s="297"/>
      <c r="AU9" s="297"/>
      <c r="AV9" s="297"/>
      <c r="AW9" s="297"/>
      <c r="AX9" s="297"/>
      <c r="AY9" s="297"/>
      <c r="AZ9" s="298"/>
    </row>
    <row r="10" spans="2:52" x14ac:dyDescent="0.2">
      <c r="B10" s="296"/>
      <c r="C10" s="297"/>
      <c r="D10" s="297"/>
      <c r="E10" s="297"/>
      <c r="F10" s="297"/>
      <c r="G10" s="297"/>
      <c r="H10" s="297"/>
      <c r="I10" s="297"/>
      <c r="J10" s="297"/>
      <c r="K10" s="297"/>
      <c r="L10" s="297"/>
      <c r="M10" s="298"/>
      <c r="O10" s="296"/>
      <c r="P10" s="297"/>
      <c r="Q10" s="297"/>
      <c r="R10" s="297"/>
      <c r="S10" s="297"/>
      <c r="T10" s="297"/>
      <c r="U10" s="297"/>
      <c r="V10" s="297"/>
      <c r="W10" s="297"/>
      <c r="X10" s="297"/>
      <c r="Y10" s="297"/>
      <c r="Z10" s="298"/>
      <c r="AB10" s="296"/>
      <c r="AC10" s="297"/>
      <c r="AD10" s="297"/>
      <c r="AE10" s="297"/>
      <c r="AF10" s="297"/>
      <c r="AG10" s="297"/>
      <c r="AH10" s="297"/>
      <c r="AI10" s="297"/>
      <c r="AJ10" s="297"/>
      <c r="AK10" s="297"/>
      <c r="AL10" s="297"/>
      <c r="AM10" s="298"/>
      <c r="AO10" s="296"/>
      <c r="AP10" s="297"/>
      <c r="AQ10" s="297"/>
      <c r="AR10" s="297"/>
      <c r="AS10" s="297"/>
      <c r="AT10" s="297"/>
      <c r="AU10" s="297"/>
      <c r="AV10" s="297"/>
      <c r="AW10" s="297"/>
      <c r="AX10" s="297"/>
      <c r="AY10" s="297"/>
      <c r="AZ10" s="298"/>
    </row>
    <row r="11" spans="2:52" x14ac:dyDescent="0.2">
      <c r="B11" s="296"/>
      <c r="C11" s="297"/>
      <c r="D11" s="297"/>
      <c r="E11" s="297"/>
      <c r="F11" s="297"/>
      <c r="G11" s="297"/>
      <c r="H11" s="297"/>
      <c r="I11" s="297"/>
      <c r="J11" s="297"/>
      <c r="K11" s="297"/>
      <c r="L11" s="297"/>
      <c r="M11" s="298"/>
      <c r="O11" s="296"/>
      <c r="P11" s="297"/>
      <c r="Q11" s="297"/>
      <c r="R11" s="297"/>
      <c r="S11" s="297"/>
      <c r="T11" s="297"/>
      <c r="U11" s="297"/>
      <c r="V11" s="297"/>
      <c r="W11" s="297"/>
      <c r="X11" s="297"/>
      <c r="Y11" s="297"/>
      <c r="Z11" s="298"/>
      <c r="AB11" s="296"/>
      <c r="AC11" s="297"/>
      <c r="AD11" s="297"/>
      <c r="AE11" s="297"/>
      <c r="AF11" s="297"/>
      <c r="AG11" s="297"/>
      <c r="AH11" s="297"/>
      <c r="AI11" s="297"/>
      <c r="AJ11" s="297"/>
      <c r="AK11" s="297"/>
      <c r="AL11" s="297"/>
      <c r="AM11" s="298"/>
      <c r="AO11" s="296"/>
      <c r="AP11" s="297"/>
      <c r="AQ11" s="297"/>
      <c r="AR11" s="297"/>
      <c r="AS11" s="297"/>
      <c r="AT11" s="297"/>
      <c r="AU11" s="297"/>
      <c r="AV11" s="297"/>
      <c r="AW11" s="297"/>
      <c r="AX11" s="297"/>
      <c r="AY11" s="297"/>
      <c r="AZ11" s="298"/>
    </row>
    <row r="12" spans="2:52" x14ac:dyDescent="0.2">
      <c r="B12" s="296"/>
      <c r="C12" s="297"/>
      <c r="D12" s="297"/>
      <c r="E12" s="297"/>
      <c r="F12" s="297"/>
      <c r="G12" s="297"/>
      <c r="H12" s="297"/>
      <c r="I12" s="297"/>
      <c r="J12" s="297"/>
      <c r="K12" s="297"/>
      <c r="L12" s="297"/>
      <c r="M12" s="298"/>
      <c r="O12" s="296"/>
      <c r="P12" s="297"/>
      <c r="Q12" s="297"/>
      <c r="R12" s="297"/>
      <c r="S12" s="297"/>
      <c r="T12" s="297"/>
      <c r="U12" s="297"/>
      <c r="V12" s="297"/>
      <c r="W12" s="297"/>
      <c r="X12" s="297"/>
      <c r="Y12" s="297"/>
      <c r="Z12" s="298"/>
      <c r="AB12" s="296"/>
      <c r="AC12" s="297"/>
      <c r="AD12" s="297"/>
      <c r="AE12" s="297"/>
      <c r="AF12" s="297"/>
      <c r="AG12" s="297"/>
      <c r="AH12" s="297"/>
      <c r="AI12" s="297"/>
      <c r="AJ12" s="297"/>
      <c r="AK12" s="297"/>
      <c r="AL12" s="297"/>
      <c r="AM12" s="298"/>
      <c r="AO12" s="296"/>
      <c r="AP12" s="297"/>
      <c r="AQ12" s="297"/>
      <c r="AR12" s="297"/>
      <c r="AS12" s="297"/>
      <c r="AT12" s="297"/>
      <c r="AU12" s="297"/>
      <c r="AV12" s="297"/>
      <c r="AW12" s="297"/>
      <c r="AX12" s="297"/>
      <c r="AY12" s="297"/>
      <c r="AZ12" s="298"/>
    </row>
    <row r="13" spans="2:52" x14ac:dyDescent="0.2">
      <c r="B13" s="296"/>
      <c r="C13" s="297"/>
      <c r="D13" s="297"/>
      <c r="E13" s="297"/>
      <c r="F13" s="297"/>
      <c r="G13" s="297"/>
      <c r="H13" s="297"/>
      <c r="I13" s="297"/>
      <c r="J13" s="297"/>
      <c r="K13" s="297"/>
      <c r="L13" s="297"/>
      <c r="M13" s="298"/>
      <c r="O13" s="296"/>
      <c r="P13" s="297"/>
      <c r="Q13" s="297"/>
      <c r="R13" s="297"/>
      <c r="S13" s="297"/>
      <c r="T13" s="297"/>
      <c r="U13" s="297"/>
      <c r="V13" s="297"/>
      <c r="W13" s="297"/>
      <c r="X13" s="297"/>
      <c r="Y13" s="297"/>
      <c r="Z13" s="298"/>
      <c r="AB13" s="296"/>
      <c r="AC13" s="297"/>
      <c r="AD13" s="297"/>
      <c r="AE13" s="297"/>
      <c r="AF13" s="297"/>
      <c r="AG13" s="297"/>
      <c r="AH13" s="297"/>
      <c r="AI13" s="297"/>
      <c r="AJ13" s="297"/>
      <c r="AK13" s="297"/>
      <c r="AL13" s="297"/>
      <c r="AM13" s="298"/>
      <c r="AO13" s="296"/>
      <c r="AP13" s="297"/>
      <c r="AQ13" s="297"/>
      <c r="AR13" s="297"/>
      <c r="AS13" s="297"/>
      <c r="AT13" s="297"/>
      <c r="AU13" s="297"/>
      <c r="AV13" s="297"/>
      <c r="AW13" s="297"/>
      <c r="AX13" s="297"/>
      <c r="AY13" s="297"/>
      <c r="AZ13" s="298"/>
    </row>
    <row r="14" spans="2:52" x14ac:dyDescent="0.2">
      <c r="B14" s="296"/>
      <c r="C14" s="297"/>
      <c r="D14" s="297"/>
      <c r="E14" s="297"/>
      <c r="F14" s="297"/>
      <c r="G14" s="297"/>
      <c r="H14" s="297"/>
      <c r="I14" s="297"/>
      <c r="J14" s="297"/>
      <c r="K14" s="297"/>
      <c r="L14" s="297"/>
      <c r="M14" s="298"/>
      <c r="O14" s="296"/>
      <c r="P14" s="297"/>
      <c r="Q14" s="297"/>
      <c r="R14" s="297"/>
      <c r="S14" s="297"/>
      <c r="T14" s="297"/>
      <c r="U14" s="297"/>
      <c r="V14" s="297"/>
      <c r="W14" s="297"/>
      <c r="X14" s="297"/>
      <c r="Y14" s="297"/>
      <c r="Z14" s="298"/>
      <c r="AB14" s="296"/>
      <c r="AC14" s="297"/>
      <c r="AD14" s="297"/>
      <c r="AE14" s="297"/>
      <c r="AF14" s="297"/>
      <c r="AG14" s="297"/>
      <c r="AH14" s="297"/>
      <c r="AI14" s="297"/>
      <c r="AJ14" s="297"/>
      <c r="AK14" s="297"/>
      <c r="AL14" s="297"/>
      <c r="AM14" s="298"/>
      <c r="AO14" s="296"/>
      <c r="AP14" s="297"/>
      <c r="AQ14" s="297"/>
      <c r="AR14" s="297"/>
      <c r="AS14" s="297"/>
      <c r="AT14" s="297"/>
      <c r="AU14" s="297"/>
      <c r="AV14" s="297"/>
      <c r="AW14" s="297"/>
      <c r="AX14" s="297"/>
      <c r="AY14" s="297"/>
      <c r="AZ14" s="298"/>
    </row>
    <row r="15" spans="2:52" x14ac:dyDescent="0.2">
      <c r="B15" s="296"/>
      <c r="C15" s="297"/>
      <c r="D15" s="297"/>
      <c r="E15" s="297"/>
      <c r="F15" s="297"/>
      <c r="G15" s="297"/>
      <c r="H15" s="297"/>
      <c r="I15" s="297"/>
      <c r="J15" s="297"/>
      <c r="K15" s="297"/>
      <c r="L15" s="297"/>
      <c r="M15" s="298"/>
      <c r="O15" s="296"/>
      <c r="P15" s="297"/>
      <c r="Q15" s="297"/>
      <c r="R15" s="297"/>
      <c r="S15" s="297"/>
      <c r="T15" s="297"/>
      <c r="U15" s="297"/>
      <c r="V15" s="297"/>
      <c r="W15" s="297"/>
      <c r="X15" s="297"/>
      <c r="Y15" s="297"/>
      <c r="Z15" s="298"/>
      <c r="AB15" s="296"/>
      <c r="AC15" s="297"/>
      <c r="AD15" s="297"/>
      <c r="AE15" s="297"/>
      <c r="AF15" s="297"/>
      <c r="AG15" s="297"/>
      <c r="AH15" s="297"/>
      <c r="AI15" s="297"/>
      <c r="AJ15" s="297"/>
      <c r="AK15" s="297"/>
      <c r="AL15" s="297"/>
      <c r="AM15" s="298"/>
      <c r="AO15" s="296"/>
      <c r="AP15" s="297"/>
      <c r="AQ15" s="297"/>
      <c r="AR15" s="297"/>
      <c r="AS15" s="297"/>
      <c r="AT15" s="297"/>
      <c r="AU15" s="297"/>
      <c r="AV15" s="297"/>
      <c r="AW15" s="297"/>
      <c r="AX15" s="297"/>
      <c r="AY15" s="297"/>
      <c r="AZ15" s="298"/>
    </row>
    <row r="16" spans="2:52" x14ac:dyDescent="0.2">
      <c r="B16" s="296"/>
      <c r="C16" s="297"/>
      <c r="D16" s="297"/>
      <c r="E16" s="297"/>
      <c r="F16" s="297"/>
      <c r="G16" s="297"/>
      <c r="H16" s="297"/>
      <c r="I16" s="297"/>
      <c r="J16" s="297"/>
      <c r="K16" s="297"/>
      <c r="L16" s="297"/>
      <c r="M16" s="298"/>
      <c r="O16" s="296"/>
      <c r="P16" s="297"/>
      <c r="Q16" s="297"/>
      <c r="R16" s="297"/>
      <c r="S16" s="297"/>
      <c r="T16" s="297"/>
      <c r="U16" s="297"/>
      <c r="V16" s="297"/>
      <c r="W16" s="297"/>
      <c r="X16" s="297"/>
      <c r="Y16" s="297"/>
      <c r="Z16" s="298"/>
      <c r="AB16" s="296"/>
      <c r="AC16" s="297"/>
      <c r="AD16" s="297"/>
      <c r="AE16" s="297"/>
      <c r="AF16" s="297"/>
      <c r="AG16" s="297"/>
      <c r="AH16" s="297"/>
      <c r="AI16" s="297"/>
      <c r="AJ16" s="297"/>
      <c r="AK16" s="297"/>
      <c r="AL16" s="297"/>
      <c r="AM16" s="298"/>
      <c r="AO16" s="296"/>
      <c r="AP16" s="297"/>
      <c r="AQ16" s="297"/>
      <c r="AR16" s="297"/>
      <c r="AS16" s="297"/>
      <c r="AT16" s="297"/>
      <c r="AU16" s="297"/>
      <c r="AV16" s="297"/>
      <c r="AW16" s="297"/>
      <c r="AX16" s="297"/>
      <c r="AY16" s="297"/>
      <c r="AZ16" s="298"/>
    </row>
    <row r="17" spans="2:52" x14ac:dyDescent="0.2">
      <c r="B17" s="296"/>
      <c r="C17" s="297"/>
      <c r="D17" s="297"/>
      <c r="E17" s="297"/>
      <c r="F17" s="297"/>
      <c r="G17" s="297"/>
      <c r="H17" s="297"/>
      <c r="I17" s="297"/>
      <c r="J17" s="297"/>
      <c r="K17" s="297"/>
      <c r="L17" s="297"/>
      <c r="M17" s="298"/>
      <c r="O17" s="296"/>
      <c r="P17" s="297"/>
      <c r="Q17" s="297"/>
      <c r="R17" s="297"/>
      <c r="S17" s="297"/>
      <c r="T17" s="297"/>
      <c r="U17" s="297"/>
      <c r="V17" s="297"/>
      <c r="W17" s="297"/>
      <c r="X17" s="297"/>
      <c r="Y17" s="297"/>
      <c r="Z17" s="298"/>
      <c r="AB17" s="296"/>
      <c r="AC17" s="297"/>
      <c r="AD17" s="297"/>
      <c r="AE17" s="297"/>
      <c r="AF17" s="297"/>
      <c r="AG17" s="297"/>
      <c r="AH17" s="297"/>
      <c r="AI17" s="297"/>
      <c r="AJ17" s="297"/>
      <c r="AK17" s="297"/>
      <c r="AL17" s="297"/>
      <c r="AM17" s="298"/>
      <c r="AO17" s="296"/>
      <c r="AP17" s="297"/>
      <c r="AQ17" s="297"/>
      <c r="AR17" s="297"/>
      <c r="AS17" s="297"/>
      <c r="AT17" s="297"/>
      <c r="AU17" s="297"/>
      <c r="AV17" s="297"/>
      <c r="AW17" s="297"/>
      <c r="AX17" s="297"/>
      <c r="AY17" s="297"/>
      <c r="AZ17" s="298"/>
    </row>
    <row r="18" spans="2:52" x14ac:dyDescent="0.2">
      <c r="B18" s="296"/>
      <c r="C18" s="297"/>
      <c r="D18" s="297"/>
      <c r="E18" s="297"/>
      <c r="F18" s="297"/>
      <c r="G18" s="297"/>
      <c r="H18" s="297"/>
      <c r="I18" s="297"/>
      <c r="J18" s="297"/>
      <c r="K18" s="297"/>
      <c r="L18" s="297"/>
      <c r="M18" s="298"/>
      <c r="O18" s="296"/>
      <c r="P18" s="297"/>
      <c r="Q18" s="297"/>
      <c r="R18" s="297"/>
      <c r="S18" s="297"/>
      <c r="T18" s="297"/>
      <c r="U18" s="297"/>
      <c r="V18" s="297"/>
      <c r="W18" s="297"/>
      <c r="X18" s="297"/>
      <c r="Y18" s="297"/>
      <c r="Z18" s="298"/>
      <c r="AB18" s="296"/>
      <c r="AC18" s="297"/>
      <c r="AD18" s="297"/>
      <c r="AE18" s="297"/>
      <c r="AF18" s="297"/>
      <c r="AG18" s="297"/>
      <c r="AH18" s="297"/>
      <c r="AI18" s="297"/>
      <c r="AJ18" s="297"/>
      <c r="AK18" s="297"/>
      <c r="AL18" s="297"/>
      <c r="AM18" s="298"/>
      <c r="AO18" s="296"/>
      <c r="AP18" s="297"/>
      <c r="AQ18" s="297"/>
      <c r="AR18" s="297"/>
      <c r="AS18" s="297"/>
      <c r="AT18" s="297"/>
      <c r="AU18" s="297"/>
      <c r="AV18" s="297"/>
      <c r="AW18" s="297"/>
      <c r="AX18" s="297"/>
      <c r="AY18" s="297"/>
      <c r="AZ18" s="298"/>
    </row>
    <row r="19" spans="2:52" x14ac:dyDescent="0.2">
      <c r="B19" s="296"/>
      <c r="C19" s="297"/>
      <c r="D19" s="297"/>
      <c r="E19" s="297"/>
      <c r="F19" s="297"/>
      <c r="G19" s="297"/>
      <c r="H19" s="297"/>
      <c r="I19" s="297"/>
      <c r="J19" s="297"/>
      <c r="K19" s="297"/>
      <c r="L19" s="297"/>
      <c r="M19" s="298"/>
      <c r="O19" s="296"/>
      <c r="P19" s="297"/>
      <c r="Q19" s="297"/>
      <c r="R19" s="297"/>
      <c r="S19" s="297"/>
      <c r="T19" s="297"/>
      <c r="U19" s="297"/>
      <c r="V19" s="297"/>
      <c r="W19" s="297"/>
      <c r="X19" s="297"/>
      <c r="Y19" s="297"/>
      <c r="Z19" s="298"/>
      <c r="AB19" s="296"/>
      <c r="AC19" s="297"/>
      <c r="AD19" s="297"/>
      <c r="AE19" s="297"/>
      <c r="AF19" s="297"/>
      <c r="AG19" s="297"/>
      <c r="AH19" s="297"/>
      <c r="AI19" s="297"/>
      <c r="AJ19" s="297"/>
      <c r="AK19" s="297"/>
      <c r="AL19" s="297"/>
      <c r="AM19" s="298"/>
      <c r="AO19" s="296"/>
      <c r="AP19" s="297"/>
      <c r="AQ19" s="297"/>
      <c r="AR19" s="297"/>
      <c r="AS19" s="297"/>
      <c r="AT19" s="297"/>
      <c r="AU19" s="297"/>
      <c r="AV19" s="297"/>
      <c r="AW19" s="297"/>
      <c r="AX19" s="297"/>
      <c r="AY19" s="297"/>
      <c r="AZ19" s="298"/>
    </row>
    <row r="20" spans="2:52" x14ac:dyDescent="0.2">
      <c r="B20" s="296"/>
      <c r="C20" s="297"/>
      <c r="D20" s="297"/>
      <c r="E20" s="297"/>
      <c r="F20" s="297"/>
      <c r="G20" s="297"/>
      <c r="H20" s="297"/>
      <c r="I20" s="297"/>
      <c r="J20" s="297"/>
      <c r="K20" s="297"/>
      <c r="L20" s="297"/>
      <c r="M20" s="298"/>
      <c r="O20" s="296"/>
      <c r="P20" s="297"/>
      <c r="Q20" s="297"/>
      <c r="R20" s="297"/>
      <c r="S20" s="297"/>
      <c r="T20" s="297"/>
      <c r="U20" s="297"/>
      <c r="V20" s="297"/>
      <c r="W20" s="297"/>
      <c r="X20" s="297"/>
      <c r="Y20" s="297"/>
      <c r="Z20" s="298"/>
      <c r="AB20" s="296"/>
      <c r="AC20" s="297"/>
      <c r="AD20" s="297"/>
      <c r="AE20" s="297"/>
      <c r="AF20" s="297"/>
      <c r="AG20" s="297"/>
      <c r="AH20" s="297"/>
      <c r="AI20" s="297"/>
      <c r="AJ20" s="297"/>
      <c r="AK20" s="297"/>
      <c r="AL20" s="297"/>
      <c r="AM20" s="298"/>
      <c r="AO20" s="296"/>
      <c r="AP20" s="297"/>
      <c r="AQ20" s="297"/>
      <c r="AR20" s="297"/>
      <c r="AS20" s="297"/>
      <c r="AT20" s="297"/>
      <c r="AU20" s="297"/>
      <c r="AV20" s="297"/>
      <c r="AW20" s="297"/>
      <c r="AX20" s="297"/>
      <c r="AY20" s="297"/>
      <c r="AZ20" s="298"/>
    </row>
    <row r="21" spans="2:52" x14ac:dyDescent="0.2">
      <c r="B21" s="296"/>
      <c r="C21" s="297"/>
      <c r="D21" s="297"/>
      <c r="E21" s="297"/>
      <c r="F21" s="297"/>
      <c r="G21" s="297"/>
      <c r="H21" s="297"/>
      <c r="I21" s="297"/>
      <c r="J21" s="297"/>
      <c r="K21" s="297"/>
      <c r="L21" s="297"/>
      <c r="M21" s="298"/>
      <c r="O21" s="296"/>
      <c r="P21" s="297"/>
      <c r="Q21" s="297"/>
      <c r="R21" s="297"/>
      <c r="S21" s="297"/>
      <c r="T21" s="297"/>
      <c r="U21" s="297"/>
      <c r="V21" s="297"/>
      <c r="W21" s="297"/>
      <c r="X21" s="297"/>
      <c r="Y21" s="297"/>
      <c r="Z21" s="298"/>
      <c r="AB21" s="296"/>
      <c r="AC21" s="297"/>
      <c r="AD21" s="297"/>
      <c r="AE21" s="297"/>
      <c r="AF21" s="297"/>
      <c r="AG21" s="297"/>
      <c r="AH21" s="297"/>
      <c r="AI21" s="297"/>
      <c r="AJ21" s="297"/>
      <c r="AK21" s="297"/>
      <c r="AL21" s="297"/>
      <c r="AM21" s="298"/>
      <c r="AO21" s="296"/>
      <c r="AP21" s="297"/>
      <c r="AQ21" s="297"/>
      <c r="AR21" s="297"/>
      <c r="AS21" s="297"/>
      <c r="AT21" s="297"/>
      <c r="AU21" s="297"/>
      <c r="AV21" s="297"/>
      <c r="AW21" s="297"/>
      <c r="AX21" s="297"/>
      <c r="AY21" s="297"/>
      <c r="AZ21" s="298"/>
    </row>
    <row r="22" spans="2:52" x14ac:dyDescent="0.2">
      <c r="B22" s="296"/>
      <c r="C22" s="297"/>
      <c r="D22" s="297"/>
      <c r="E22" s="297"/>
      <c r="F22" s="297"/>
      <c r="G22" s="297"/>
      <c r="H22" s="297"/>
      <c r="I22" s="297"/>
      <c r="J22" s="297"/>
      <c r="K22" s="297"/>
      <c r="L22" s="297"/>
      <c r="M22" s="298"/>
      <c r="O22" s="296"/>
      <c r="P22" s="297"/>
      <c r="Q22" s="297"/>
      <c r="R22" s="297"/>
      <c r="S22" s="297"/>
      <c r="T22" s="297"/>
      <c r="U22" s="297"/>
      <c r="V22" s="297"/>
      <c r="W22" s="297"/>
      <c r="X22" s="297"/>
      <c r="Y22" s="297"/>
      <c r="Z22" s="298"/>
      <c r="AB22" s="296"/>
      <c r="AC22" s="297"/>
      <c r="AD22" s="297"/>
      <c r="AE22" s="297"/>
      <c r="AF22" s="297"/>
      <c r="AG22" s="297"/>
      <c r="AH22" s="297"/>
      <c r="AI22" s="297"/>
      <c r="AJ22" s="297"/>
      <c r="AK22" s="297"/>
      <c r="AL22" s="297"/>
      <c r="AM22" s="298"/>
      <c r="AO22" s="296"/>
      <c r="AP22" s="297"/>
      <c r="AQ22" s="297"/>
      <c r="AR22" s="297"/>
      <c r="AS22" s="297"/>
      <c r="AT22" s="297"/>
      <c r="AU22" s="297"/>
      <c r="AV22" s="297"/>
      <c r="AW22" s="297"/>
      <c r="AX22" s="297"/>
      <c r="AY22" s="297"/>
      <c r="AZ22" s="298"/>
    </row>
    <row r="23" spans="2:52" x14ac:dyDescent="0.2">
      <c r="B23" s="296"/>
      <c r="C23" s="297"/>
      <c r="D23" s="297"/>
      <c r="E23" s="297"/>
      <c r="F23" s="297"/>
      <c r="G23" s="297"/>
      <c r="H23" s="297"/>
      <c r="I23" s="297"/>
      <c r="J23" s="297"/>
      <c r="K23" s="297"/>
      <c r="L23" s="297"/>
      <c r="M23" s="298"/>
      <c r="O23" s="296"/>
      <c r="P23" s="297"/>
      <c r="Q23" s="297"/>
      <c r="R23" s="297"/>
      <c r="S23" s="297"/>
      <c r="T23" s="297"/>
      <c r="U23" s="297"/>
      <c r="V23" s="297"/>
      <c r="W23" s="297"/>
      <c r="X23" s="297"/>
      <c r="Y23" s="297"/>
      <c r="Z23" s="298"/>
      <c r="AB23" s="296"/>
      <c r="AC23" s="297"/>
      <c r="AD23" s="297"/>
      <c r="AE23" s="297"/>
      <c r="AF23" s="297"/>
      <c r="AG23" s="297"/>
      <c r="AH23" s="297"/>
      <c r="AI23" s="297"/>
      <c r="AJ23" s="297"/>
      <c r="AK23" s="297"/>
      <c r="AL23" s="297"/>
      <c r="AM23" s="298"/>
      <c r="AO23" s="296"/>
      <c r="AP23" s="297"/>
      <c r="AQ23" s="297"/>
      <c r="AR23" s="297"/>
      <c r="AS23" s="297"/>
      <c r="AT23" s="297"/>
      <c r="AU23" s="297"/>
      <c r="AV23" s="297"/>
      <c r="AW23" s="297"/>
      <c r="AX23" s="297"/>
      <c r="AY23" s="297"/>
      <c r="AZ23" s="298"/>
    </row>
    <row r="24" spans="2:52" x14ac:dyDescent="0.2">
      <c r="B24" s="296"/>
      <c r="C24" s="297"/>
      <c r="D24" s="297"/>
      <c r="E24" s="297"/>
      <c r="F24" s="297"/>
      <c r="G24" s="297"/>
      <c r="H24" s="297"/>
      <c r="I24" s="297"/>
      <c r="J24" s="297"/>
      <c r="K24" s="297"/>
      <c r="L24" s="297"/>
      <c r="M24" s="298"/>
      <c r="O24" s="296"/>
      <c r="P24" s="297"/>
      <c r="Q24" s="297"/>
      <c r="R24" s="297"/>
      <c r="S24" s="297"/>
      <c r="T24" s="297"/>
      <c r="U24" s="297"/>
      <c r="V24" s="297"/>
      <c r="W24" s="297"/>
      <c r="X24" s="297"/>
      <c r="Y24" s="297"/>
      <c r="Z24" s="298"/>
      <c r="AB24" s="296"/>
      <c r="AC24" s="297"/>
      <c r="AD24" s="297"/>
      <c r="AE24" s="297"/>
      <c r="AF24" s="297"/>
      <c r="AG24" s="297"/>
      <c r="AH24" s="297"/>
      <c r="AI24" s="297"/>
      <c r="AJ24" s="297"/>
      <c r="AK24" s="297"/>
      <c r="AL24" s="297"/>
      <c r="AM24" s="298"/>
      <c r="AO24" s="296"/>
      <c r="AP24" s="297"/>
      <c r="AQ24" s="297"/>
      <c r="AR24" s="297"/>
      <c r="AS24" s="297"/>
      <c r="AT24" s="297"/>
      <c r="AU24" s="297"/>
      <c r="AV24" s="297"/>
      <c r="AW24" s="297"/>
      <c r="AX24" s="297"/>
      <c r="AY24" s="297"/>
      <c r="AZ24" s="298"/>
    </row>
    <row r="25" spans="2:52" x14ac:dyDescent="0.2">
      <c r="B25" s="296"/>
      <c r="C25" s="297"/>
      <c r="D25" s="297"/>
      <c r="E25" s="297"/>
      <c r="F25" s="297"/>
      <c r="G25" s="297"/>
      <c r="H25" s="297"/>
      <c r="I25" s="297"/>
      <c r="J25" s="297"/>
      <c r="K25" s="297"/>
      <c r="L25" s="297"/>
      <c r="M25" s="298"/>
      <c r="O25" s="296"/>
      <c r="P25" s="297"/>
      <c r="Q25" s="297"/>
      <c r="R25" s="297"/>
      <c r="S25" s="297"/>
      <c r="T25" s="297"/>
      <c r="U25" s="297"/>
      <c r="V25" s="297"/>
      <c r="W25" s="297"/>
      <c r="X25" s="297"/>
      <c r="Y25" s="297"/>
      <c r="Z25" s="298"/>
      <c r="AB25" s="296"/>
      <c r="AC25" s="297"/>
      <c r="AD25" s="297"/>
      <c r="AE25" s="297"/>
      <c r="AF25" s="297"/>
      <c r="AG25" s="297"/>
      <c r="AH25" s="297"/>
      <c r="AI25" s="297"/>
      <c r="AJ25" s="297"/>
      <c r="AK25" s="297"/>
      <c r="AL25" s="297"/>
      <c r="AM25" s="298"/>
      <c r="AO25" s="296"/>
      <c r="AP25" s="297"/>
      <c r="AQ25" s="297"/>
      <c r="AR25" s="297"/>
      <c r="AS25" s="297"/>
      <c r="AT25" s="297"/>
      <c r="AU25" s="297"/>
      <c r="AV25" s="297"/>
      <c r="AW25" s="297"/>
      <c r="AX25" s="297"/>
      <c r="AY25" s="297"/>
      <c r="AZ25" s="298"/>
    </row>
    <row r="26" spans="2:52" x14ac:dyDescent="0.2">
      <c r="B26" s="296"/>
      <c r="C26" s="297"/>
      <c r="D26" s="297"/>
      <c r="E26" s="297"/>
      <c r="F26" s="297"/>
      <c r="G26" s="297"/>
      <c r="H26" s="297"/>
      <c r="I26" s="297"/>
      <c r="J26" s="297"/>
      <c r="K26" s="297"/>
      <c r="L26" s="297"/>
      <c r="M26" s="298"/>
      <c r="O26" s="296"/>
      <c r="P26" s="297"/>
      <c r="Q26" s="297"/>
      <c r="R26" s="297"/>
      <c r="S26" s="297"/>
      <c r="T26" s="297"/>
      <c r="U26" s="297"/>
      <c r="V26" s="297"/>
      <c r="W26" s="297"/>
      <c r="X26" s="297"/>
      <c r="Y26" s="297"/>
      <c r="Z26" s="298"/>
      <c r="AB26" s="296"/>
      <c r="AC26" s="297"/>
      <c r="AD26" s="297"/>
      <c r="AE26" s="297"/>
      <c r="AF26" s="297"/>
      <c r="AG26" s="297"/>
      <c r="AH26" s="297"/>
      <c r="AI26" s="297"/>
      <c r="AJ26" s="297"/>
      <c r="AK26" s="297"/>
      <c r="AL26" s="297"/>
      <c r="AM26" s="298"/>
      <c r="AO26" s="296"/>
      <c r="AP26" s="297"/>
      <c r="AQ26" s="297"/>
      <c r="AR26" s="297"/>
      <c r="AS26" s="297"/>
      <c r="AT26" s="297"/>
      <c r="AU26" s="297"/>
      <c r="AV26" s="297"/>
      <c r="AW26" s="297"/>
      <c r="AX26" s="297"/>
      <c r="AY26" s="297"/>
      <c r="AZ26" s="298"/>
    </row>
    <row r="27" spans="2:52" x14ac:dyDescent="0.2">
      <c r="B27" s="296"/>
      <c r="C27" s="297"/>
      <c r="D27" s="297"/>
      <c r="E27" s="297"/>
      <c r="F27" s="297"/>
      <c r="G27" s="297"/>
      <c r="H27" s="297"/>
      <c r="I27" s="297"/>
      <c r="J27" s="297"/>
      <c r="K27" s="297"/>
      <c r="L27" s="297"/>
      <c r="M27" s="298"/>
      <c r="O27" s="296"/>
      <c r="P27" s="297"/>
      <c r="Q27" s="297"/>
      <c r="R27" s="297"/>
      <c r="S27" s="297"/>
      <c r="T27" s="297"/>
      <c r="U27" s="297"/>
      <c r="V27" s="297"/>
      <c r="W27" s="297"/>
      <c r="X27" s="297"/>
      <c r="Y27" s="297"/>
      <c r="Z27" s="298"/>
      <c r="AB27" s="296"/>
      <c r="AC27" s="297"/>
      <c r="AD27" s="297"/>
      <c r="AE27" s="297"/>
      <c r="AF27" s="297"/>
      <c r="AG27" s="297"/>
      <c r="AH27" s="297"/>
      <c r="AI27" s="297"/>
      <c r="AJ27" s="297"/>
      <c r="AK27" s="297"/>
      <c r="AL27" s="297"/>
      <c r="AM27" s="298"/>
      <c r="AO27" s="296"/>
      <c r="AP27" s="297"/>
      <c r="AQ27" s="297"/>
      <c r="AR27" s="297"/>
      <c r="AS27" s="297"/>
      <c r="AT27" s="297"/>
      <c r="AU27" s="297"/>
      <c r="AV27" s="297"/>
      <c r="AW27" s="297"/>
      <c r="AX27" s="297"/>
      <c r="AY27" s="297"/>
      <c r="AZ27" s="298"/>
    </row>
    <row r="28" spans="2:52" ht="13.5" thickBot="1" x14ac:dyDescent="0.25">
      <c r="B28" s="299"/>
      <c r="C28" s="300"/>
      <c r="D28" s="300"/>
      <c r="E28" s="300"/>
      <c r="F28" s="300"/>
      <c r="G28" s="300"/>
      <c r="H28" s="300"/>
      <c r="I28" s="300"/>
      <c r="J28" s="300"/>
      <c r="K28" s="300"/>
      <c r="L28" s="300"/>
      <c r="M28" s="301"/>
      <c r="O28" s="299"/>
      <c r="P28" s="300"/>
      <c r="Q28" s="300"/>
      <c r="R28" s="300"/>
      <c r="S28" s="300"/>
      <c r="T28" s="300"/>
      <c r="U28" s="300"/>
      <c r="V28" s="300"/>
      <c r="W28" s="300"/>
      <c r="X28" s="300"/>
      <c r="Y28" s="300"/>
      <c r="Z28" s="301"/>
      <c r="AB28" s="299"/>
      <c r="AC28" s="300"/>
      <c r="AD28" s="300"/>
      <c r="AE28" s="300"/>
      <c r="AF28" s="300"/>
      <c r="AG28" s="300"/>
      <c r="AH28" s="300"/>
      <c r="AI28" s="300"/>
      <c r="AJ28" s="300"/>
      <c r="AK28" s="300"/>
      <c r="AL28" s="300"/>
      <c r="AM28" s="301"/>
      <c r="AO28" s="299"/>
      <c r="AP28" s="300"/>
      <c r="AQ28" s="300"/>
      <c r="AR28" s="300"/>
      <c r="AS28" s="300"/>
      <c r="AT28" s="300"/>
      <c r="AU28" s="300"/>
      <c r="AV28" s="300"/>
      <c r="AW28" s="300"/>
      <c r="AX28" s="300"/>
      <c r="AY28" s="300"/>
      <c r="AZ28" s="301"/>
    </row>
    <row r="29" spans="2:52" ht="13.5" thickBot="1" x14ac:dyDescent="0.25"/>
    <row r="30" spans="2:52" ht="38.25" customHeight="1" thickBot="1" x14ac:dyDescent="0.25">
      <c r="B30" s="302" t="s">
        <v>235</v>
      </c>
      <c r="C30" s="303"/>
      <c r="D30" s="303"/>
      <c r="E30" s="303"/>
      <c r="F30" s="303"/>
      <c r="G30" s="303"/>
      <c r="H30" s="303"/>
      <c r="I30" s="303"/>
      <c r="J30" s="304"/>
      <c r="K30" s="305" t="s">
        <v>204</v>
      </c>
      <c r="L30" s="306"/>
      <c r="M30" s="187">
        <f>Summary!X5</f>
        <v>1800</v>
      </c>
      <c r="O30" s="307" t="s">
        <v>236</v>
      </c>
      <c r="P30" s="308"/>
      <c r="Q30" s="308"/>
      <c r="R30" s="308"/>
      <c r="S30" s="308"/>
      <c r="T30" s="308"/>
      <c r="U30" s="308"/>
      <c r="V30" s="308"/>
      <c r="W30" s="309"/>
      <c r="X30" s="310" t="s">
        <v>204</v>
      </c>
      <c r="Y30" s="311"/>
      <c r="Z30" s="189">
        <f>Summary!AA5</f>
        <v>1737</v>
      </c>
      <c r="AB30" s="312" t="s">
        <v>237</v>
      </c>
      <c r="AC30" s="313"/>
      <c r="AD30" s="313"/>
      <c r="AE30" s="313"/>
      <c r="AF30" s="313"/>
      <c r="AG30" s="313"/>
      <c r="AH30" s="313"/>
      <c r="AI30" s="313"/>
      <c r="AJ30" s="313"/>
      <c r="AK30" s="314" t="s">
        <v>204</v>
      </c>
      <c r="AL30" s="315"/>
      <c r="AM30" s="192">
        <f>AM2</f>
        <v>0.96499999999999997</v>
      </c>
      <c r="AO30" s="312" t="s">
        <v>238</v>
      </c>
      <c r="AP30" s="313"/>
      <c r="AQ30" s="313"/>
      <c r="AR30" s="313"/>
      <c r="AS30" s="313"/>
      <c r="AT30" s="313"/>
      <c r="AU30" s="313"/>
      <c r="AV30" s="313"/>
      <c r="AW30" s="313"/>
      <c r="AX30" s="314" t="s">
        <v>204</v>
      </c>
      <c r="AY30" s="315"/>
      <c r="AZ30" s="192">
        <f>AZ2</f>
        <v>0.96499999999999997</v>
      </c>
    </row>
    <row r="31" spans="2:52" x14ac:dyDescent="0.2">
      <c r="B31" s="293"/>
      <c r="C31" s="294"/>
      <c r="D31" s="294"/>
      <c r="E31" s="294"/>
      <c r="F31" s="294"/>
      <c r="G31" s="294"/>
      <c r="H31" s="294"/>
      <c r="I31" s="294"/>
      <c r="J31" s="294"/>
      <c r="K31" s="294"/>
      <c r="L31" s="294"/>
      <c r="M31" s="295"/>
      <c r="O31" s="293"/>
      <c r="P31" s="294"/>
      <c r="Q31" s="294"/>
      <c r="R31" s="294"/>
      <c r="S31" s="294"/>
      <c r="T31" s="294"/>
      <c r="U31" s="294"/>
      <c r="V31" s="294"/>
      <c r="W31" s="294"/>
      <c r="X31" s="294"/>
      <c r="Y31" s="294"/>
      <c r="Z31" s="295"/>
      <c r="AB31" s="293"/>
      <c r="AC31" s="294"/>
      <c r="AD31" s="294"/>
      <c r="AE31" s="294"/>
      <c r="AF31" s="294"/>
      <c r="AG31" s="294"/>
      <c r="AH31" s="294"/>
      <c r="AI31" s="294"/>
      <c r="AJ31" s="294"/>
      <c r="AK31" s="294"/>
      <c r="AL31" s="294"/>
      <c r="AM31" s="295"/>
      <c r="AO31" s="293"/>
      <c r="AP31" s="294"/>
      <c r="AQ31" s="294"/>
      <c r="AR31" s="294"/>
      <c r="AS31" s="294"/>
      <c r="AT31" s="294"/>
      <c r="AU31" s="294"/>
      <c r="AV31" s="294"/>
      <c r="AW31" s="294"/>
      <c r="AX31" s="294"/>
      <c r="AY31" s="294"/>
      <c r="AZ31" s="295"/>
    </row>
    <row r="32" spans="2:52" x14ac:dyDescent="0.2">
      <c r="B32" s="296"/>
      <c r="C32" s="297"/>
      <c r="D32" s="297"/>
      <c r="E32" s="297"/>
      <c r="F32" s="297"/>
      <c r="G32" s="297"/>
      <c r="H32" s="297"/>
      <c r="I32" s="297"/>
      <c r="J32" s="297"/>
      <c r="K32" s="297"/>
      <c r="L32" s="297"/>
      <c r="M32" s="298"/>
      <c r="O32" s="296"/>
      <c r="P32" s="297"/>
      <c r="Q32" s="297"/>
      <c r="R32" s="297"/>
      <c r="S32" s="297"/>
      <c r="T32" s="297"/>
      <c r="U32" s="297"/>
      <c r="V32" s="297"/>
      <c r="W32" s="297"/>
      <c r="X32" s="297"/>
      <c r="Y32" s="297"/>
      <c r="Z32" s="298"/>
      <c r="AB32" s="296"/>
      <c r="AC32" s="297"/>
      <c r="AD32" s="297"/>
      <c r="AE32" s="297"/>
      <c r="AF32" s="297"/>
      <c r="AG32" s="297"/>
      <c r="AH32" s="297"/>
      <c r="AI32" s="297"/>
      <c r="AJ32" s="297"/>
      <c r="AK32" s="297"/>
      <c r="AL32" s="297"/>
      <c r="AM32" s="298"/>
      <c r="AO32" s="296"/>
      <c r="AP32" s="297"/>
      <c r="AQ32" s="297"/>
      <c r="AR32" s="297"/>
      <c r="AS32" s="297"/>
      <c r="AT32" s="297"/>
      <c r="AU32" s="297"/>
      <c r="AV32" s="297"/>
      <c r="AW32" s="297"/>
      <c r="AX32" s="297"/>
      <c r="AY32" s="297"/>
      <c r="AZ32" s="298"/>
    </row>
    <row r="33" spans="2:52" x14ac:dyDescent="0.2">
      <c r="B33" s="296"/>
      <c r="C33" s="297"/>
      <c r="D33" s="297"/>
      <c r="E33" s="297"/>
      <c r="F33" s="297"/>
      <c r="G33" s="297"/>
      <c r="H33" s="297"/>
      <c r="I33" s="297"/>
      <c r="J33" s="297"/>
      <c r="K33" s="297"/>
      <c r="L33" s="297"/>
      <c r="M33" s="298"/>
      <c r="O33" s="296"/>
      <c r="P33" s="297"/>
      <c r="Q33" s="297"/>
      <c r="R33" s="297"/>
      <c r="S33" s="297"/>
      <c r="T33" s="297"/>
      <c r="U33" s="297"/>
      <c r="V33" s="297"/>
      <c r="W33" s="297"/>
      <c r="X33" s="297"/>
      <c r="Y33" s="297"/>
      <c r="Z33" s="298"/>
      <c r="AB33" s="296"/>
      <c r="AC33" s="297"/>
      <c r="AD33" s="297"/>
      <c r="AE33" s="297"/>
      <c r="AF33" s="297"/>
      <c r="AG33" s="297"/>
      <c r="AH33" s="297"/>
      <c r="AI33" s="297"/>
      <c r="AJ33" s="297"/>
      <c r="AK33" s="297"/>
      <c r="AL33" s="297"/>
      <c r="AM33" s="298"/>
      <c r="AO33" s="296"/>
      <c r="AP33" s="297"/>
      <c r="AQ33" s="297"/>
      <c r="AR33" s="297"/>
      <c r="AS33" s="297"/>
      <c r="AT33" s="297"/>
      <c r="AU33" s="297"/>
      <c r="AV33" s="297"/>
      <c r="AW33" s="297"/>
      <c r="AX33" s="297"/>
      <c r="AY33" s="297"/>
      <c r="AZ33" s="298"/>
    </row>
    <row r="34" spans="2:52" x14ac:dyDescent="0.2">
      <c r="B34" s="296"/>
      <c r="C34" s="297"/>
      <c r="D34" s="297"/>
      <c r="E34" s="297"/>
      <c r="F34" s="297"/>
      <c r="G34" s="297"/>
      <c r="H34" s="297"/>
      <c r="I34" s="297"/>
      <c r="J34" s="297"/>
      <c r="K34" s="297"/>
      <c r="L34" s="297"/>
      <c r="M34" s="298"/>
      <c r="O34" s="296"/>
      <c r="P34" s="297"/>
      <c r="Q34" s="297"/>
      <c r="R34" s="297"/>
      <c r="S34" s="297"/>
      <c r="T34" s="297"/>
      <c r="U34" s="297"/>
      <c r="V34" s="297"/>
      <c r="W34" s="297"/>
      <c r="X34" s="297"/>
      <c r="Y34" s="297"/>
      <c r="Z34" s="298"/>
      <c r="AB34" s="296"/>
      <c r="AC34" s="297"/>
      <c r="AD34" s="297"/>
      <c r="AE34" s="297"/>
      <c r="AF34" s="297"/>
      <c r="AG34" s="297"/>
      <c r="AH34" s="297"/>
      <c r="AI34" s="297"/>
      <c r="AJ34" s="297"/>
      <c r="AK34" s="297"/>
      <c r="AL34" s="297"/>
      <c r="AM34" s="298"/>
      <c r="AO34" s="296"/>
      <c r="AP34" s="297"/>
      <c r="AQ34" s="297"/>
      <c r="AR34" s="297"/>
      <c r="AS34" s="297"/>
      <c r="AT34" s="297"/>
      <c r="AU34" s="297"/>
      <c r="AV34" s="297"/>
      <c r="AW34" s="297"/>
      <c r="AX34" s="297"/>
      <c r="AY34" s="297"/>
      <c r="AZ34" s="298"/>
    </row>
    <row r="35" spans="2:52" x14ac:dyDescent="0.2">
      <c r="B35" s="296"/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8"/>
      <c r="O35" s="296"/>
      <c r="P35" s="297"/>
      <c r="Q35" s="297"/>
      <c r="R35" s="297"/>
      <c r="S35" s="297"/>
      <c r="T35" s="297"/>
      <c r="U35" s="297"/>
      <c r="V35" s="297"/>
      <c r="W35" s="297"/>
      <c r="X35" s="297"/>
      <c r="Y35" s="297"/>
      <c r="Z35" s="298"/>
      <c r="AB35" s="296"/>
      <c r="AC35" s="297"/>
      <c r="AD35" s="297"/>
      <c r="AE35" s="297"/>
      <c r="AF35" s="297"/>
      <c r="AG35" s="297"/>
      <c r="AH35" s="297"/>
      <c r="AI35" s="297"/>
      <c r="AJ35" s="297"/>
      <c r="AK35" s="297"/>
      <c r="AL35" s="297"/>
      <c r="AM35" s="298"/>
      <c r="AO35" s="296"/>
      <c r="AP35" s="297"/>
      <c r="AQ35" s="297"/>
      <c r="AR35" s="297"/>
      <c r="AS35" s="297"/>
      <c r="AT35" s="297"/>
      <c r="AU35" s="297"/>
      <c r="AV35" s="297"/>
      <c r="AW35" s="297"/>
      <c r="AX35" s="297"/>
      <c r="AY35" s="297"/>
      <c r="AZ35" s="298"/>
    </row>
    <row r="36" spans="2:52" x14ac:dyDescent="0.2">
      <c r="B36" s="296"/>
      <c r="C36" s="297"/>
      <c r="D36" s="297"/>
      <c r="E36" s="297"/>
      <c r="F36" s="297"/>
      <c r="G36" s="297"/>
      <c r="H36" s="297"/>
      <c r="I36" s="297"/>
      <c r="J36" s="297"/>
      <c r="K36" s="297"/>
      <c r="L36" s="297"/>
      <c r="M36" s="298"/>
      <c r="O36" s="296"/>
      <c r="P36" s="297"/>
      <c r="Q36" s="297"/>
      <c r="R36" s="297"/>
      <c r="S36" s="297"/>
      <c r="T36" s="297"/>
      <c r="U36" s="297"/>
      <c r="V36" s="297"/>
      <c r="W36" s="297"/>
      <c r="X36" s="297"/>
      <c r="Y36" s="297"/>
      <c r="Z36" s="298"/>
      <c r="AB36" s="296"/>
      <c r="AC36" s="297"/>
      <c r="AD36" s="297"/>
      <c r="AE36" s="297"/>
      <c r="AF36" s="297"/>
      <c r="AG36" s="297"/>
      <c r="AH36" s="297"/>
      <c r="AI36" s="297"/>
      <c r="AJ36" s="297"/>
      <c r="AK36" s="297"/>
      <c r="AL36" s="297"/>
      <c r="AM36" s="298"/>
      <c r="AO36" s="296"/>
      <c r="AP36" s="297"/>
      <c r="AQ36" s="297"/>
      <c r="AR36" s="297"/>
      <c r="AS36" s="297"/>
      <c r="AT36" s="297"/>
      <c r="AU36" s="297"/>
      <c r="AV36" s="297"/>
      <c r="AW36" s="297"/>
      <c r="AX36" s="297"/>
      <c r="AY36" s="297"/>
      <c r="AZ36" s="298"/>
    </row>
    <row r="37" spans="2:52" x14ac:dyDescent="0.2">
      <c r="B37" s="296"/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8"/>
      <c r="O37" s="296"/>
      <c r="P37" s="297"/>
      <c r="Q37" s="297"/>
      <c r="R37" s="297"/>
      <c r="S37" s="297"/>
      <c r="T37" s="297"/>
      <c r="U37" s="297"/>
      <c r="V37" s="297"/>
      <c r="W37" s="297"/>
      <c r="X37" s="297"/>
      <c r="Y37" s="297"/>
      <c r="Z37" s="298"/>
      <c r="AB37" s="296"/>
      <c r="AC37" s="297"/>
      <c r="AD37" s="297"/>
      <c r="AE37" s="297"/>
      <c r="AF37" s="297"/>
      <c r="AG37" s="297"/>
      <c r="AH37" s="297"/>
      <c r="AI37" s="297"/>
      <c r="AJ37" s="297"/>
      <c r="AK37" s="297"/>
      <c r="AL37" s="297"/>
      <c r="AM37" s="298"/>
      <c r="AO37" s="296"/>
      <c r="AP37" s="297"/>
      <c r="AQ37" s="297"/>
      <c r="AR37" s="297"/>
      <c r="AS37" s="297"/>
      <c r="AT37" s="297"/>
      <c r="AU37" s="297"/>
      <c r="AV37" s="297"/>
      <c r="AW37" s="297"/>
      <c r="AX37" s="297"/>
      <c r="AY37" s="297"/>
      <c r="AZ37" s="298"/>
    </row>
    <row r="38" spans="2:52" x14ac:dyDescent="0.2">
      <c r="B38" s="296"/>
      <c r="C38" s="297"/>
      <c r="D38" s="297"/>
      <c r="E38" s="297"/>
      <c r="F38" s="297"/>
      <c r="G38" s="297"/>
      <c r="H38" s="297"/>
      <c r="I38" s="297"/>
      <c r="J38" s="297"/>
      <c r="K38" s="297"/>
      <c r="L38" s="297"/>
      <c r="M38" s="298"/>
      <c r="O38" s="296"/>
      <c r="P38" s="297"/>
      <c r="Q38" s="297"/>
      <c r="R38" s="297"/>
      <c r="S38" s="297"/>
      <c r="T38" s="297"/>
      <c r="U38" s="297"/>
      <c r="V38" s="297"/>
      <c r="W38" s="297"/>
      <c r="X38" s="297"/>
      <c r="Y38" s="297"/>
      <c r="Z38" s="298"/>
      <c r="AB38" s="296"/>
      <c r="AC38" s="297"/>
      <c r="AD38" s="297"/>
      <c r="AE38" s="297"/>
      <c r="AF38" s="297"/>
      <c r="AG38" s="297"/>
      <c r="AH38" s="297"/>
      <c r="AI38" s="297"/>
      <c r="AJ38" s="297"/>
      <c r="AK38" s="297"/>
      <c r="AL38" s="297"/>
      <c r="AM38" s="298"/>
      <c r="AO38" s="296"/>
      <c r="AP38" s="297"/>
      <c r="AQ38" s="297"/>
      <c r="AR38" s="297"/>
      <c r="AS38" s="297"/>
      <c r="AT38" s="297"/>
      <c r="AU38" s="297"/>
      <c r="AV38" s="297"/>
      <c r="AW38" s="297"/>
      <c r="AX38" s="297"/>
      <c r="AY38" s="297"/>
      <c r="AZ38" s="298"/>
    </row>
    <row r="39" spans="2:52" x14ac:dyDescent="0.2">
      <c r="B39" s="296"/>
      <c r="C39" s="297"/>
      <c r="D39" s="297"/>
      <c r="E39" s="297"/>
      <c r="F39" s="297"/>
      <c r="G39" s="297"/>
      <c r="H39" s="297"/>
      <c r="I39" s="297"/>
      <c r="J39" s="297"/>
      <c r="K39" s="297"/>
      <c r="L39" s="297"/>
      <c r="M39" s="298"/>
      <c r="O39" s="296"/>
      <c r="P39" s="297"/>
      <c r="Q39" s="297"/>
      <c r="R39" s="297"/>
      <c r="S39" s="297"/>
      <c r="T39" s="297"/>
      <c r="U39" s="297"/>
      <c r="V39" s="297"/>
      <c r="W39" s="297"/>
      <c r="X39" s="297"/>
      <c r="Y39" s="297"/>
      <c r="Z39" s="298"/>
      <c r="AB39" s="296"/>
      <c r="AC39" s="297"/>
      <c r="AD39" s="297"/>
      <c r="AE39" s="297"/>
      <c r="AF39" s="297"/>
      <c r="AG39" s="297"/>
      <c r="AH39" s="297"/>
      <c r="AI39" s="297"/>
      <c r="AJ39" s="297"/>
      <c r="AK39" s="297"/>
      <c r="AL39" s="297"/>
      <c r="AM39" s="298"/>
      <c r="AO39" s="296"/>
      <c r="AP39" s="297"/>
      <c r="AQ39" s="297"/>
      <c r="AR39" s="297"/>
      <c r="AS39" s="297"/>
      <c r="AT39" s="297"/>
      <c r="AU39" s="297"/>
      <c r="AV39" s="297"/>
      <c r="AW39" s="297"/>
      <c r="AX39" s="297"/>
      <c r="AY39" s="297"/>
      <c r="AZ39" s="298"/>
    </row>
    <row r="40" spans="2:52" x14ac:dyDescent="0.2">
      <c r="B40" s="296"/>
      <c r="C40" s="297"/>
      <c r="D40" s="297"/>
      <c r="E40" s="297"/>
      <c r="F40" s="297"/>
      <c r="G40" s="297"/>
      <c r="H40" s="297"/>
      <c r="I40" s="297"/>
      <c r="J40" s="297"/>
      <c r="K40" s="297"/>
      <c r="L40" s="297"/>
      <c r="M40" s="298"/>
      <c r="O40" s="296"/>
      <c r="P40" s="297"/>
      <c r="Q40" s="297"/>
      <c r="R40" s="297"/>
      <c r="S40" s="297"/>
      <c r="T40" s="297"/>
      <c r="U40" s="297"/>
      <c r="V40" s="297"/>
      <c r="W40" s="297"/>
      <c r="X40" s="297"/>
      <c r="Y40" s="297"/>
      <c r="Z40" s="298"/>
      <c r="AB40" s="296"/>
      <c r="AC40" s="297"/>
      <c r="AD40" s="297"/>
      <c r="AE40" s="297"/>
      <c r="AF40" s="297"/>
      <c r="AG40" s="297"/>
      <c r="AH40" s="297"/>
      <c r="AI40" s="297"/>
      <c r="AJ40" s="297"/>
      <c r="AK40" s="297"/>
      <c r="AL40" s="297"/>
      <c r="AM40" s="298"/>
      <c r="AO40" s="296"/>
      <c r="AP40" s="297"/>
      <c r="AQ40" s="297"/>
      <c r="AR40" s="297"/>
      <c r="AS40" s="297"/>
      <c r="AT40" s="297"/>
      <c r="AU40" s="297"/>
      <c r="AV40" s="297"/>
      <c r="AW40" s="297"/>
      <c r="AX40" s="297"/>
      <c r="AY40" s="297"/>
      <c r="AZ40" s="298"/>
    </row>
    <row r="41" spans="2:52" x14ac:dyDescent="0.2">
      <c r="B41" s="296"/>
      <c r="C41" s="297"/>
      <c r="D41" s="297"/>
      <c r="E41" s="297"/>
      <c r="F41" s="297"/>
      <c r="G41" s="297"/>
      <c r="H41" s="297"/>
      <c r="I41" s="297"/>
      <c r="J41" s="297"/>
      <c r="K41" s="297"/>
      <c r="L41" s="297"/>
      <c r="M41" s="298"/>
      <c r="O41" s="296"/>
      <c r="P41" s="297"/>
      <c r="Q41" s="297"/>
      <c r="R41" s="297"/>
      <c r="S41" s="297"/>
      <c r="T41" s="297"/>
      <c r="U41" s="297"/>
      <c r="V41" s="297"/>
      <c r="W41" s="297"/>
      <c r="X41" s="297"/>
      <c r="Y41" s="297"/>
      <c r="Z41" s="298"/>
      <c r="AB41" s="296"/>
      <c r="AC41" s="297"/>
      <c r="AD41" s="297"/>
      <c r="AE41" s="297"/>
      <c r="AF41" s="297"/>
      <c r="AG41" s="297"/>
      <c r="AH41" s="297"/>
      <c r="AI41" s="297"/>
      <c r="AJ41" s="297"/>
      <c r="AK41" s="297"/>
      <c r="AL41" s="297"/>
      <c r="AM41" s="298"/>
      <c r="AO41" s="296"/>
      <c r="AP41" s="297"/>
      <c r="AQ41" s="297"/>
      <c r="AR41" s="297"/>
      <c r="AS41" s="297"/>
      <c r="AT41" s="297"/>
      <c r="AU41" s="297"/>
      <c r="AV41" s="297"/>
      <c r="AW41" s="297"/>
      <c r="AX41" s="297"/>
      <c r="AY41" s="297"/>
      <c r="AZ41" s="298"/>
    </row>
    <row r="42" spans="2:52" x14ac:dyDescent="0.2">
      <c r="B42" s="296"/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8"/>
      <c r="O42" s="296"/>
      <c r="P42" s="297"/>
      <c r="Q42" s="297"/>
      <c r="R42" s="297"/>
      <c r="S42" s="297"/>
      <c r="T42" s="297"/>
      <c r="U42" s="297"/>
      <c r="V42" s="297"/>
      <c r="W42" s="297"/>
      <c r="X42" s="297"/>
      <c r="Y42" s="297"/>
      <c r="Z42" s="298"/>
      <c r="AB42" s="296"/>
      <c r="AC42" s="297"/>
      <c r="AD42" s="297"/>
      <c r="AE42" s="297"/>
      <c r="AF42" s="297"/>
      <c r="AG42" s="297"/>
      <c r="AH42" s="297"/>
      <c r="AI42" s="297"/>
      <c r="AJ42" s="297"/>
      <c r="AK42" s="297"/>
      <c r="AL42" s="297"/>
      <c r="AM42" s="298"/>
      <c r="AO42" s="296"/>
      <c r="AP42" s="297"/>
      <c r="AQ42" s="297"/>
      <c r="AR42" s="297"/>
      <c r="AS42" s="297"/>
      <c r="AT42" s="297"/>
      <c r="AU42" s="297"/>
      <c r="AV42" s="297"/>
      <c r="AW42" s="297"/>
      <c r="AX42" s="297"/>
      <c r="AY42" s="297"/>
      <c r="AZ42" s="298"/>
    </row>
    <row r="43" spans="2:52" x14ac:dyDescent="0.2">
      <c r="B43" s="296"/>
      <c r="C43" s="297"/>
      <c r="D43" s="297"/>
      <c r="E43" s="297"/>
      <c r="F43" s="297"/>
      <c r="G43" s="297"/>
      <c r="H43" s="297"/>
      <c r="I43" s="297"/>
      <c r="J43" s="297"/>
      <c r="K43" s="297"/>
      <c r="L43" s="297"/>
      <c r="M43" s="298"/>
      <c r="O43" s="296"/>
      <c r="P43" s="297"/>
      <c r="Q43" s="297"/>
      <c r="R43" s="297"/>
      <c r="S43" s="297"/>
      <c r="T43" s="297"/>
      <c r="U43" s="297"/>
      <c r="V43" s="297"/>
      <c r="W43" s="297"/>
      <c r="X43" s="297"/>
      <c r="Y43" s="297"/>
      <c r="Z43" s="298"/>
      <c r="AB43" s="296"/>
      <c r="AC43" s="297"/>
      <c r="AD43" s="297"/>
      <c r="AE43" s="297"/>
      <c r="AF43" s="297"/>
      <c r="AG43" s="297"/>
      <c r="AH43" s="297"/>
      <c r="AI43" s="297"/>
      <c r="AJ43" s="297"/>
      <c r="AK43" s="297"/>
      <c r="AL43" s="297"/>
      <c r="AM43" s="298"/>
      <c r="AO43" s="296"/>
      <c r="AP43" s="297"/>
      <c r="AQ43" s="297"/>
      <c r="AR43" s="297"/>
      <c r="AS43" s="297"/>
      <c r="AT43" s="297"/>
      <c r="AU43" s="297"/>
      <c r="AV43" s="297"/>
      <c r="AW43" s="297"/>
      <c r="AX43" s="297"/>
      <c r="AY43" s="297"/>
      <c r="AZ43" s="298"/>
    </row>
    <row r="44" spans="2:52" x14ac:dyDescent="0.2">
      <c r="B44" s="296"/>
      <c r="C44" s="297"/>
      <c r="D44" s="297"/>
      <c r="E44" s="297"/>
      <c r="F44" s="297"/>
      <c r="G44" s="297"/>
      <c r="H44" s="297"/>
      <c r="I44" s="297"/>
      <c r="J44" s="297"/>
      <c r="K44" s="297"/>
      <c r="L44" s="297"/>
      <c r="M44" s="298"/>
      <c r="O44" s="296"/>
      <c r="P44" s="297"/>
      <c r="Q44" s="297"/>
      <c r="R44" s="297"/>
      <c r="S44" s="297"/>
      <c r="T44" s="297"/>
      <c r="U44" s="297"/>
      <c r="V44" s="297"/>
      <c r="W44" s="297"/>
      <c r="X44" s="297"/>
      <c r="Y44" s="297"/>
      <c r="Z44" s="298"/>
      <c r="AB44" s="296"/>
      <c r="AC44" s="297"/>
      <c r="AD44" s="297"/>
      <c r="AE44" s="297"/>
      <c r="AF44" s="297"/>
      <c r="AG44" s="297"/>
      <c r="AH44" s="297"/>
      <c r="AI44" s="297"/>
      <c r="AJ44" s="297"/>
      <c r="AK44" s="297"/>
      <c r="AL44" s="297"/>
      <c r="AM44" s="298"/>
      <c r="AO44" s="296"/>
      <c r="AP44" s="297"/>
      <c r="AQ44" s="297"/>
      <c r="AR44" s="297"/>
      <c r="AS44" s="297"/>
      <c r="AT44" s="297"/>
      <c r="AU44" s="297"/>
      <c r="AV44" s="297"/>
      <c r="AW44" s="297"/>
      <c r="AX44" s="297"/>
      <c r="AY44" s="297"/>
      <c r="AZ44" s="298"/>
    </row>
    <row r="45" spans="2:52" x14ac:dyDescent="0.2">
      <c r="B45" s="296"/>
      <c r="C45" s="297"/>
      <c r="D45" s="297"/>
      <c r="E45" s="297"/>
      <c r="F45" s="297"/>
      <c r="G45" s="297"/>
      <c r="H45" s="297"/>
      <c r="I45" s="297"/>
      <c r="J45" s="297"/>
      <c r="K45" s="297"/>
      <c r="L45" s="297"/>
      <c r="M45" s="298"/>
      <c r="O45" s="296"/>
      <c r="P45" s="297"/>
      <c r="Q45" s="297"/>
      <c r="R45" s="297"/>
      <c r="S45" s="297"/>
      <c r="T45" s="297"/>
      <c r="U45" s="297"/>
      <c r="V45" s="297"/>
      <c r="W45" s="297"/>
      <c r="X45" s="297"/>
      <c r="Y45" s="297"/>
      <c r="Z45" s="298"/>
      <c r="AB45" s="296"/>
      <c r="AC45" s="297"/>
      <c r="AD45" s="297"/>
      <c r="AE45" s="297"/>
      <c r="AF45" s="297"/>
      <c r="AG45" s="297"/>
      <c r="AH45" s="297"/>
      <c r="AI45" s="297"/>
      <c r="AJ45" s="297"/>
      <c r="AK45" s="297"/>
      <c r="AL45" s="297"/>
      <c r="AM45" s="298"/>
      <c r="AO45" s="296"/>
      <c r="AP45" s="297"/>
      <c r="AQ45" s="297"/>
      <c r="AR45" s="297"/>
      <c r="AS45" s="297"/>
      <c r="AT45" s="297"/>
      <c r="AU45" s="297"/>
      <c r="AV45" s="297"/>
      <c r="AW45" s="297"/>
      <c r="AX45" s="297"/>
      <c r="AY45" s="297"/>
      <c r="AZ45" s="298"/>
    </row>
    <row r="46" spans="2:52" x14ac:dyDescent="0.2">
      <c r="B46" s="296"/>
      <c r="C46" s="297"/>
      <c r="D46" s="297"/>
      <c r="E46" s="297"/>
      <c r="F46" s="297"/>
      <c r="G46" s="297"/>
      <c r="H46" s="297"/>
      <c r="I46" s="297"/>
      <c r="J46" s="297"/>
      <c r="K46" s="297"/>
      <c r="L46" s="297"/>
      <c r="M46" s="298"/>
      <c r="O46" s="296"/>
      <c r="P46" s="297"/>
      <c r="Q46" s="297"/>
      <c r="R46" s="297"/>
      <c r="S46" s="297"/>
      <c r="T46" s="297"/>
      <c r="U46" s="297"/>
      <c r="V46" s="297"/>
      <c r="W46" s="297"/>
      <c r="X46" s="297"/>
      <c r="Y46" s="297"/>
      <c r="Z46" s="298"/>
      <c r="AB46" s="296"/>
      <c r="AC46" s="297"/>
      <c r="AD46" s="297"/>
      <c r="AE46" s="297"/>
      <c r="AF46" s="297"/>
      <c r="AG46" s="297"/>
      <c r="AH46" s="297"/>
      <c r="AI46" s="297"/>
      <c r="AJ46" s="297"/>
      <c r="AK46" s="297"/>
      <c r="AL46" s="297"/>
      <c r="AM46" s="298"/>
      <c r="AO46" s="296"/>
      <c r="AP46" s="297"/>
      <c r="AQ46" s="297"/>
      <c r="AR46" s="297"/>
      <c r="AS46" s="297"/>
      <c r="AT46" s="297"/>
      <c r="AU46" s="297"/>
      <c r="AV46" s="297"/>
      <c r="AW46" s="297"/>
      <c r="AX46" s="297"/>
      <c r="AY46" s="297"/>
      <c r="AZ46" s="298"/>
    </row>
    <row r="47" spans="2:52" x14ac:dyDescent="0.2">
      <c r="B47" s="296"/>
      <c r="C47" s="297"/>
      <c r="D47" s="297"/>
      <c r="E47" s="297"/>
      <c r="F47" s="297"/>
      <c r="G47" s="297"/>
      <c r="H47" s="297"/>
      <c r="I47" s="297"/>
      <c r="J47" s="297"/>
      <c r="K47" s="297"/>
      <c r="L47" s="297"/>
      <c r="M47" s="298"/>
      <c r="O47" s="296"/>
      <c r="P47" s="297"/>
      <c r="Q47" s="297"/>
      <c r="R47" s="297"/>
      <c r="S47" s="297"/>
      <c r="T47" s="297"/>
      <c r="U47" s="297"/>
      <c r="V47" s="297"/>
      <c r="W47" s="297"/>
      <c r="X47" s="297"/>
      <c r="Y47" s="297"/>
      <c r="Z47" s="298"/>
      <c r="AB47" s="296"/>
      <c r="AC47" s="297"/>
      <c r="AD47" s="297"/>
      <c r="AE47" s="297"/>
      <c r="AF47" s="297"/>
      <c r="AG47" s="297"/>
      <c r="AH47" s="297"/>
      <c r="AI47" s="297"/>
      <c r="AJ47" s="297"/>
      <c r="AK47" s="297"/>
      <c r="AL47" s="297"/>
      <c r="AM47" s="298"/>
      <c r="AO47" s="296"/>
      <c r="AP47" s="297"/>
      <c r="AQ47" s="297"/>
      <c r="AR47" s="297"/>
      <c r="AS47" s="297"/>
      <c r="AT47" s="297"/>
      <c r="AU47" s="297"/>
      <c r="AV47" s="297"/>
      <c r="AW47" s="297"/>
      <c r="AX47" s="297"/>
      <c r="AY47" s="297"/>
      <c r="AZ47" s="298"/>
    </row>
    <row r="48" spans="2:52" x14ac:dyDescent="0.2">
      <c r="B48" s="296"/>
      <c r="C48" s="297"/>
      <c r="D48" s="297"/>
      <c r="E48" s="297"/>
      <c r="F48" s="297"/>
      <c r="G48" s="297"/>
      <c r="H48" s="297"/>
      <c r="I48" s="297"/>
      <c r="J48" s="297"/>
      <c r="K48" s="297"/>
      <c r="L48" s="297"/>
      <c r="M48" s="298"/>
      <c r="O48" s="296"/>
      <c r="P48" s="297"/>
      <c r="Q48" s="297"/>
      <c r="R48" s="297"/>
      <c r="S48" s="297"/>
      <c r="T48" s="297"/>
      <c r="U48" s="297"/>
      <c r="V48" s="297"/>
      <c r="W48" s="297"/>
      <c r="X48" s="297"/>
      <c r="Y48" s="297"/>
      <c r="Z48" s="298"/>
      <c r="AB48" s="296"/>
      <c r="AC48" s="297"/>
      <c r="AD48" s="297"/>
      <c r="AE48" s="297"/>
      <c r="AF48" s="297"/>
      <c r="AG48" s="297"/>
      <c r="AH48" s="297"/>
      <c r="AI48" s="297"/>
      <c r="AJ48" s="297"/>
      <c r="AK48" s="297"/>
      <c r="AL48" s="297"/>
      <c r="AM48" s="298"/>
      <c r="AO48" s="296"/>
      <c r="AP48" s="297"/>
      <c r="AQ48" s="297"/>
      <c r="AR48" s="297"/>
      <c r="AS48" s="297"/>
      <c r="AT48" s="297"/>
      <c r="AU48" s="297"/>
      <c r="AV48" s="297"/>
      <c r="AW48" s="297"/>
      <c r="AX48" s="297"/>
      <c r="AY48" s="297"/>
      <c r="AZ48" s="298"/>
    </row>
    <row r="49" spans="2:52" x14ac:dyDescent="0.2">
      <c r="B49" s="296"/>
      <c r="C49" s="297"/>
      <c r="D49" s="297"/>
      <c r="E49" s="297"/>
      <c r="F49" s="297"/>
      <c r="G49" s="297"/>
      <c r="H49" s="297"/>
      <c r="I49" s="297"/>
      <c r="J49" s="297"/>
      <c r="K49" s="297"/>
      <c r="L49" s="297"/>
      <c r="M49" s="298"/>
      <c r="O49" s="296"/>
      <c r="P49" s="297"/>
      <c r="Q49" s="297"/>
      <c r="R49" s="297"/>
      <c r="S49" s="297"/>
      <c r="T49" s="297"/>
      <c r="U49" s="297"/>
      <c r="V49" s="297"/>
      <c r="W49" s="297"/>
      <c r="X49" s="297"/>
      <c r="Y49" s="297"/>
      <c r="Z49" s="298"/>
      <c r="AB49" s="296"/>
      <c r="AC49" s="297"/>
      <c r="AD49" s="297"/>
      <c r="AE49" s="297"/>
      <c r="AF49" s="297"/>
      <c r="AG49" s="297"/>
      <c r="AH49" s="297"/>
      <c r="AI49" s="297"/>
      <c r="AJ49" s="297"/>
      <c r="AK49" s="297"/>
      <c r="AL49" s="297"/>
      <c r="AM49" s="298"/>
      <c r="AO49" s="296"/>
      <c r="AP49" s="297"/>
      <c r="AQ49" s="297"/>
      <c r="AR49" s="297"/>
      <c r="AS49" s="297"/>
      <c r="AT49" s="297"/>
      <c r="AU49" s="297"/>
      <c r="AV49" s="297"/>
      <c r="AW49" s="297"/>
      <c r="AX49" s="297"/>
      <c r="AY49" s="297"/>
      <c r="AZ49" s="298"/>
    </row>
    <row r="50" spans="2:52" x14ac:dyDescent="0.2">
      <c r="B50" s="296"/>
      <c r="C50" s="297"/>
      <c r="D50" s="297"/>
      <c r="E50" s="297"/>
      <c r="F50" s="297"/>
      <c r="G50" s="297"/>
      <c r="H50" s="297"/>
      <c r="I50" s="297"/>
      <c r="J50" s="297"/>
      <c r="K50" s="297"/>
      <c r="L50" s="297"/>
      <c r="M50" s="298"/>
      <c r="O50" s="296"/>
      <c r="P50" s="297"/>
      <c r="Q50" s="297"/>
      <c r="R50" s="297"/>
      <c r="S50" s="297"/>
      <c r="T50" s="297"/>
      <c r="U50" s="297"/>
      <c r="V50" s="297"/>
      <c r="W50" s="297"/>
      <c r="X50" s="297"/>
      <c r="Y50" s="297"/>
      <c r="Z50" s="298"/>
      <c r="AB50" s="296"/>
      <c r="AC50" s="297"/>
      <c r="AD50" s="297"/>
      <c r="AE50" s="297"/>
      <c r="AF50" s="297"/>
      <c r="AG50" s="297"/>
      <c r="AH50" s="297"/>
      <c r="AI50" s="297"/>
      <c r="AJ50" s="297"/>
      <c r="AK50" s="297"/>
      <c r="AL50" s="297"/>
      <c r="AM50" s="298"/>
      <c r="AO50" s="296"/>
      <c r="AP50" s="297"/>
      <c r="AQ50" s="297"/>
      <c r="AR50" s="297"/>
      <c r="AS50" s="297"/>
      <c r="AT50" s="297"/>
      <c r="AU50" s="297"/>
      <c r="AV50" s="297"/>
      <c r="AW50" s="297"/>
      <c r="AX50" s="297"/>
      <c r="AY50" s="297"/>
      <c r="AZ50" s="298"/>
    </row>
    <row r="51" spans="2:52" x14ac:dyDescent="0.2">
      <c r="B51" s="296"/>
      <c r="C51" s="297"/>
      <c r="D51" s="297"/>
      <c r="E51" s="297"/>
      <c r="F51" s="297"/>
      <c r="G51" s="297"/>
      <c r="H51" s="297"/>
      <c r="I51" s="297"/>
      <c r="J51" s="297"/>
      <c r="K51" s="297"/>
      <c r="L51" s="297"/>
      <c r="M51" s="298"/>
      <c r="O51" s="296"/>
      <c r="P51" s="297"/>
      <c r="Q51" s="297"/>
      <c r="R51" s="297"/>
      <c r="S51" s="297"/>
      <c r="T51" s="297"/>
      <c r="U51" s="297"/>
      <c r="V51" s="297"/>
      <c r="W51" s="297"/>
      <c r="X51" s="297"/>
      <c r="Y51" s="297"/>
      <c r="Z51" s="298"/>
      <c r="AB51" s="296"/>
      <c r="AC51" s="297"/>
      <c r="AD51" s="297"/>
      <c r="AE51" s="297"/>
      <c r="AF51" s="297"/>
      <c r="AG51" s="297"/>
      <c r="AH51" s="297"/>
      <c r="AI51" s="297"/>
      <c r="AJ51" s="297"/>
      <c r="AK51" s="297"/>
      <c r="AL51" s="297"/>
      <c r="AM51" s="298"/>
      <c r="AO51" s="296"/>
      <c r="AP51" s="297"/>
      <c r="AQ51" s="297"/>
      <c r="AR51" s="297"/>
      <c r="AS51" s="297"/>
      <c r="AT51" s="297"/>
      <c r="AU51" s="297"/>
      <c r="AV51" s="297"/>
      <c r="AW51" s="297"/>
      <c r="AX51" s="297"/>
      <c r="AY51" s="297"/>
      <c r="AZ51" s="298"/>
    </row>
    <row r="52" spans="2:52" x14ac:dyDescent="0.2">
      <c r="B52" s="296"/>
      <c r="C52" s="297"/>
      <c r="D52" s="297"/>
      <c r="E52" s="297"/>
      <c r="F52" s="297"/>
      <c r="G52" s="297"/>
      <c r="H52" s="297"/>
      <c r="I52" s="297"/>
      <c r="J52" s="297"/>
      <c r="K52" s="297"/>
      <c r="L52" s="297"/>
      <c r="M52" s="298"/>
      <c r="O52" s="296"/>
      <c r="P52" s="297"/>
      <c r="Q52" s="297"/>
      <c r="R52" s="297"/>
      <c r="S52" s="297"/>
      <c r="T52" s="297"/>
      <c r="U52" s="297"/>
      <c r="V52" s="297"/>
      <c r="W52" s="297"/>
      <c r="X52" s="297"/>
      <c r="Y52" s="297"/>
      <c r="Z52" s="298"/>
      <c r="AB52" s="296"/>
      <c r="AC52" s="297"/>
      <c r="AD52" s="297"/>
      <c r="AE52" s="297"/>
      <c r="AF52" s="297"/>
      <c r="AG52" s="297"/>
      <c r="AH52" s="297"/>
      <c r="AI52" s="297"/>
      <c r="AJ52" s="297"/>
      <c r="AK52" s="297"/>
      <c r="AL52" s="297"/>
      <c r="AM52" s="298"/>
      <c r="AO52" s="296"/>
      <c r="AP52" s="297"/>
      <c r="AQ52" s="297"/>
      <c r="AR52" s="297"/>
      <c r="AS52" s="297"/>
      <c r="AT52" s="297"/>
      <c r="AU52" s="297"/>
      <c r="AV52" s="297"/>
      <c r="AW52" s="297"/>
      <c r="AX52" s="297"/>
      <c r="AY52" s="297"/>
      <c r="AZ52" s="298"/>
    </row>
    <row r="53" spans="2:52" x14ac:dyDescent="0.2">
      <c r="B53" s="296"/>
      <c r="C53" s="297"/>
      <c r="D53" s="297"/>
      <c r="E53" s="297"/>
      <c r="F53" s="297"/>
      <c r="G53" s="297"/>
      <c r="H53" s="297"/>
      <c r="I53" s="297"/>
      <c r="J53" s="297"/>
      <c r="K53" s="297"/>
      <c r="L53" s="297"/>
      <c r="M53" s="298"/>
      <c r="O53" s="296"/>
      <c r="P53" s="297"/>
      <c r="Q53" s="297"/>
      <c r="R53" s="297"/>
      <c r="S53" s="297"/>
      <c r="T53" s="297"/>
      <c r="U53" s="297"/>
      <c r="V53" s="297"/>
      <c r="W53" s="297"/>
      <c r="X53" s="297"/>
      <c r="Y53" s="297"/>
      <c r="Z53" s="298"/>
      <c r="AB53" s="296"/>
      <c r="AC53" s="297"/>
      <c r="AD53" s="297"/>
      <c r="AE53" s="297"/>
      <c r="AF53" s="297"/>
      <c r="AG53" s="297"/>
      <c r="AH53" s="297"/>
      <c r="AI53" s="297"/>
      <c r="AJ53" s="297"/>
      <c r="AK53" s="297"/>
      <c r="AL53" s="297"/>
      <c r="AM53" s="298"/>
      <c r="AO53" s="296"/>
      <c r="AP53" s="297"/>
      <c r="AQ53" s="297"/>
      <c r="AR53" s="297"/>
      <c r="AS53" s="297"/>
      <c r="AT53" s="297"/>
      <c r="AU53" s="297"/>
      <c r="AV53" s="297"/>
      <c r="AW53" s="297"/>
      <c r="AX53" s="297"/>
      <c r="AY53" s="297"/>
      <c r="AZ53" s="298"/>
    </row>
    <row r="54" spans="2:52" x14ac:dyDescent="0.2">
      <c r="B54" s="296"/>
      <c r="C54" s="297"/>
      <c r="D54" s="297"/>
      <c r="E54" s="297"/>
      <c r="F54" s="297"/>
      <c r="G54" s="297"/>
      <c r="H54" s="297"/>
      <c r="I54" s="297"/>
      <c r="J54" s="297"/>
      <c r="K54" s="297"/>
      <c r="L54" s="297"/>
      <c r="M54" s="298"/>
      <c r="O54" s="296"/>
      <c r="P54" s="297"/>
      <c r="Q54" s="297"/>
      <c r="R54" s="297"/>
      <c r="S54" s="297"/>
      <c r="T54" s="297"/>
      <c r="U54" s="297"/>
      <c r="V54" s="297"/>
      <c r="W54" s="297"/>
      <c r="X54" s="297"/>
      <c r="Y54" s="297"/>
      <c r="Z54" s="298"/>
      <c r="AB54" s="296"/>
      <c r="AC54" s="297"/>
      <c r="AD54" s="297"/>
      <c r="AE54" s="297"/>
      <c r="AF54" s="297"/>
      <c r="AG54" s="297"/>
      <c r="AH54" s="297"/>
      <c r="AI54" s="297"/>
      <c r="AJ54" s="297"/>
      <c r="AK54" s="297"/>
      <c r="AL54" s="297"/>
      <c r="AM54" s="298"/>
      <c r="AO54" s="296"/>
      <c r="AP54" s="297"/>
      <c r="AQ54" s="297"/>
      <c r="AR54" s="297"/>
      <c r="AS54" s="297"/>
      <c r="AT54" s="297"/>
      <c r="AU54" s="297"/>
      <c r="AV54" s="297"/>
      <c r="AW54" s="297"/>
      <c r="AX54" s="297"/>
      <c r="AY54" s="297"/>
      <c r="AZ54" s="298"/>
    </row>
    <row r="55" spans="2:52" x14ac:dyDescent="0.2">
      <c r="B55" s="296"/>
      <c r="C55" s="297"/>
      <c r="D55" s="297"/>
      <c r="E55" s="297"/>
      <c r="F55" s="297"/>
      <c r="G55" s="297"/>
      <c r="H55" s="297"/>
      <c r="I55" s="297"/>
      <c r="J55" s="297"/>
      <c r="K55" s="297"/>
      <c r="L55" s="297"/>
      <c r="M55" s="298"/>
      <c r="O55" s="296"/>
      <c r="P55" s="297"/>
      <c r="Q55" s="297"/>
      <c r="R55" s="297"/>
      <c r="S55" s="297"/>
      <c r="T55" s="297"/>
      <c r="U55" s="297"/>
      <c r="V55" s="297"/>
      <c r="W55" s="297"/>
      <c r="X55" s="297"/>
      <c r="Y55" s="297"/>
      <c r="Z55" s="298"/>
      <c r="AB55" s="296"/>
      <c r="AC55" s="297"/>
      <c r="AD55" s="297"/>
      <c r="AE55" s="297"/>
      <c r="AF55" s="297"/>
      <c r="AG55" s="297"/>
      <c r="AH55" s="297"/>
      <c r="AI55" s="297"/>
      <c r="AJ55" s="297"/>
      <c r="AK55" s="297"/>
      <c r="AL55" s="297"/>
      <c r="AM55" s="298"/>
      <c r="AO55" s="296"/>
      <c r="AP55" s="297"/>
      <c r="AQ55" s="297"/>
      <c r="AR55" s="297"/>
      <c r="AS55" s="297"/>
      <c r="AT55" s="297"/>
      <c r="AU55" s="297"/>
      <c r="AV55" s="297"/>
      <c r="AW55" s="297"/>
      <c r="AX55" s="297"/>
      <c r="AY55" s="297"/>
      <c r="AZ55" s="298"/>
    </row>
    <row r="56" spans="2:52" x14ac:dyDescent="0.2">
      <c r="B56" s="296"/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8"/>
      <c r="O56" s="296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8"/>
      <c r="AB56" s="296"/>
      <c r="AC56" s="297"/>
      <c r="AD56" s="297"/>
      <c r="AE56" s="297"/>
      <c r="AF56" s="297"/>
      <c r="AG56" s="297"/>
      <c r="AH56" s="297"/>
      <c r="AI56" s="297"/>
      <c r="AJ56" s="297"/>
      <c r="AK56" s="297"/>
      <c r="AL56" s="297"/>
      <c r="AM56" s="298"/>
      <c r="AO56" s="296"/>
      <c r="AP56" s="297"/>
      <c r="AQ56" s="297"/>
      <c r="AR56" s="297"/>
      <c r="AS56" s="297"/>
      <c r="AT56" s="297"/>
      <c r="AU56" s="297"/>
      <c r="AV56" s="297"/>
      <c r="AW56" s="297"/>
      <c r="AX56" s="297"/>
      <c r="AY56" s="297"/>
      <c r="AZ56" s="298"/>
    </row>
    <row r="57" spans="2:52" ht="13.5" thickBot="1" x14ac:dyDescent="0.25">
      <c r="B57" s="299"/>
      <c r="C57" s="300"/>
      <c r="D57" s="300"/>
      <c r="E57" s="300"/>
      <c r="F57" s="300"/>
      <c r="G57" s="300"/>
      <c r="H57" s="300"/>
      <c r="I57" s="300"/>
      <c r="J57" s="300"/>
      <c r="K57" s="300"/>
      <c r="L57" s="300"/>
      <c r="M57" s="301"/>
      <c r="O57" s="299"/>
      <c r="P57" s="300"/>
      <c r="Q57" s="300"/>
      <c r="R57" s="300"/>
      <c r="S57" s="300"/>
      <c r="T57" s="300"/>
      <c r="U57" s="300"/>
      <c r="V57" s="300"/>
      <c r="W57" s="300"/>
      <c r="X57" s="300"/>
      <c r="Y57" s="300"/>
      <c r="Z57" s="301"/>
      <c r="AB57" s="299"/>
      <c r="AC57" s="300"/>
      <c r="AD57" s="300"/>
      <c r="AE57" s="300"/>
      <c r="AF57" s="300"/>
      <c r="AG57" s="300"/>
      <c r="AH57" s="300"/>
      <c r="AI57" s="300"/>
      <c r="AJ57" s="300"/>
      <c r="AK57" s="300"/>
      <c r="AL57" s="300"/>
      <c r="AM57" s="301"/>
      <c r="AO57" s="299"/>
      <c r="AP57" s="300"/>
      <c r="AQ57" s="300"/>
      <c r="AR57" s="300"/>
      <c r="AS57" s="300"/>
      <c r="AT57" s="300"/>
      <c r="AU57" s="300"/>
      <c r="AV57" s="300"/>
      <c r="AW57" s="300"/>
      <c r="AX57" s="300"/>
      <c r="AY57" s="300"/>
      <c r="AZ57" s="301"/>
    </row>
    <row r="58" spans="2:52" x14ac:dyDescent="0.2"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2:52" ht="13.5" thickBot="1" x14ac:dyDescent="0.25"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2:52" ht="38.25" customHeight="1" thickBot="1" x14ac:dyDescent="0.25">
      <c r="B60" s="302" t="s">
        <v>239</v>
      </c>
      <c r="C60" s="303"/>
      <c r="D60" s="303"/>
      <c r="E60" s="303"/>
      <c r="F60" s="303"/>
      <c r="G60" s="303"/>
      <c r="H60" s="303"/>
      <c r="I60" s="303"/>
      <c r="J60" s="304"/>
      <c r="K60" s="305" t="str">
        <f>Summary!C56</f>
        <v>WK 51</v>
      </c>
      <c r="L60" s="306"/>
      <c r="M60" s="187">
        <f>Summary!F47</f>
        <v>12600</v>
      </c>
      <c r="O60" s="307" t="s">
        <v>240</v>
      </c>
      <c r="P60" s="308"/>
      <c r="Q60" s="308"/>
      <c r="R60" s="308"/>
      <c r="S60" s="308"/>
      <c r="T60" s="308"/>
      <c r="U60" s="308"/>
      <c r="V60" s="308"/>
      <c r="W60" s="309"/>
      <c r="X60" s="310" t="str">
        <f>Summary!C56</f>
        <v>WK 51</v>
      </c>
      <c r="Y60" s="311"/>
      <c r="Z60" s="189">
        <f>SUM(Summary!AA59:AA65)</f>
        <v>12159</v>
      </c>
      <c r="AB60" s="312" t="s">
        <v>237</v>
      </c>
      <c r="AC60" s="313"/>
      <c r="AD60" s="313"/>
      <c r="AE60" s="313"/>
      <c r="AF60" s="313"/>
      <c r="AG60" s="313"/>
      <c r="AH60" s="313"/>
      <c r="AI60" s="313"/>
      <c r="AJ60" s="313"/>
      <c r="AK60" s="314" t="str">
        <f>Summary!C56</f>
        <v>WK 51</v>
      </c>
      <c r="AL60" s="315"/>
      <c r="AM60" s="192">
        <f>Summary!AD5</f>
        <v>0.96499999999999997</v>
      </c>
      <c r="AO60" s="312" t="s">
        <v>238</v>
      </c>
      <c r="AP60" s="313"/>
      <c r="AQ60" s="313"/>
      <c r="AR60" s="313"/>
      <c r="AS60" s="313"/>
      <c r="AT60" s="313"/>
      <c r="AU60" s="313"/>
      <c r="AV60" s="313"/>
      <c r="AW60" s="313"/>
      <c r="AX60" s="314" t="str">
        <f>Summary!C56</f>
        <v>WK 51</v>
      </c>
      <c r="AY60" s="315"/>
      <c r="AZ60" s="192">
        <f>AM60</f>
        <v>0.96499999999999997</v>
      </c>
    </row>
    <row r="61" spans="2:52" x14ac:dyDescent="0.2">
      <c r="B61" s="293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5"/>
      <c r="O61" s="293"/>
      <c r="P61" s="294"/>
      <c r="Q61" s="294"/>
      <c r="R61" s="294"/>
      <c r="S61" s="294"/>
      <c r="T61" s="294"/>
      <c r="U61" s="294"/>
      <c r="V61" s="294"/>
      <c r="W61" s="294"/>
      <c r="X61" s="294"/>
      <c r="Y61" s="294"/>
      <c r="Z61" s="295"/>
      <c r="AB61" s="293"/>
      <c r="AC61" s="294"/>
      <c r="AD61" s="294"/>
      <c r="AE61" s="294"/>
      <c r="AF61" s="294"/>
      <c r="AG61" s="294"/>
      <c r="AH61" s="294"/>
      <c r="AI61" s="294"/>
      <c r="AJ61" s="294"/>
      <c r="AK61" s="294"/>
      <c r="AL61" s="294"/>
      <c r="AM61" s="295"/>
      <c r="AO61" s="293"/>
      <c r="AP61" s="294"/>
      <c r="AQ61" s="294"/>
      <c r="AR61" s="294"/>
      <c r="AS61" s="294"/>
      <c r="AT61" s="294"/>
      <c r="AU61" s="294"/>
      <c r="AV61" s="294"/>
      <c r="AW61" s="294"/>
      <c r="AX61" s="294"/>
      <c r="AY61" s="294"/>
      <c r="AZ61" s="295"/>
    </row>
    <row r="62" spans="2:52" x14ac:dyDescent="0.2">
      <c r="B62" s="296"/>
      <c r="C62" s="297"/>
      <c r="D62" s="297"/>
      <c r="E62" s="297"/>
      <c r="F62" s="297"/>
      <c r="G62" s="297"/>
      <c r="H62" s="297"/>
      <c r="I62" s="297"/>
      <c r="J62" s="297"/>
      <c r="K62" s="297"/>
      <c r="L62" s="297"/>
      <c r="M62" s="298"/>
      <c r="O62" s="296"/>
      <c r="P62" s="297"/>
      <c r="Q62" s="297"/>
      <c r="R62" s="297"/>
      <c r="S62" s="297"/>
      <c r="T62" s="297"/>
      <c r="U62" s="297"/>
      <c r="V62" s="297"/>
      <c r="W62" s="297"/>
      <c r="X62" s="297"/>
      <c r="Y62" s="297"/>
      <c r="Z62" s="298"/>
      <c r="AB62" s="296"/>
      <c r="AC62" s="297"/>
      <c r="AD62" s="297"/>
      <c r="AE62" s="297"/>
      <c r="AF62" s="297"/>
      <c r="AG62" s="297"/>
      <c r="AH62" s="297"/>
      <c r="AI62" s="297"/>
      <c r="AJ62" s="297"/>
      <c r="AK62" s="297"/>
      <c r="AL62" s="297"/>
      <c r="AM62" s="298"/>
      <c r="AO62" s="296"/>
      <c r="AP62" s="297"/>
      <c r="AQ62" s="297"/>
      <c r="AR62" s="297"/>
      <c r="AS62" s="297"/>
      <c r="AT62" s="297"/>
      <c r="AU62" s="297"/>
      <c r="AV62" s="297"/>
      <c r="AW62" s="297"/>
      <c r="AX62" s="297"/>
      <c r="AY62" s="297"/>
      <c r="AZ62" s="298"/>
    </row>
    <row r="63" spans="2:52" x14ac:dyDescent="0.2">
      <c r="B63" s="296"/>
      <c r="C63" s="297"/>
      <c r="D63" s="297"/>
      <c r="E63" s="297"/>
      <c r="F63" s="297"/>
      <c r="G63" s="297"/>
      <c r="H63" s="297"/>
      <c r="I63" s="297"/>
      <c r="J63" s="297"/>
      <c r="K63" s="297"/>
      <c r="L63" s="297"/>
      <c r="M63" s="298"/>
      <c r="O63" s="296"/>
      <c r="P63" s="297"/>
      <c r="Q63" s="297"/>
      <c r="R63" s="297"/>
      <c r="S63" s="297"/>
      <c r="T63" s="297"/>
      <c r="U63" s="297"/>
      <c r="V63" s="297"/>
      <c r="W63" s="297"/>
      <c r="X63" s="297"/>
      <c r="Y63" s="297"/>
      <c r="Z63" s="298"/>
      <c r="AB63" s="296"/>
      <c r="AC63" s="297"/>
      <c r="AD63" s="297"/>
      <c r="AE63" s="297"/>
      <c r="AF63" s="297"/>
      <c r="AG63" s="297"/>
      <c r="AH63" s="297"/>
      <c r="AI63" s="297"/>
      <c r="AJ63" s="297"/>
      <c r="AK63" s="297"/>
      <c r="AL63" s="297"/>
      <c r="AM63" s="298"/>
      <c r="AO63" s="296"/>
      <c r="AP63" s="297"/>
      <c r="AQ63" s="297"/>
      <c r="AR63" s="297"/>
      <c r="AS63" s="297"/>
      <c r="AT63" s="297"/>
      <c r="AU63" s="297"/>
      <c r="AV63" s="297"/>
      <c r="AW63" s="297"/>
      <c r="AX63" s="297"/>
      <c r="AY63" s="297"/>
      <c r="AZ63" s="298"/>
    </row>
    <row r="64" spans="2:52" x14ac:dyDescent="0.2">
      <c r="B64" s="296"/>
      <c r="C64" s="297"/>
      <c r="D64" s="297"/>
      <c r="E64" s="297"/>
      <c r="F64" s="297"/>
      <c r="G64" s="297"/>
      <c r="H64" s="297"/>
      <c r="I64" s="297"/>
      <c r="J64" s="297"/>
      <c r="K64" s="297"/>
      <c r="L64" s="297"/>
      <c r="M64" s="298"/>
      <c r="O64" s="296"/>
      <c r="P64" s="297"/>
      <c r="Q64" s="297"/>
      <c r="R64" s="297"/>
      <c r="S64" s="297"/>
      <c r="T64" s="297"/>
      <c r="U64" s="297"/>
      <c r="V64" s="297"/>
      <c r="W64" s="297"/>
      <c r="X64" s="297"/>
      <c r="Y64" s="297"/>
      <c r="Z64" s="298"/>
      <c r="AB64" s="296"/>
      <c r="AC64" s="297"/>
      <c r="AD64" s="297"/>
      <c r="AE64" s="297"/>
      <c r="AF64" s="297"/>
      <c r="AG64" s="297"/>
      <c r="AH64" s="297"/>
      <c r="AI64" s="297"/>
      <c r="AJ64" s="297"/>
      <c r="AK64" s="297"/>
      <c r="AL64" s="297"/>
      <c r="AM64" s="298"/>
      <c r="AO64" s="296"/>
      <c r="AP64" s="297"/>
      <c r="AQ64" s="297"/>
      <c r="AR64" s="297"/>
      <c r="AS64" s="297"/>
      <c r="AT64" s="297"/>
      <c r="AU64" s="297"/>
      <c r="AV64" s="297"/>
      <c r="AW64" s="297"/>
      <c r="AX64" s="297"/>
      <c r="AY64" s="297"/>
      <c r="AZ64" s="298"/>
    </row>
    <row r="65" spans="2:52" x14ac:dyDescent="0.2">
      <c r="B65" s="296"/>
      <c r="C65" s="297"/>
      <c r="D65" s="297"/>
      <c r="E65" s="297"/>
      <c r="F65" s="297"/>
      <c r="G65" s="297"/>
      <c r="H65" s="297"/>
      <c r="I65" s="297"/>
      <c r="J65" s="297"/>
      <c r="K65" s="297"/>
      <c r="L65" s="297"/>
      <c r="M65" s="298"/>
      <c r="O65" s="296"/>
      <c r="P65" s="297"/>
      <c r="Q65" s="297"/>
      <c r="R65" s="297"/>
      <c r="S65" s="297"/>
      <c r="T65" s="297"/>
      <c r="U65" s="297"/>
      <c r="V65" s="297"/>
      <c r="W65" s="297"/>
      <c r="X65" s="297"/>
      <c r="Y65" s="297"/>
      <c r="Z65" s="298"/>
      <c r="AB65" s="296"/>
      <c r="AC65" s="297"/>
      <c r="AD65" s="297"/>
      <c r="AE65" s="297"/>
      <c r="AF65" s="297"/>
      <c r="AG65" s="297"/>
      <c r="AH65" s="297"/>
      <c r="AI65" s="297"/>
      <c r="AJ65" s="297"/>
      <c r="AK65" s="297"/>
      <c r="AL65" s="297"/>
      <c r="AM65" s="298"/>
      <c r="AO65" s="296"/>
      <c r="AP65" s="297"/>
      <c r="AQ65" s="297"/>
      <c r="AR65" s="297"/>
      <c r="AS65" s="297"/>
      <c r="AT65" s="297"/>
      <c r="AU65" s="297"/>
      <c r="AV65" s="297"/>
      <c r="AW65" s="297"/>
      <c r="AX65" s="297"/>
      <c r="AY65" s="297"/>
      <c r="AZ65" s="298"/>
    </row>
    <row r="66" spans="2:52" x14ac:dyDescent="0.2">
      <c r="B66" s="296"/>
      <c r="C66" s="297"/>
      <c r="D66" s="297"/>
      <c r="E66" s="297"/>
      <c r="F66" s="297"/>
      <c r="G66" s="297"/>
      <c r="H66" s="297"/>
      <c r="I66" s="297"/>
      <c r="J66" s="297"/>
      <c r="K66" s="297"/>
      <c r="L66" s="297"/>
      <c r="M66" s="298"/>
      <c r="O66" s="296"/>
      <c r="P66" s="297"/>
      <c r="Q66" s="297"/>
      <c r="R66" s="297"/>
      <c r="S66" s="297"/>
      <c r="T66" s="297"/>
      <c r="U66" s="297"/>
      <c r="V66" s="297"/>
      <c r="W66" s="297"/>
      <c r="X66" s="297"/>
      <c r="Y66" s="297"/>
      <c r="Z66" s="298"/>
      <c r="AB66" s="296"/>
      <c r="AC66" s="297"/>
      <c r="AD66" s="297"/>
      <c r="AE66" s="297"/>
      <c r="AF66" s="297"/>
      <c r="AG66" s="297"/>
      <c r="AH66" s="297"/>
      <c r="AI66" s="297"/>
      <c r="AJ66" s="297"/>
      <c r="AK66" s="297"/>
      <c r="AL66" s="297"/>
      <c r="AM66" s="298"/>
      <c r="AO66" s="296"/>
      <c r="AP66" s="297"/>
      <c r="AQ66" s="297"/>
      <c r="AR66" s="297"/>
      <c r="AS66" s="297"/>
      <c r="AT66" s="297"/>
      <c r="AU66" s="297"/>
      <c r="AV66" s="297"/>
      <c r="AW66" s="297"/>
      <c r="AX66" s="297"/>
      <c r="AY66" s="297"/>
      <c r="AZ66" s="298"/>
    </row>
    <row r="67" spans="2:52" x14ac:dyDescent="0.2">
      <c r="B67" s="296"/>
      <c r="C67" s="297"/>
      <c r="D67" s="297"/>
      <c r="E67" s="297"/>
      <c r="F67" s="297"/>
      <c r="G67" s="297"/>
      <c r="H67" s="297"/>
      <c r="I67" s="297"/>
      <c r="J67" s="297"/>
      <c r="K67" s="297"/>
      <c r="L67" s="297"/>
      <c r="M67" s="298"/>
      <c r="O67" s="296"/>
      <c r="P67" s="297"/>
      <c r="Q67" s="297"/>
      <c r="R67" s="297"/>
      <c r="S67" s="297"/>
      <c r="T67" s="297"/>
      <c r="U67" s="297"/>
      <c r="V67" s="297"/>
      <c r="W67" s="297"/>
      <c r="X67" s="297"/>
      <c r="Y67" s="297"/>
      <c r="Z67" s="298"/>
      <c r="AB67" s="296"/>
      <c r="AC67" s="297"/>
      <c r="AD67" s="297"/>
      <c r="AE67" s="297"/>
      <c r="AF67" s="297"/>
      <c r="AG67" s="297"/>
      <c r="AH67" s="297"/>
      <c r="AI67" s="297"/>
      <c r="AJ67" s="297"/>
      <c r="AK67" s="297"/>
      <c r="AL67" s="297"/>
      <c r="AM67" s="298"/>
      <c r="AO67" s="296"/>
      <c r="AP67" s="297"/>
      <c r="AQ67" s="297"/>
      <c r="AR67" s="297"/>
      <c r="AS67" s="297"/>
      <c r="AT67" s="297"/>
      <c r="AU67" s="297"/>
      <c r="AV67" s="297"/>
      <c r="AW67" s="297"/>
      <c r="AX67" s="297"/>
      <c r="AY67" s="297"/>
      <c r="AZ67" s="298"/>
    </row>
    <row r="68" spans="2:52" x14ac:dyDescent="0.2">
      <c r="B68" s="296"/>
      <c r="C68" s="297"/>
      <c r="D68" s="297"/>
      <c r="E68" s="297"/>
      <c r="F68" s="297"/>
      <c r="G68" s="297"/>
      <c r="H68" s="297"/>
      <c r="I68" s="297"/>
      <c r="J68" s="297"/>
      <c r="K68" s="297"/>
      <c r="L68" s="297"/>
      <c r="M68" s="298"/>
      <c r="O68" s="296"/>
      <c r="P68" s="297"/>
      <c r="Q68" s="297"/>
      <c r="R68" s="297"/>
      <c r="S68" s="297"/>
      <c r="T68" s="297"/>
      <c r="U68" s="297"/>
      <c r="V68" s="297"/>
      <c r="W68" s="297"/>
      <c r="X68" s="297"/>
      <c r="Y68" s="297"/>
      <c r="Z68" s="298"/>
      <c r="AB68" s="296"/>
      <c r="AC68" s="297"/>
      <c r="AD68" s="297"/>
      <c r="AE68" s="297"/>
      <c r="AF68" s="297"/>
      <c r="AG68" s="297"/>
      <c r="AH68" s="297"/>
      <c r="AI68" s="297"/>
      <c r="AJ68" s="297"/>
      <c r="AK68" s="297"/>
      <c r="AL68" s="297"/>
      <c r="AM68" s="298"/>
      <c r="AO68" s="296"/>
      <c r="AP68" s="297"/>
      <c r="AQ68" s="297"/>
      <c r="AR68" s="297"/>
      <c r="AS68" s="297"/>
      <c r="AT68" s="297"/>
      <c r="AU68" s="297"/>
      <c r="AV68" s="297"/>
      <c r="AW68" s="297"/>
      <c r="AX68" s="297"/>
      <c r="AY68" s="297"/>
      <c r="AZ68" s="298"/>
    </row>
    <row r="69" spans="2:52" x14ac:dyDescent="0.2">
      <c r="B69" s="296"/>
      <c r="C69" s="297"/>
      <c r="D69" s="297"/>
      <c r="E69" s="297"/>
      <c r="F69" s="297"/>
      <c r="G69" s="297"/>
      <c r="H69" s="297"/>
      <c r="I69" s="297"/>
      <c r="J69" s="297"/>
      <c r="K69" s="297"/>
      <c r="L69" s="297"/>
      <c r="M69" s="298"/>
      <c r="O69" s="296"/>
      <c r="P69" s="297"/>
      <c r="Q69" s="297"/>
      <c r="R69" s="297"/>
      <c r="S69" s="297"/>
      <c r="T69" s="297"/>
      <c r="U69" s="297"/>
      <c r="V69" s="297"/>
      <c r="W69" s="297"/>
      <c r="X69" s="297"/>
      <c r="Y69" s="297"/>
      <c r="Z69" s="298"/>
      <c r="AB69" s="296"/>
      <c r="AC69" s="297"/>
      <c r="AD69" s="297"/>
      <c r="AE69" s="297"/>
      <c r="AF69" s="297"/>
      <c r="AG69" s="297"/>
      <c r="AH69" s="297"/>
      <c r="AI69" s="297"/>
      <c r="AJ69" s="297"/>
      <c r="AK69" s="297"/>
      <c r="AL69" s="297"/>
      <c r="AM69" s="298"/>
      <c r="AO69" s="296"/>
      <c r="AP69" s="297"/>
      <c r="AQ69" s="297"/>
      <c r="AR69" s="297"/>
      <c r="AS69" s="297"/>
      <c r="AT69" s="297"/>
      <c r="AU69" s="297"/>
      <c r="AV69" s="297"/>
      <c r="AW69" s="297"/>
      <c r="AX69" s="297"/>
      <c r="AY69" s="297"/>
      <c r="AZ69" s="298"/>
    </row>
    <row r="70" spans="2:52" x14ac:dyDescent="0.2">
      <c r="B70" s="296"/>
      <c r="C70" s="297"/>
      <c r="D70" s="297"/>
      <c r="E70" s="297"/>
      <c r="F70" s="297"/>
      <c r="G70" s="297"/>
      <c r="H70" s="297"/>
      <c r="I70" s="297"/>
      <c r="J70" s="297"/>
      <c r="K70" s="297"/>
      <c r="L70" s="297"/>
      <c r="M70" s="298"/>
      <c r="O70" s="296"/>
      <c r="P70" s="297"/>
      <c r="Q70" s="297"/>
      <c r="R70" s="297"/>
      <c r="S70" s="297"/>
      <c r="T70" s="297"/>
      <c r="U70" s="297"/>
      <c r="V70" s="297"/>
      <c r="W70" s="297"/>
      <c r="X70" s="297"/>
      <c r="Y70" s="297"/>
      <c r="Z70" s="298"/>
      <c r="AB70" s="296"/>
      <c r="AC70" s="297"/>
      <c r="AD70" s="297"/>
      <c r="AE70" s="297"/>
      <c r="AF70" s="297"/>
      <c r="AG70" s="297"/>
      <c r="AH70" s="297"/>
      <c r="AI70" s="297"/>
      <c r="AJ70" s="297"/>
      <c r="AK70" s="297"/>
      <c r="AL70" s="297"/>
      <c r="AM70" s="298"/>
      <c r="AO70" s="296"/>
      <c r="AP70" s="297"/>
      <c r="AQ70" s="297"/>
      <c r="AR70" s="297"/>
      <c r="AS70" s="297"/>
      <c r="AT70" s="297"/>
      <c r="AU70" s="297"/>
      <c r="AV70" s="297"/>
      <c r="AW70" s="297"/>
      <c r="AX70" s="297"/>
      <c r="AY70" s="297"/>
      <c r="AZ70" s="298"/>
    </row>
    <row r="71" spans="2:52" x14ac:dyDescent="0.2">
      <c r="B71" s="296"/>
      <c r="C71" s="297"/>
      <c r="D71" s="297"/>
      <c r="E71" s="297"/>
      <c r="F71" s="297"/>
      <c r="G71" s="297"/>
      <c r="H71" s="297"/>
      <c r="I71" s="297"/>
      <c r="J71" s="297"/>
      <c r="K71" s="297"/>
      <c r="L71" s="297"/>
      <c r="M71" s="298"/>
      <c r="O71" s="296"/>
      <c r="P71" s="297"/>
      <c r="Q71" s="297"/>
      <c r="R71" s="297"/>
      <c r="S71" s="297"/>
      <c r="T71" s="297"/>
      <c r="U71" s="297"/>
      <c r="V71" s="297"/>
      <c r="W71" s="297"/>
      <c r="X71" s="297"/>
      <c r="Y71" s="297"/>
      <c r="Z71" s="298"/>
      <c r="AB71" s="296"/>
      <c r="AC71" s="297"/>
      <c r="AD71" s="297"/>
      <c r="AE71" s="297"/>
      <c r="AF71" s="297"/>
      <c r="AG71" s="297"/>
      <c r="AH71" s="297"/>
      <c r="AI71" s="297"/>
      <c r="AJ71" s="297"/>
      <c r="AK71" s="297"/>
      <c r="AL71" s="297"/>
      <c r="AM71" s="298"/>
      <c r="AO71" s="296"/>
      <c r="AP71" s="297"/>
      <c r="AQ71" s="297"/>
      <c r="AR71" s="297"/>
      <c r="AS71" s="297"/>
      <c r="AT71" s="297"/>
      <c r="AU71" s="297"/>
      <c r="AV71" s="297"/>
      <c r="AW71" s="297"/>
      <c r="AX71" s="297"/>
      <c r="AY71" s="297"/>
      <c r="AZ71" s="298"/>
    </row>
    <row r="72" spans="2:52" x14ac:dyDescent="0.2">
      <c r="B72" s="296"/>
      <c r="C72" s="297"/>
      <c r="D72" s="297"/>
      <c r="E72" s="297"/>
      <c r="F72" s="297"/>
      <c r="G72" s="297"/>
      <c r="H72" s="297"/>
      <c r="I72" s="297"/>
      <c r="J72" s="297"/>
      <c r="K72" s="297"/>
      <c r="L72" s="297"/>
      <c r="M72" s="298"/>
      <c r="O72" s="296"/>
      <c r="P72" s="297"/>
      <c r="Q72" s="297"/>
      <c r="R72" s="297"/>
      <c r="S72" s="297"/>
      <c r="T72" s="297"/>
      <c r="U72" s="297"/>
      <c r="V72" s="297"/>
      <c r="W72" s="297"/>
      <c r="X72" s="297"/>
      <c r="Y72" s="297"/>
      <c r="Z72" s="298"/>
      <c r="AB72" s="296"/>
      <c r="AC72" s="297"/>
      <c r="AD72" s="297"/>
      <c r="AE72" s="297"/>
      <c r="AF72" s="297"/>
      <c r="AG72" s="297"/>
      <c r="AH72" s="297"/>
      <c r="AI72" s="297"/>
      <c r="AJ72" s="297"/>
      <c r="AK72" s="297"/>
      <c r="AL72" s="297"/>
      <c r="AM72" s="298"/>
      <c r="AO72" s="296"/>
      <c r="AP72" s="297"/>
      <c r="AQ72" s="297"/>
      <c r="AR72" s="297"/>
      <c r="AS72" s="297"/>
      <c r="AT72" s="297"/>
      <c r="AU72" s="297"/>
      <c r="AV72" s="297"/>
      <c r="AW72" s="297"/>
      <c r="AX72" s="297"/>
      <c r="AY72" s="297"/>
      <c r="AZ72" s="298"/>
    </row>
    <row r="73" spans="2:52" x14ac:dyDescent="0.2">
      <c r="B73" s="296"/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8"/>
      <c r="O73" s="296"/>
      <c r="P73" s="297"/>
      <c r="Q73" s="297"/>
      <c r="R73" s="297"/>
      <c r="S73" s="297"/>
      <c r="T73" s="297"/>
      <c r="U73" s="297"/>
      <c r="V73" s="297"/>
      <c r="W73" s="297"/>
      <c r="X73" s="297"/>
      <c r="Y73" s="297"/>
      <c r="Z73" s="298"/>
      <c r="AB73" s="296"/>
      <c r="AC73" s="297"/>
      <c r="AD73" s="297"/>
      <c r="AE73" s="297"/>
      <c r="AF73" s="297"/>
      <c r="AG73" s="297"/>
      <c r="AH73" s="297"/>
      <c r="AI73" s="297"/>
      <c r="AJ73" s="297"/>
      <c r="AK73" s="297"/>
      <c r="AL73" s="297"/>
      <c r="AM73" s="298"/>
      <c r="AO73" s="296"/>
      <c r="AP73" s="297"/>
      <c r="AQ73" s="297"/>
      <c r="AR73" s="297"/>
      <c r="AS73" s="297"/>
      <c r="AT73" s="297"/>
      <c r="AU73" s="297"/>
      <c r="AV73" s="297"/>
      <c r="AW73" s="297"/>
      <c r="AX73" s="297"/>
      <c r="AY73" s="297"/>
      <c r="AZ73" s="298"/>
    </row>
    <row r="74" spans="2:52" x14ac:dyDescent="0.2">
      <c r="B74" s="296"/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8"/>
      <c r="O74" s="296"/>
      <c r="P74" s="297"/>
      <c r="Q74" s="297"/>
      <c r="R74" s="297"/>
      <c r="S74" s="297"/>
      <c r="T74" s="297"/>
      <c r="U74" s="297"/>
      <c r="V74" s="297"/>
      <c r="W74" s="297"/>
      <c r="X74" s="297"/>
      <c r="Y74" s="297"/>
      <c r="Z74" s="298"/>
      <c r="AB74" s="296"/>
      <c r="AC74" s="297"/>
      <c r="AD74" s="297"/>
      <c r="AE74" s="297"/>
      <c r="AF74" s="297"/>
      <c r="AG74" s="297"/>
      <c r="AH74" s="297"/>
      <c r="AI74" s="297"/>
      <c r="AJ74" s="297"/>
      <c r="AK74" s="297"/>
      <c r="AL74" s="297"/>
      <c r="AM74" s="298"/>
      <c r="AO74" s="296"/>
      <c r="AP74" s="297"/>
      <c r="AQ74" s="297"/>
      <c r="AR74" s="297"/>
      <c r="AS74" s="297"/>
      <c r="AT74" s="297"/>
      <c r="AU74" s="297"/>
      <c r="AV74" s="297"/>
      <c r="AW74" s="297"/>
      <c r="AX74" s="297"/>
      <c r="AY74" s="297"/>
      <c r="AZ74" s="298"/>
    </row>
    <row r="75" spans="2:52" x14ac:dyDescent="0.2">
      <c r="B75" s="296"/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8"/>
      <c r="O75" s="296"/>
      <c r="P75" s="297"/>
      <c r="Q75" s="297"/>
      <c r="R75" s="297"/>
      <c r="S75" s="297"/>
      <c r="T75" s="297"/>
      <c r="U75" s="297"/>
      <c r="V75" s="297"/>
      <c r="W75" s="297"/>
      <c r="X75" s="297"/>
      <c r="Y75" s="297"/>
      <c r="Z75" s="298"/>
      <c r="AB75" s="296"/>
      <c r="AC75" s="297"/>
      <c r="AD75" s="297"/>
      <c r="AE75" s="297"/>
      <c r="AF75" s="297"/>
      <c r="AG75" s="297"/>
      <c r="AH75" s="297"/>
      <c r="AI75" s="297"/>
      <c r="AJ75" s="297"/>
      <c r="AK75" s="297"/>
      <c r="AL75" s="297"/>
      <c r="AM75" s="298"/>
      <c r="AO75" s="296"/>
      <c r="AP75" s="297"/>
      <c r="AQ75" s="297"/>
      <c r="AR75" s="297"/>
      <c r="AS75" s="297"/>
      <c r="AT75" s="297"/>
      <c r="AU75" s="297"/>
      <c r="AV75" s="297"/>
      <c r="AW75" s="297"/>
      <c r="AX75" s="297"/>
      <c r="AY75" s="297"/>
      <c r="AZ75" s="298"/>
    </row>
    <row r="76" spans="2:52" x14ac:dyDescent="0.2">
      <c r="B76" s="296"/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8"/>
      <c r="O76" s="296"/>
      <c r="P76" s="297"/>
      <c r="Q76" s="297"/>
      <c r="R76" s="297"/>
      <c r="S76" s="297"/>
      <c r="T76" s="297"/>
      <c r="U76" s="297"/>
      <c r="V76" s="297"/>
      <c r="W76" s="297"/>
      <c r="X76" s="297"/>
      <c r="Y76" s="297"/>
      <c r="Z76" s="298"/>
      <c r="AB76" s="296"/>
      <c r="AC76" s="297"/>
      <c r="AD76" s="297"/>
      <c r="AE76" s="297"/>
      <c r="AF76" s="297"/>
      <c r="AG76" s="297"/>
      <c r="AH76" s="297"/>
      <c r="AI76" s="297"/>
      <c r="AJ76" s="297"/>
      <c r="AK76" s="297"/>
      <c r="AL76" s="297"/>
      <c r="AM76" s="298"/>
      <c r="AO76" s="296"/>
      <c r="AP76" s="297"/>
      <c r="AQ76" s="297"/>
      <c r="AR76" s="297"/>
      <c r="AS76" s="297"/>
      <c r="AT76" s="297"/>
      <c r="AU76" s="297"/>
      <c r="AV76" s="297"/>
      <c r="AW76" s="297"/>
      <c r="AX76" s="297"/>
      <c r="AY76" s="297"/>
      <c r="AZ76" s="298"/>
    </row>
    <row r="77" spans="2:52" x14ac:dyDescent="0.2">
      <c r="B77" s="296"/>
      <c r="C77" s="297"/>
      <c r="D77" s="297"/>
      <c r="E77" s="297"/>
      <c r="F77" s="297"/>
      <c r="G77" s="297"/>
      <c r="H77" s="297"/>
      <c r="I77" s="297"/>
      <c r="J77" s="297"/>
      <c r="K77" s="297"/>
      <c r="L77" s="297"/>
      <c r="M77" s="298"/>
      <c r="O77" s="296"/>
      <c r="P77" s="297"/>
      <c r="Q77" s="297"/>
      <c r="R77" s="297"/>
      <c r="S77" s="297"/>
      <c r="T77" s="297"/>
      <c r="U77" s="297"/>
      <c r="V77" s="297"/>
      <c r="W77" s="297"/>
      <c r="X77" s="297"/>
      <c r="Y77" s="297"/>
      <c r="Z77" s="298"/>
      <c r="AB77" s="296"/>
      <c r="AC77" s="297"/>
      <c r="AD77" s="297"/>
      <c r="AE77" s="297"/>
      <c r="AF77" s="297"/>
      <c r="AG77" s="297"/>
      <c r="AH77" s="297"/>
      <c r="AI77" s="297"/>
      <c r="AJ77" s="297"/>
      <c r="AK77" s="297"/>
      <c r="AL77" s="297"/>
      <c r="AM77" s="298"/>
      <c r="AO77" s="296"/>
      <c r="AP77" s="297"/>
      <c r="AQ77" s="297"/>
      <c r="AR77" s="297"/>
      <c r="AS77" s="297"/>
      <c r="AT77" s="297"/>
      <c r="AU77" s="297"/>
      <c r="AV77" s="297"/>
      <c r="AW77" s="297"/>
      <c r="AX77" s="297"/>
      <c r="AY77" s="297"/>
      <c r="AZ77" s="298"/>
    </row>
    <row r="78" spans="2:52" x14ac:dyDescent="0.2">
      <c r="B78" s="296"/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8"/>
      <c r="O78" s="296"/>
      <c r="P78" s="297"/>
      <c r="Q78" s="297"/>
      <c r="R78" s="297"/>
      <c r="S78" s="297"/>
      <c r="T78" s="297"/>
      <c r="U78" s="297"/>
      <c r="V78" s="297"/>
      <c r="W78" s="297"/>
      <c r="X78" s="297"/>
      <c r="Y78" s="297"/>
      <c r="Z78" s="298"/>
      <c r="AB78" s="296"/>
      <c r="AC78" s="297"/>
      <c r="AD78" s="297"/>
      <c r="AE78" s="297"/>
      <c r="AF78" s="297"/>
      <c r="AG78" s="297"/>
      <c r="AH78" s="297"/>
      <c r="AI78" s="297"/>
      <c r="AJ78" s="297"/>
      <c r="AK78" s="297"/>
      <c r="AL78" s="297"/>
      <c r="AM78" s="298"/>
      <c r="AO78" s="296"/>
      <c r="AP78" s="297"/>
      <c r="AQ78" s="297"/>
      <c r="AR78" s="297"/>
      <c r="AS78" s="297"/>
      <c r="AT78" s="297"/>
      <c r="AU78" s="297"/>
      <c r="AV78" s="297"/>
      <c r="AW78" s="297"/>
      <c r="AX78" s="297"/>
      <c r="AY78" s="297"/>
      <c r="AZ78" s="298"/>
    </row>
    <row r="79" spans="2:52" x14ac:dyDescent="0.2">
      <c r="B79" s="296"/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8"/>
      <c r="O79" s="296"/>
      <c r="P79" s="297"/>
      <c r="Q79" s="297"/>
      <c r="R79" s="297"/>
      <c r="S79" s="297"/>
      <c r="T79" s="297"/>
      <c r="U79" s="297"/>
      <c r="V79" s="297"/>
      <c r="W79" s="297"/>
      <c r="X79" s="297"/>
      <c r="Y79" s="297"/>
      <c r="Z79" s="298"/>
      <c r="AB79" s="296"/>
      <c r="AC79" s="297"/>
      <c r="AD79" s="297"/>
      <c r="AE79" s="297"/>
      <c r="AF79" s="297"/>
      <c r="AG79" s="297"/>
      <c r="AH79" s="297"/>
      <c r="AI79" s="297"/>
      <c r="AJ79" s="297"/>
      <c r="AK79" s="297"/>
      <c r="AL79" s="297"/>
      <c r="AM79" s="298"/>
      <c r="AO79" s="296"/>
      <c r="AP79" s="297"/>
      <c r="AQ79" s="297"/>
      <c r="AR79" s="297"/>
      <c r="AS79" s="297"/>
      <c r="AT79" s="297"/>
      <c r="AU79" s="297"/>
      <c r="AV79" s="297"/>
      <c r="AW79" s="297"/>
      <c r="AX79" s="297"/>
      <c r="AY79" s="297"/>
      <c r="AZ79" s="298"/>
    </row>
    <row r="80" spans="2:52" x14ac:dyDescent="0.2">
      <c r="B80" s="296"/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8"/>
      <c r="O80" s="296"/>
      <c r="P80" s="297"/>
      <c r="Q80" s="297"/>
      <c r="R80" s="297"/>
      <c r="S80" s="297"/>
      <c r="T80" s="297"/>
      <c r="U80" s="297"/>
      <c r="V80" s="297"/>
      <c r="W80" s="297"/>
      <c r="X80" s="297"/>
      <c r="Y80" s="297"/>
      <c r="Z80" s="298"/>
      <c r="AB80" s="296"/>
      <c r="AC80" s="297"/>
      <c r="AD80" s="297"/>
      <c r="AE80" s="297"/>
      <c r="AF80" s="297"/>
      <c r="AG80" s="297"/>
      <c r="AH80" s="297"/>
      <c r="AI80" s="297"/>
      <c r="AJ80" s="297"/>
      <c r="AK80" s="297"/>
      <c r="AL80" s="297"/>
      <c r="AM80" s="298"/>
      <c r="AO80" s="296"/>
      <c r="AP80" s="297"/>
      <c r="AQ80" s="297"/>
      <c r="AR80" s="297"/>
      <c r="AS80" s="297"/>
      <c r="AT80" s="297"/>
      <c r="AU80" s="297"/>
      <c r="AV80" s="297"/>
      <c r="AW80" s="297"/>
      <c r="AX80" s="297"/>
      <c r="AY80" s="297"/>
      <c r="AZ80" s="298"/>
    </row>
    <row r="81" spans="2:52" x14ac:dyDescent="0.2">
      <c r="B81" s="296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8"/>
      <c r="O81" s="296"/>
      <c r="P81" s="297"/>
      <c r="Q81" s="297"/>
      <c r="R81" s="297"/>
      <c r="S81" s="297"/>
      <c r="T81" s="297"/>
      <c r="U81" s="297"/>
      <c r="V81" s="297"/>
      <c r="W81" s="297"/>
      <c r="X81" s="297"/>
      <c r="Y81" s="297"/>
      <c r="Z81" s="298"/>
      <c r="AB81" s="296"/>
      <c r="AC81" s="297"/>
      <c r="AD81" s="297"/>
      <c r="AE81" s="297"/>
      <c r="AF81" s="297"/>
      <c r="AG81" s="297"/>
      <c r="AH81" s="297"/>
      <c r="AI81" s="297"/>
      <c r="AJ81" s="297"/>
      <c r="AK81" s="297"/>
      <c r="AL81" s="297"/>
      <c r="AM81" s="298"/>
      <c r="AO81" s="296"/>
      <c r="AP81" s="297"/>
      <c r="AQ81" s="297"/>
      <c r="AR81" s="297"/>
      <c r="AS81" s="297"/>
      <c r="AT81" s="297"/>
      <c r="AU81" s="297"/>
      <c r="AV81" s="297"/>
      <c r="AW81" s="297"/>
      <c r="AX81" s="297"/>
      <c r="AY81" s="297"/>
      <c r="AZ81" s="298"/>
    </row>
    <row r="82" spans="2:52" x14ac:dyDescent="0.2">
      <c r="B82" s="296"/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8"/>
      <c r="O82" s="296"/>
      <c r="P82" s="297"/>
      <c r="Q82" s="297"/>
      <c r="R82" s="297"/>
      <c r="S82" s="297"/>
      <c r="T82" s="297"/>
      <c r="U82" s="297"/>
      <c r="V82" s="297"/>
      <c r="W82" s="297"/>
      <c r="X82" s="297"/>
      <c r="Y82" s="297"/>
      <c r="Z82" s="298"/>
      <c r="AB82" s="296"/>
      <c r="AC82" s="297"/>
      <c r="AD82" s="297"/>
      <c r="AE82" s="297"/>
      <c r="AF82" s="297"/>
      <c r="AG82" s="297"/>
      <c r="AH82" s="297"/>
      <c r="AI82" s="297"/>
      <c r="AJ82" s="297"/>
      <c r="AK82" s="297"/>
      <c r="AL82" s="297"/>
      <c r="AM82" s="298"/>
      <c r="AO82" s="296"/>
      <c r="AP82" s="297"/>
      <c r="AQ82" s="297"/>
      <c r="AR82" s="297"/>
      <c r="AS82" s="297"/>
      <c r="AT82" s="297"/>
      <c r="AU82" s="297"/>
      <c r="AV82" s="297"/>
      <c r="AW82" s="297"/>
      <c r="AX82" s="297"/>
      <c r="AY82" s="297"/>
      <c r="AZ82" s="298"/>
    </row>
    <row r="83" spans="2:52" x14ac:dyDescent="0.2">
      <c r="B83" s="296"/>
      <c r="C83" s="297"/>
      <c r="D83" s="297"/>
      <c r="E83" s="297"/>
      <c r="F83" s="297"/>
      <c r="G83" s="297"/>
      <c r="H83" s="297"/>
      <c r="I83" s="297"/>
      <c r="J83" s="297"/>
      <c r="K83" s="297"/>
      <c r="L83" s="297"/>
      <c r="M83" s="298"/>
      <c r="O83" s="296"/>
      <c r="P83" s="297"/>
      <c r="Q83" s="297"/>
      <c r="R83" s="297"/>
      <c r="S83" s="297"/>
      <c r="T83" s="297"/>
      <c r="U83" s="297"/>
      <c r="V83" s="297"/>
      <c r="W83" s="297"/>
      <c r="X83" s="297"/>
      <c r="Y83" s="297"/>
      <c r="Z83" s="298"/>
      <c r="AB83" s="296"/>
      <c r="AC83" s="297"/>
      <c r="AD83" s="297"/>
      <c r="AE83" s="297"/>
      <c r="AF83" s="297"/>
      <c r="AG83" s="297"/>
      <c r="AH83" s="297"/>
      <c r="AI83" s="297"/>
      <c r="AJ83" s="297"/>
      <c r="AK83" s="297"/>
      <c r="AL83" s="297"/>
      <c r="AM83" s="298"/>
      <c r="AO83" s="296"/>
      <c r="AP83" s="297"/>
      <c r="AQ83" s="297"/>
      <c r="AR83" s="297"/>
      <c r="AS83" s="297"/>
      <c r="AT83" s="297"/>
      <c r="AU83" s="297"/>
      <c r="AV83" s="297"/>
      <c r="AW83" s="297"/>
      <c r="AX83" s="297"/>
      <c r="AY83" s="297"/>
      <c r="AZ83" s="298"/>
    </row>
    <row r="84" spans="2:52" x14ac:dyDescent="0.2">
      <c r="B84" s="296"/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8"/>
      <c r="O84" s="296"/>
      <c r="P84" s="297"/>
      <c r="Q84" s="297"/>
      <c r="R84" s="297"/>
      <c r="S84" s="297"/>
      <c r="T84" s="297"/>
      <c r="U84" s="297"/>
      <c r="V84" s="297"/>
      <c r="W84" s="297"/>
      <c r="X84" s="297"/>
      <c r="Y84" s="297"/>
      <c r="Z84" s="298"/>
      <c r="AB84" s="296"/>
      <c r="AC84" s="297"/>
      <c r="AD84" s="297"/>
      <c r="AE84" s="297"/>
      <c r="AF84" s="297"/>
      <c r="AG84" s="297"/>
      <c r="AH84" s="297"/>
      <c r="AI84" s="297"/>
      <c r="AJ84" s="297"/>
      <c r="AK84" s="297"/>
      <c r="AL84" s="297"/>
      <c r="AM84" s="298"/>
      <c r="AO84" s="296"/>
      <c r="AP84" s="297"/>
      <c r="AQ84" s="297"/>
      <c r="AR84" s="297"/>
      <c r="AS84" s="297"/>
      <c r="AT84" s="297"/>
      <c r="AU84" s="297"/>
      <c r="AV84" s="297"/>
      <c r="AW84" s="297"/>
      <c r="AX84" s="297"/>
      <c r="AY84" s="297"/>
      <c r="AZ84" s="298"/>
    </row>
    <row r="85" spans="2:52" x14ac:dyDescent="0.2">
      <c r="B85" s="296"/>
      <c r="C85" s="297"/>
      <c r="D85" s="297"/>
      <c r="E85" s="297"/>
      <c r="F85" s="297"/>
      <c r="G85" s="297"/>
      <c r="H85" s="297"/>
      <c r="I85" s="297"/>
      <c r="J85" s="297"/>
      <c r="K85" s="297"/>
      <c r="L85" s="297"/>
      <c r="M85" s="298"/>
      <c r="O85" s="296"/>
      <c r="P85" s="297"/>
      <c r="Q85" s="297"/>
      <c r="R85" s="297"/>
      <c r="S85" s="297"/>
      <c r="T85" s="297"/>
      <c r="U85" s="297"/>
      <c r="V85" s="297"/>
      <c r="W85" s="297"/>
      <c r="X85" s="297"/>
      <c r="Y85" s="297"/>
      <c r="Z85" s="298"/>
      <c r="AB85" s="296"/>
      <c r="AC85" s="297"/>
      <c r="AD85" s="297"/>
      <c r="AE85" s="297"/>
      <c r="AF85" s="297"/>
      <c r="AG85" s="297"/>
      <c r="AH85" s="297"/>
      <c r="AI85" s="297"/>
      <c r="AJ85" s="297"/>
      <c r="AK85" s="297"/>
      <c r="AL85" s="297"/>
      <c r="AM85" s="298"/>
      <c r="AO85" s="296"/>
      <c r="AP85" s="297"/>
      <c r="AQ85" s="297"/>
      <c r="AR85" s="297"/>
      <c r="AS85" s="297"/>
      <c r="AT85" s="297"/>
      <c r="AU85" s="297"/>
      <c r="AV85" s="297"/>
      <c r="AW85" s="297"/>
      <c r="AX85" s="297"/>
      <c r="AY85" s="297"/>
      <c r="AZ85" s="298"/>
    </row>
    <row r="86" spans="2:52" x14ac:dyDescent="0.2">
      <c r="B86" s="296"/>
      <c r="C86" s="297"/>
      <c r="D86" s="297"/>
      <c r="E86" s="297"/>
      <c r="F86" s="297"/>
      <c r="G86" s="297"/>
      <c r="H86" s="297"/>
      <c r="I86" s="297"/>
      <c r="J86" s="297"/>
      <c r="K86" s="297"/>
      <c r="L86" s="297"/>
      <c r="M86" s="298"/>
      <c r="O86" s="296"/>
      <c r="P86" s="297"/>
      <c r="Q86" s="297"/>
      <c r="R86" s="297"/>
      <c r="S86" s="297"/>
      <c r="T86" s="297"/>
      <c r="U86" s="297"/>
      <c r="V86" s="297"/>
      <c r="W86" s="297"/>
      <c r="X86" s="297"/>
      <c r="Y86" s="297"/>
      <c r="Z86" s="298"/>
      <c r="AB86" s="296"/>
      <c r="AC86" s="297"/>
      <c r="AD86" s="297"/>
      <c r="AE86" s="297"/>
      <c r="AF86" s="297"/>
      <c r="AG86" s="297"/>
      <c r="AH86" s="297"/>
      <c r="AI86" s="297"/>
      <c r="AJ86" s="297"/>
      <c r="AK86" s="297"/>
      <c r="AL86" s="297"/>
      <c r="AM86" s="298"/>
      <c r="AO86" s="296"/>
      <c r="AP86" s="297"/>
      <c r="AQ86" s="297"/>
      <c r="AR86" s="297"/>
      <c r="AS86" s="297"/>
      <c r="AT86" s="297"/>
      <c r="AU86" s="297"/>
      <c r="AV86" s="297"/>
      <c r="AW86" s="297"/>
      <c r="AX86" s="297"/>
      <c r="AY86" s="297"/>
      <c r="AZ86" s="298"/>
    </row>
    <row r="87" spans="2:52" ht="13.5" thickBot="1" x14ac:dyDescent="0.25">
      <c r="B87" s="299"/>
      <c r="C87" s="300"/>
      <c r="D87" s="300"/>
      <c r="E87" s="300"/>
      <c r="F87" s="300"/>
      <c r="G87" s="300"/>
      <c r="H87" s="300"/>
      <c r="I87" s="300"/>
      <c r="J87" s="300"/>
      <c r="K87" s="300"/>
      <c r="L87" s="300"/>
      <c r="M87" s="301"/>
      <c r="O87" s="299"/>
      <c r="P87" s="300"/>
      <c r="Q87" s="300"/>
      <c r="R87" s="300"/>
      <c r="S87" s="300"/>
      <c r="T87" s="300"/>
      <c r="U87" s="300"/>
      <c r="V87" s="300"/>
      <c r="W87" s="300"/>
      <c r="X87" s="300"/>
      <c r="Y87" s="300"/>
      <c r="Z87" s="301"/>
      <c r="AB87" s="299"/>
      <c r="AC87" s="300"/>
      <c r="AD87" s="300"/>
      <c r="AE87" s="300"/>
      <c r="AF87" s="300"/>
      <c r="AG87" s="300"/>
      <c r="AH87" s="300"/>
      <c r="AI87" s="300"/>
      <c r="AJ87" s="300"/>
      <c r="AK87" s="300"/>
      <c r="AL87" s="300"/>
      <c r="AM87" s="301"/>
      <c r="AO87" s="299"/>
      <c r="AP87" s="300"/>
      <c r="AQ87" s="300"/>
      <c r="AR87" s="300"/>
      <c r="AS87" s="300"/>
      <c r="AT87" s="300"/>
      <c r="AU87" s="300"/>
      <c r="AV87" s="300"/>
      <c r="AW87" s="300"/>
      <c r="AX87" s="300"/>
      <c r="AY87" s="300"/>
      <c r="AZ87" s="301"/>
    </row>
    <row r="88" spans="2:52" x14ac:dyDescent="0.2"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2:52" x14ac:dyDescent="0.2"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2:52" x14ac:dyDescent="0.2"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2:52" x14ac:dyDescent="0.2"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</sheetData>
  <customSheetViews>
    <customSheetView guid="{40817DC6-4291-4A72-AC70-E8710064089B}" scale="85" showGridLines="0">
      <selection activeCell="B61" sqref="B61:M87"/>
      <pageMargins left="0" right="0" top="0" bottom="0" header="0" footer="0"/>
    </customSheetView>
    <customSheetView guid="{55B393C6-D96A-4245-BC73-FC5790070AA2}" scale="85" showGridLines="0">
      <selection activeCell="B61" sqref="B61:M87"/>
      <pageMargins left="0" right="0" top="0" bottom="0" header="0" footer="0"/>
    </customSheetView>
    <customSheetView guid="{C5333697-7BE7-4020-97A4-B735E526926D}" scale="70" topLeftCell="A34">
      <selection activeCell="B61" sqref="B61:M87"/>
      <pageMargins left="0" right="0" top="0" bottom="0" header="0" footer="0"/>
    </customSheetView>
    <customSheetView guid="{C7D8C3A9-FB79-4D22-935E-FEFA619A3CE5}" scale="85" showGridLines="0">
      <selection activeCell="U28" sqref="U28"/>
      <pageMargins left="0" right="0" top="0" bottom="0" header="0" footer="0"/>
    </customSheetView>
    <customSheetView guid="{1DCC370E-2FC6-43E0-BC38-BCA3EE5D5128}" scale="85" showGridLines="0">
      <selection activeCell="U28" sqref="U28"/>
      <pageMargins left="0" right="0" top="0" bottom="0" header="0" footer="0"/>
    </customSheetView>
    <customSheetView guid="{F0BD4916-1611-48FD-8208-19E7D9B71F1A}" scale="85" showGridLines="0">
      <selection activeCell="U28" sqref="U28"/>
      <pageMargins left="0" right="0" top="0" bottom="0" header="0" footer="0"/>
    </customSheetView>
    <customSheetView guid="{180A269B-7E32-4D24-945A-4A804FC4280D}" scale="85" showGridLines="0">
      <selection activeCell="U28" sqref="U28"/>
      <pageMargins left="0" right="0" top="0" bottom="0" header="0" footer="0"/>
    </customSheetView>
    <customSheetView guid="{9C22FFE9-00CF-47D0-BD99-D84A00825140}" scale="85" showGridLines="0">
      <selection activeCell="B61" sqref="B61:M87"/>
      <pageMargins left="0" right="0" top="0" bottom="0" header="0" footer="0"/>
    </customSheetView>
  </customSheetViews>
  <mergeCells count="34">
    <mergeCell ref="B2:M2"/>
    <mergeCell ref="B3:M28"/>
    <mergeCell ref="B31:M57"/>
    <mergeCell ref="K30:L30"/>
    <mergeCell ref="B30:J30"/>
    <mergeCell ref="AB3:AM28"/>
    <mergeCell ref="AB30:AJ30"/>
    <mergeCell ref="AK30:AL30"/>
    <mergeCell ref="AB31:AM57"/>
    <mergeCell ref="AB2:AJ2"/>
    <mergeCell ref="AK2:AL2"/>
    <mergeCell ref="O2:Z2"/>
    <mergeCell ref="O3:Z28"/>
    <mergeCell ref="O30:W30"/>
    <mergeCell ref="X30:Y30"/>
    <mergeCell ref="O31:Z57"/>
    <mergeCell ref="AO2:AW2"/>
    <mergeCell ref="AX2:AY2"/>
    <mergeCell ref="AO3:AZ28"/>
    <mergeCell ref="AO30:AW30"/>
    <mergeCell ref="AX30:AY30"/>
    <mergeCell ref="B61:M87"/>
    <mergeCell ref="O61:Z87"/>
    <mergeCell ref="AB61:AM87"/>
    <mergeCell ref="AO61:AZ87"/>
    <mergeCell ref="AO31:AZ57"/>
    <mergeCell ref="B60:J60"/>
    <mergeCell ref="K60:L60"/>
    <mergeCell ref="O60:W60"/>
    <mergeCell ref="X60:Y60"/>
    <mergeCell ref="AB60:AJ60"/>
    <mergeCell ref="AK60:AL60"/>
    <mergeCell ref="AO60:AW60"/>
    <mergeCell ref="AX60:AY6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zoomScale="85" zoomScaleNormal="85" workbookViewId="0"/>
  </sheetViews>
  <sheetFormatPr defaultRowHeight="12.75" x14ac:dyDescent="0.2"/>
  <sheetData/>
  <customSheetViews>
    <customSheetView guid="{40817DC6-4291-4A72-AC70-E8710064089B}" scale="85" showGridLines="0" state="hidden">
      <pageMargins left="0" right="0" top="0" bottom="0" header="0" footer="0"/>
      <pageSetup paperSize="9" orientation="portrait" r:id="rId1"/>
    </customSheetView>
    <customSheetView guid="{55B393C6-D96A-4245-BC73-FC5790070AA2}" scale="85" showGridLines="0" state="hidden">
      <pageMargins left="0" right="0" top="0" bottom="0" header="0" footer="0"/>
      <pageSetup paperSize="9" orientation="portrait" r:id="rId2"/>
    </customSheetView>
    <customSheetView guid="{C5333697-7BE7-4020-97A4-B735E526926D}" scale="85" showGridLines="0" state="hidden">
      <pageMargins left="0" right="0" top="0" bottom="0" header="0" footer="0"/>
      <pageSetup paperSize="9" orientation="portrait" r:id="rId3"/>
    </customSheetView>
    <customSheetView guid="{C7D8C3A9-FB79-4D22-935E-FEFA619A3CE5}" scale="85" showGridLines="0" state="hidden">
      <pageMargins left="0" right="0" top="0" bottom="0" header="0" footer="0"/>
      <pageSetup paperSize="9" orientation="portrait" r:id="rId4"/>
    </customSheetView>
    <customSheetView guid="{180A269B-7E32-4D24-945A-4A804FC4280D}" scale="85" showGridLines="0" state="hidden">
      <pageMargins left="0" right="0" top="0" bottom="0" header="0" footer="0"/>
      <pageSetup paperSize="9" orientation="portrait" r:id="rId5"/>
    </customSheetView>
    <customSheetView guid="{9C22FFE9-00CF-47D0-BD99-D84A00825140}" scale="85" showGridLines="0" state="hidden">
      <pageMargins left="0" right="0" top="0" bottom="0" header="0" footer="0"/>
      <pageSetup paperSize="9" orientation="portrait" r:id="rId6"/>
    </customSheetView>
  </customSheetViews>
  <pageMargins left="0.7" right="0.7" top="0.75" bottom="0.75" header="0.3" footer="0.3"/>
  <pageSetup paperSize="9" orientation="portrait" r:id="rId7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R188"/>
  <sheetViews>
    <sheetView showGridLines="0" tabSelected="1" zoomScale="70" zoomScaleNormal="70" zoomScaleSheetLayoutView="90" zoomScalePageLayoutView="80" workbookViewId="0">
      <selection activeCell="O37" sqref="O37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1</v>
      </c>
      <c r="L2" s="36" t="s">
        <v>243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1620.22</v>
      </c>
      <c r="K6" s="420"/>
      <c r="L6" s="420">
        <f ca="1">Summary!G8</f>
        <v>1615.79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100</v>
      </c>
      <c r="E7" s="84">
        <v>60</v>
      </c>
      <c r="F7" s="395">
        <v>60</v>
      </c>
      <c r="G7" s="396"/>
      <c r="H7" s="374">
        <f>SUM(D7:D10)</f>
        <v>500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130</v>
      </c>
      <c r="E8" s="86">
        <v>60</v>
      </c>
      <c r="F8" s="397">
        <v>60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130</v>
      </c>
      <c r="E9" s="86">
        <v>60</v>
      </c>
      <c r="F9" s="397">
        <v>60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140</v>
      </c>
      <c r="E10" s="88">
        <v>60</v>
      </c>
      <c r="F10" s="399">
        <v>60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130</v>
      </c>
      <c r="E11" s="90">
        <v>60</v>
      </c>
      <c r="F11" s="386">
        <v>60</v>
      </c>
      <c r="G11" s="387"/>
      <c r="H11" s="388">
        <f>SUM(D11:D14)</f>
        <v>620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150</v>
      </c>
      <c r="E12" s="92">
        <v>60</v>
      </c>
      <c r="F12" s="391">
        <v>60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180</v>
      </c>
      <c r="E13" s="92">
        <v>60</v>
      </c>
      <c r="F13" s="391">
        <v>60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160</v>
      </c>
      <c r="E14" s="94">
        <v>60</v>
      </c>
      <c r="F14" s="393">
        <v>60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110</v>
      </c>
      <c r="E15" s="96">
        <v>60</v>
      </c>
      <c r="F15" s="372">
        <v>60</v>
      </c>
      <c r="G15" s="373"/>
      <c r="H15" s="374">
        <f>SUM(D15:D18)</f>
        <v>500.22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130</v>
      </c>
      <c r="E16" s="98">
        <v>60</v>
      </c>
      <c r="F16" s="401">
        <v>60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110</v>
      </c>
      <c r="E17" s="98">
        <v>60</v>
      </c>
      <c r="F17" s="401">
        <v>60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150.22</v>
      </c>
      <c r="E18" s="100">
        <v>60</v>
      </c>
      <c r="F18" s="404">
        <v>60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1620.22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44.2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7</v>
      </c>
      <c r="D25" s="102">
        <v>80</v>
      </c>
      <c r="E25" s="56">
        <v>8</v>
      </c>
      <c r="F25" s="107">
        <v>60</v>
      </c>
      <c r="G25" s="410">
        <v>7</v>
      </c>
      <c r="H25" s="411"/>
      <c r="I25" s="111">
        <v>110</v>
      </c>
      <c r="J25" s="38">
        <f t="shared" ref="J25:J40" si="0">C25+E25+G25</f>
        <v>22</v>
      </c>
      <c r="K25" s="412">
        <f>D25+F25+I25</f>
        <v>250</v>
      </c>
      <c r="L25" s="413"/>
      <c r="M25" s="2"/>
    </row>
    <row r="26" spans="2:14" ht="14.1" customHeight="1" x14ac:dyDescent="0.2">
      <c r="B26" s="80" t="s">
        <v>281</v>
      </c>
      <c r="C26" s="45">
        <v>6</v>
      </c>
      <c r="D26" s="103">
        <v>79.3</v>
      </c>
      <c r="E26" s="57">
        <v>6</v>
      </c>
      <c r="F26" s="108">
        <v>204</v>
      </c>
      <c r="G26" s="406">
        <v>6</v>
      </c>
      <c r="H26" s="407"/>
      <c r="I26" s="112">
        <v>176</v>
      </c>
      <c r="J26" s="25">
        <f t="shared" si="0"/>
        <v>18</v>
      </c>
      <c r="K26" s="408">
        <f t="shared" ref="K26:K37" si="1">D26+F26+I26</f>
        <v>459.3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185.1</v>
      </c>
      <c r="E27" s="57"/>
      <c r="F27" s="108">
        <v>96</v>
      </c>
      <c r="G27" s="406"/>
      <c r="H27" s="407"/>
      <c r="I27" s="112">
        <v>120</v>
      </c>
      <c r="J27" s="25">
        <f t="shared" si="0"/>
        <v>0</v>
      </c>
      <c r="K27" s="408">
        <f t="shared" si="1"/>
        <v>401.1</v>
      </c>
      <c r="L27" s="409"/>
      <c r="M27" s="2"/>
    </row>
    <row r="28" spans="2:14" ht="14.1" customHeight="1" x14ac:dyDescent="0.2">
      <c r="B28" s="80" t="s">
        <v>283</v>
      </c>
      <c r="C28" s="45">
        <v>3</v>
      </c>
      <c r="D28" s="103"/>
      <c r="E28" s="57">
        <v>4</v>
      </c>
      <c r="F28" s="108"/>
      <c r="G28" s="406">
        <v>4</v>
      </c>
      <c r="H28" s="407"/>
      <c r="I28" s="112"/>
      <c r="J28" s="25">
        <f t="shared" si="0"/>
        <v>11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4</v>
      </c>
      <c r="D29" s="103"/>
      <c r="E29" s="57">
        <v>3</v>
      </c>
      <c r="F29" s="108"/>
      <c r="G29" s="406">
        <v>3</v>
      </c>
      <c r="H29" s="407"/>
      <c r="I29" s="112"/>
      <c r="J29" s="25">
        <f t="shared" si="0"/>
        <v>10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>
        <v>1</v>
      </c>
      <c r="D30" s="103"/>
      <c r="E30" s="57">
        <v>1</v>
      </c>
      <c r="F30" s="108">
        <v>47.35</v>
      </c>
      <c r="G30" s="406"/>
      <c r="H30" s="407"/>
      <c r="I30" s="112"/>
      <c r="J30" s="25">
        <f t="shared" si="0"/>
        <v>2</v>
      </c>
      <c r="K30" s="408">
        <f t="shared" si="1"/>
        <v>47.35</v>
      </c>
      <c r="L30" s="409"/>
    </row>
    <row r="31" spans="2:14" ht="14.1" customHeight="1" x14ac:dyDescent="0.2">
      <c r="B31" s="80" t="s">
        <v>286</v>
      </c>
      <c r="C31" s="45">
        <v>1</v>
      </c>
      <c r="D31" s="103"/>
      <c r="E31" s="57">
        <v>2</v>
      </c>
      <c r="F31" s="108"/>
      <c r="G31" s="406">
        <v>2</v>
      </c>
      <c r="H31" s="407"/>
      <c r="I31" s="112"/>
      <c r="J31" s="25">
        <f t="shared" si="0"/>
        <v>5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1</v>
      </c>
      <c r="F32" s="108"/>
      <c r="G32" s="406">
        <v>1</v>
      </c>
      <c r="H32" s="407"/>
      <c r="I32" s="112"/>
      <c r="J32" s="25">
        <f t="shared" si="0"/>
        <v>3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>
        <v>24.8</v>
      </c>
      <c r="E33" s="57"/>
      <c r="F33" s="108"/>
      <c r="G33" s="406"/>
      <c r="H33" s="407"/>
      <c r="I33" s="112"/>
      <c r="J33" s="25">
        <f t="shared" si="0"/>
        <v>0</v>
      </c>
      <c r="K33" s="408">
        <f t="shared" si="1"/>
        <v>24.8</v>
      </c>
      <c r="L33" s="409"/>
    </row>
    <row r="34" spans="1:16" ht="14.1" customHeight="1" x14ac:dyDescent="0.2">
      <c r="B34" s="80" t="s">
        <v>289</v>
      </c>
      <c r="C34" s="45">
        <v>1</v>
      </c>
      <c r="D34" s="103"/>
      <c r="E34" s="57"/>
      <c r="F34" s="108"/>
      <c r="G34" s="406"/>
      <c r="H34" s="407"/>
      <c r="I34" s="112"/>
      <c r="J34" s="25">
        <f t="shared" si="0"/>
        <v>1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ref="K35" si="2">D35+F35+I35</f>
        <v>0</v>
      </c>
      <c r="L35" s="409"/>
    </row>
    <row r="36" spans="1:16" ht="14.1" customHeight="1" x14ac:dyDescent="0.2">
      <c r="B36" s="37" t="s">
        <v>291</v>
      </c>
      <c r="C36" s="55"/>
      <c r="D36" s="104"/>
      <c r="E36" s="58"/>
      <c r="F36" s="109">
        <v>42</v>
      </c>
      <c r="G36" s="406"/>
      <c r="H36" s="407"/>
      <c r="I36" s="113"/>
      <c r="J36" s="25">
        <f t="shared" si="0"/>
        <v>0</v>
      </c>
      <c r="K36" s="408">
        <f t="shared" si="1"/>
        <v>42</v>
      </c>
      <c r="L36" s="409"/>
    </row>
    <row r="37" spans="1:16" ht="14.1" customHeight="1" x14ac:dyDescent="0.2">
      <c r="B37" s="37" t="s">
        <v>292</v>
      </c>
      <c r="C37" s="55"/>
      <c r="D37" s="104">
        <v>11</v>
      </c>
      <c r="E37" s="58"/>
      <c r="F37" s="109">
        <v>11</v>
      </c>
      <c r="G37" s="406"/>
      <c r="H37" s="407"/>
      <c r="I37" s="113">
        <v>11</v>
      </c>
      <c r="J37" s="25">
        <f t="shared" si="0"/>
        <v>0</v>
      </c>
      <c r="K37" s="408">
        <f t="shared" si="1"/>
        <v>33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v>30</v>
      </c>
      <c r="J38" s="25">
        <f t="shared" si="0"/>
        <v>0</v>
      </c>
      <c r="K38" s="408">
        <f t="shared" ref="K38:K39" si="3">D38+F38+I38</f>
        <v>30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75</v>
      </c>
      <c r="J39" s="25">
        <f t="shared" si="0"/>
        <v>0</v>
      </c>
      <c r="K39" s="408">
        <f t="shared" si="3"/>
        <v>75</v>
      </c>
      <c r="L39" s="409"/>
    </row>
    <row r="40" spans="1:16" ht="14.1" customHeight="1" thickBot="1" x14ac:dyDescent="0.25">
      <c r="B40" s="81" t="s">
        <v>295</v>
      </c>
      <c r="C40" s="47"/>
      <c r="D40" s="105">
        <v>120.96</v>
      </c>
      <c r="E40" s="59"/>
      <c r="F40" s="110">
        <v>123.24</v>
      </c>
      <c r="G40" s="473"/>
      <c r="H40" s="474"/>
      <c r="I40" s="114">
        <v>50.04</v>
      </c>
      <c r="J40" s="26">
        <f t="shared" si="0"/>
        <v>0</v>
      </c>
      <c r="K40" s="475">
        <f>D40+F40+I40</f>
        <v>294.24</v>
      </c>
      <c r="L40" s="476"/>
    </row>
    <row r="41" spans="1:16" ht="17.25" customHeight="1" x14ac:dyDescent="0.2">
      <c r="B41" s="15" t="s">
        <v>273</v>
      </c>
      <c r="C41" s="16">
        <f>SUM(C25:C40)</f>
        <v>24</v>
      </c>
      <c r="D41" s="106">
        <f>SUM(D25:D40)</f>
        <v>501.15999999999997</v>
      </c>
      <c r="E41" s="16">
        <f>SUM(E25:E40)</f>
        <v>25</v>
      </c>
      <c r="F41" s="106">
        <f>SUM(F25:F40)</f>
        <v>583.59</v>
      </c>
      <c r="G41" s="430">
        <f>SUM(G25:H40)</f>
        <v>23</v>
      </c>
      <c r="H41" s="430"/>
      <c r="I41" s="106">
        <f>SUM(I25:I40)</f>
        <v>572.04</v>
      </c>
      <c r="J41" s="16">
        <f>SUM(J25:J40)</f>
        <v>72</v>
      </c>
      <c r="K41" s="477">
        <f>SUM(K25:L40)</f>
        <v>1656.79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>
        <v>0.05</v>
      </c>
      <c r="D45" s="210"/>
      <c r="E45" s="209">
        <v>0.1</v>
      </c>
      <c r="F45" s="210"/>
      <c r="G45" s="471">
        <v>0</v>
      </c>
      <c r="H45" s="472"/>
      <c r="I45" s="210">
        <v>0</v>
      </c>
      <c r="J45" s="210">
        <v>0.2</v>
      </c>
      <c r="K45" s="209">
        <v>0.1</v>
      </c>
      <c r="L45" s="210">
        <v>0.1</v>
      </c>
      <c r="M45" s="211">
        <v>0.8</v>
      </c>
      <c r="N45" s="136"/>
    </row>
    <row r="46" spans="1:16" s="11" customFormat="1" ht="14.45" customHeight="1" x14ac:dyDescent="0.2">
      <c r="B46" s="212" t="s">
        <v>299</v>
      </c>
      <c r="C46" s="40">
        <f>C45*65</f>
        <v>3.25</v>
      </c>
      <c r="D46" s="40">
        <f>D45*50</f>
        <v>0</v>
      </c>
      <c r="E46" s="40">
        <f>E45*50</f>
        <v>5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10</v>
      </c>
      <c r="K46" s="40">
        <f>K45*50</f>
        <v>5</v>
      </c>
      <c r="L46" s="40">
        <f>L45*50</f>
        <v>5</v>
      </c>
      <c r="M46" s="79">
        <f>M45*50</f>
        <v>40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>
        <v>0</v>
      </c>
      <c r="D48" s="209">
        <v>0</v>
      </c>
      <c r="E48" s="209">
        <v>0</v>
      </c>
      <c r="F48" s="209">
        <v>0.1</v>
      </c>
      <c r="G48" s="442">
        <v>0.2</v>
      </c>
      <c r="H48" s="443"/>
      <c r="I48" s="209">
        <v>0.7</v>
      </c>
      <c r="J48" s="209">
        <v>0</v>
      </c>
      <c r="K48" s="209">
        <v>0.1</v>
      </c>
      <c r="L48" s="209">
        <v>0.9</v>
      </c>
      <c r="M48" s="211">
        <v>0.2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16</v>
      </c>
      <c r="G49" s="438">
        <f>G48*100</f>
        <v>20</v>
      </c>
      <c r="H49" s="439"/>
      <c r="I49" s="40">
        <f>I48*100</f>
        <v>70</v>
      </c>
      <c r="J49" s="40">
        <f>J48*150</f>
        <v>0</v>
      </c>
      <c r="K49" s="40">
        <f>K48*70</f>
        <v>7</v>
      </c>
      <c r="L49" s="40">
        <f>L48*70</f>
        <v>63</v>
      </c>
      <c r="M49" s="79">
        <f>M48*70</f>
        <v>14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0.2</v>
      </c>
      <c r="D51" s="213"/>
      <c r="E51" s="214"/>
      <c r="F51" s="209"/>
      <c r="G51" s="442"/>
      <c r="H51" s="443"/>
      <c r="I51" s="209">
        <v>0</v>
      </c>
      <c r="J51" s="209">
        <v>0.02</v>
      </c>
      <c r="K51" s="209">
        <v>0</v>
      </c>
      <c r="L51" s="209">
        <v>0.25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14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5</v>
      </c>
      <c r="K52" s="41">
        <f>K51*250</f>
        <v>0</v>
      </c>
      <c r="L52" s="41">
        <f>L51*250</f>
        <v>62.5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339.75</v>
      </c>
      <c r="F54" s="39" t="s">
        <v>309</v>
      </c>
      <c r="G54" s="188"/>
      <c r="H54" s="188"/>
      <c r="I54" s="30">
        <v>361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>
        <v>176000</v>
      </c>
      <c r="D58" s="60">
        <v>19730</v>
      </c>
      <c r="E58" s="124">
        <f>SUM(C58:D58)</f>
        <v>195730</v>
      </c>
      <c r="F58" s="425"/>
      <c r="G58" s="426"/>
      <c r="H58" s="60"/>
      <c r="I58" s="61"/>
      <c r="J58" s="422"/>
      <c r="K58" s="428"/>
      <c r="L58" s="60">
        <v>6864.3710000000001</v>
      </c>
      <c r="M58" s="61">
        <f>L58/3</f>
        <v>2288.1236666666668</v>
      </c>
      <c r="N58" s="288">
        <v>4.09</v>
      </c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120.80458209378973</v>
      </c>
      <c r="D59" s="432"/>
      <c r="E59" s="433"/>
      <c r="F59" s="434" t="s">
        <v>321</v>
      </c>
      <c r="G59" s="435"/>
      <c r="H59" s="436">
        <f>IF(ISERROR(SUM(H58:I58)/$H$19),"",(SUM(H58:I58)/$H$19))</f>
        <v>0</v>
      </c>
      <c r="I59" s="437"/>
      <c r="J59" s="434" t="s">
        <v>322</v>
      </c>
      <c r="K59" s="435"/>
      <c r="L59" s="115">
        <f>IF(ISERROR(L58/$H$19),"",(L58/$H$19))</f>
        <v>4.2366906963251907</v>
      </c>
      <c r="M59" s="116">
        <f>IF(ISERROR(M58/$H$19),"",(M58/$H$19))</f>
        <v>1.4122302321083968</v>
      </c>
      <c r="N59" s="194">
        <f>N58*H19</f>
        <v>6626.6998000000003</v>
      </c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1.2479166666666668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14</v>
      </c>
      <c r="C63" s="236" t="s">
        <v>22</v>
      </c>
      <c r="D63" s="236" t="s">
        <v>26</v>
      </c>
      <c r="E63" s="322" t="s">
        <v>108</v>
      </c>
      <c r="F63" s="324"/>
      <c r="G63" s="322" t="s">
        <v>331</v>
      </c>
      <c r="H63" s="323"/>
      <c r="I63" s="323"/>
      <c r="J63" s="324"/>
      <c r="K63" s="238">
        <v>0.27083333333333331</v>
      </c>
      <c r="L63" s="238">
        <v>0.29166666666666669</v>
      </c>
      <c r="M63" s="236" t="s">
        <v>9</v>
      </c>
      <c r="N63" s="237">
        <f t="shared" ref="N63:N94" si="4">IF(M63="No","",IF(M63="Yes",(L63-K63+(L63&lt;K63)),""))</f>
        <v>2.083333333333337E-2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20</v>
      </c>
      <c r="E64" s="322"/>
      <c r="F64" s="324"/>
      <c r="G64" s="322" t="s">
        <v>332</v>
      </c>
      <c r="H64" s="323"/>
      <c r="I64" s="323"/>
      <c r="J64" s="324"/>
      <c r="K64" s="238">
        <v>0.5</v>
      </c>
      <c r="L64" s="238">
        <v>0.52777777777777779</v>
      </c>
      <c r="M64" s="236" t="s">
        <v>9</v>
      </c>
      <c r="N64" s="237">
        <f t="shared" si="4"/>
        <v>2.777777777777779E-2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29</v>
      </c>
      <c r="E65" s="322"/>
      <c r="F65" s="324"/>
      <c r="G65" s="322" t="s">
        <v>333</v>
      </c>
      <c r="H65" s="323"/>
      <c r="I65" s="323"/>
      <c r="J65" s="324"/>
      <c r="K65" s="239">
        <v>0.44444444444444442</v>
      </c>
      <c r="L65" s="239">
        <v>0.4861111111111111</v>
      </c>
      <c r="M65" s="236" t="s">
        <v>9</v>
      </c>
      <c r="N65" s="237">
        <f t="shared" si="4"/>
        <v>4.1666666666666685E-2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26</v>
      </c>
      <c r="E66" s="322" t="s">
        <v>106</v>
      </c>
      <c r="F66" s="324"/>
      <c r="G66" s="322" t="s">
        <v>334</v>
      </c>
      <c r="H66" s="323"/>
      <c r="I66" s="323"/>
      <c r="J66" s="324"/>
      <c r="K66" s="239">
        <v>0.41875000000000001</v>
      </c>
      <c r="L66" s="239">
        <v>0.47222222222222227</v>
      </c>
      <c r="M66" s="236" t="s">
        <v>9</v>
      </c>
      <c r="N66" s="237">
        <f t="shared" si="4"/>
        <v>5.3472222222222254E-2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23</v>
      </c>
      <c r="E67" s="322"/>
      <c r="F67" s="324"/>
      <c r="G67" s="322" t="s">
        <v>335</v>
      </c>
      <c r="H67" s="323"/>
      <c r="I67" s="323"/>
      <c r="J67" s="324"/>
      <c r="K67" s="238">
        <v>0.54166666666666663</v>
      </c>
      <c r="L67" s="238"/>
      <c r="M67" s="236" t="s">
        <v>9</v>
      </c>
      <c r="N67" s="237">
        <f t="shared" si="4"/>
        <v>0.45833333333333337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20</v>
      </c>
      <c r="E68" s="322"/>
      <c r="F68" s="324"/>
      <c r="G68" s="322" t="s">
        <v>336</v>
      </c>
      <c r="H68" s="323"/>
      <c r="I68" s="323"/>
      <c r="J68" s="324"/>
      <c r="K68" s="239">
        <v>0.33333333333333331</v>
      </c>
      <c r="L68" s="239">
        <v>0.58333333333333337</v>
      </c>
      <c r="M68" s="236" t="s">
        <v>9</v>
      </c>
      <c r="N68" s="237">
        <f t="shared" si="4"/>
        <v>0.25000000000000006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11</v>
      </c>
      <c r="E69" s="322"/>
      <c r="F69" s="324"/>
      <c r="G69" s="322" t="s">
        <v>337</v>
      </c>
      <c r="H69" s="323"/>
      <c r="I69" s="323"/>
      <c r="J69" s="324"/>
      <c r="K69" s="239">
        <v>0.5625</v>
      </c>
      <c r="L69" s="239">
        <v>0.60416666666666663</v>
      </c>
      <c r="M69" s="236" t="s">
        <v>9</v>
      </c>
      <c r="N69" s="237">
        <f t="shared" si="4"/>
        <v>4.166666666666663E-2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322"/>
      <c r="F70" s="324"/>
      <c r="K70" s="239"/>
      <c r="L70" s="239"/>
      <c r="M70" s="236"/>
      <c r="N70" s="237" t="str">
        <f t="shared" si="4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322"/>
      <c r="F71" s="324"/>
      <c r="G71" s="322"/>
      <c r="H71" s="323"/>
      <c r="I71" s="323"/>
      <c r="J71" s="324"/>
      <c r="K71" s="239"/>
      <c r="L71" s="239"/>
      <c r="M71" s="236"/>
      <c r="N71" s="237" t="str">
        <f t="shared" si="4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 t="s">
        <v>10</v>
      </c>
      <c r="C72" s="236" t="s">
        <v>28</v>
      </c>
      <c r="D72" s="236" t="s">
        <v>29</v>
      </c>
      <c r="E72" s="322"/>
      <c r="F72" s="324"/>
      <c r="G72" s="322" t="s">
        <v>338</v>
      </c>
      <c r="H72" s="323"/>
      <c r="I72" s="323"/>
      <c r="J72" s="324"/>
      <c r="K72" s="239">
        <v>0.91666666666666663</v>
      </c>
      <c r="L72" s="239">
        <v>0.97222222222222221</v>
      </c>
      <c r="M72" s="236" t="s">
        <v>339</v>
      </c>
      <c r="N72" s="237">
        <f t="shared" si="4"/>
        <v>5.555555555555558E-2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29</v>
      </c>
      <c r="E73" s="322"/>
      <c r="F73" s="324"/>
      <c r="G73" s="322" t="s">
        <v>340</v>
      </c>
      <c r="H73" s="323"/>
      <c r="I73" s="323"/>
      <c r="J73" s="324"/>
      <c r="K73" s="239">
        <v>0.97222222222222221</v>
      </c>
      <c r="L73" s="239">
        <v>4.8611111111111112E-2</v>
      </c>
      <c r="M73" s="236" t="s">
        <v>339</v>
      </c>
      <c r="N73" s="237">
        <f t="shared" si="4"/>
        <v>7.6388888888888951E-2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20</v>
      </c>
      <c r="E74" s="322"/>
      <c r="F74" s="324"/>
      <c r="G74" s="322" t="s">
        <v>338</v>
      </c>
      <c r="H74" s="323"/>
      <c r="I74" s="323"/>
      <c r="J74" s="324"/>
      <c r="K74" s="238">
        <v>0.93055555555555547</v>
      </c>
      <c r="L74" s="238">
        <v>0.97222222222222221</v>
      </c>
      <c r="M74" s="236" t="s">
        <v>339</v>
      </c>
      <c r="N74" s="237">
        <f t="shared" si="4"/>
        <v>4.1666666666666741E-2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23</v>
      </c>
      <c r="E75" s="322"/>
      <c r="F75" s="324"/>
      <c r="G75" s="322" t="s">
        <v>338</v>
      </c>
      <c r="H75" s="323"/>
      <c r="I75" s="323"/>
      <c r="J75" s="324"/>
      <c r="K75" s="239">
        <v>0.88194444444444453</v>
      </c>
      <c r="L75" s="239">
        <v>0.97222222222222221</v>
      </c>
      <c r="M75" s="236" t="s">
        <v>339</v>
      </c>
      <c r="N75" s="237">
        <f t="shared" si="4"/>
        <v>9.0277777777777679E-2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322"/>
      <c r="F76" s="324"/>
      <c r="G76" s="322"/>
      <c r="H76" s="323"/>
      <c r="I76" s="323"/>
      <c r="J76" s="324"/>
      <c r="K76" s="239">
        <v>0.13194444444444445</v>
      </c>
      <c r="L76" s="239">
        <v>0.1875</v>
      </c>
      <c r="M76" s="236" t="s">
        <v>339</v>
      </c>
      <c r="N76" s="237">
        <f t="shared" si="4"/>
        <v>5.5555555555555552E-2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23</v>
      </c>
      <c r="E77" s="322"/>
      <c r="F77" s="324"/>
      <c r="G77" s="322" t="s">
        <v>341</v>
      </c>
      <c r="H77" s="323"/>
      <c r="I77" s="323"/>
      <c r="J77" s="324"/>
      <c r="K77" s="238">
        <v>0.97222222222222221</v>
      </c>
      <c r="L77" s="238">
        <v>0.99305555555555547</v>
      </c>
      <c r="M77" s="236" t="s">
        <v>339</v>
      </c>
      <c r="N77" s="237">
        <f t="shared" si="4"/>
        <v>2.0833333333333259E-2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20</v>
      </c>
      <c r="E78" s="322"/>
      <c r="F78" s="324"/>
      <c r="G78" s="322" t="s">
        <v>338</v>
      </c>
      <c r="H78" s="323"/>
      <c r="I78" s="323"/>
      <c r="J78" s="324"/>
      <c r="K78" s="239">
        <v>0.23611111111111113</v>
      </c>
      <c r="L78" s="239">
        <v>0.25</v>
      </c>
      <c r="M78" s="236" t="s">
        <v>339</v>
      </c>
      <c r="N78" s="237">
        <f t="shared" si="4"/>
        <v>1.3888888888888867E-2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322"/>
      <c r="F79" s="324"/>
      <c r="G79" s="322"/>
      <c r="H79" s="323"/>
      <c r="I79" s="323"/>
      <c r="J79" s="324"/>
      <c r="K79" s="239"/>
      <c r="L79" s="239"/>
      <c r="M79" s="236"/>
      <c r="N79" s="237" t="str">
        <f t="shared" si="4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322"/>
      <c r="F80" s="324"/>
      <c r="G80" s="322"/>
      <c r="H80" s="323"/>
      <c r="I80" s="323"/>
      <c r="J80" s="324"/>
      <c r="K80" s="239"/>
      <c r="L80" s="239"/>
      <c r="M80" s="236"/>
      <c r="N80" s="237" t="str">
        <f t="shared" si="4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322"/>
      <c r="F81" s="324"/>
      <c r="G81" s="322"/>
      <c r="H81" s="323"/>
      <c r="I81" s="323"/>
      <c r="J81" s="324"/>
      <c r="K81" s="239"/>
      <c r="L81" s="239"/>
      <c r="M81" s="236"/>
      <c r="N81" s="237" t="str">
        <f t="shared" si="4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/>
      <c r="L82" s="239"/>
      <c r="M82" s="236"/>
      <c r="N82" s="237" t="str">
        <f t="shared" si="4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322"/>
      <c r="F83" s="324"/>
      <c r="G83" s="322"/>
      <c r="H83" s="323"/>
      <c r="I83" s="323"/>
      <c r="J83" s="324"/>
      <c r="K83" s="239"/>
      <c r="L83" s="239"/>
      <c r="M83" s="236"/>
      <c r="N83" s="237" t="str">
        <f t="shared" si="4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4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4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4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4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4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4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4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4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4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4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4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ref="N95:N126" si="5">IF(M95="No","",IF(M95="Yes",(L95-K95+(L95&lt;K95)),""))</f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5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5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5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5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5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5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5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5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5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5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5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5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5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5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5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5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5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5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5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5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5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5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5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5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5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5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5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5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5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5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5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6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6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6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6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6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 t="s">
        <v>344</v>
      </c>
      <c r="D136" s="481"/>
      <c r="E136" s="463"/>
      <c r="F136" s="464"/>
      <c r="G136" s="452" t="s">
        <v>345</v>
      </c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347</v>
      </c>
      <c r="D137" s="479"/>
      <c r="E137" s="463"/>
      <c r="F137" s="464"/>
      <c r="G137" s="452"/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35"/>
      <c r="E143" s="335"/>
      <c r="F143" s="335"/>
      <c r="G143" s="336"/>
      <c r="H143" s="336"/>
      <c r="I143" s="336"/>
      <c r="J143" s="336"/>
      <c r="K143" s="336"/>
      <c r="L143" s="335"/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 t="s">
        <v>255</v>
      </c>
      <c r="C144" s="215">
        <v>13</v>
      </c>
      <c r="D144" s="335" t="s">
        <v>353</v>
      </c>
      <c r="E144" s="335"/>
      <c r="F144" s="335"/>
      <c r="G144" s="336" t="s">
        <v>354</v>
      </c>
      <c r="H144" s="336"/>
      <c r="I144" s="336"/>
      <c r="J144" s="336">
        <v>34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15</v>
      </c>
      <c r="D145" s="335" t="s">
        <v>356</v>
      </c>
      <c r="E145" s="335"/>
      <c r="F145" s="335"/>
      <c r="G145" s="336" t="s">
        <v>357</v>
      </c>
      <c r="H145" s="336"/>
      <c r="I145" s="336"/>
      <c r="J145" s="336">
        <v>33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13</v>
      </c>
      <c r="D146" s="335" t="s">
        <v>358</v>
      </c>
      <c r="E146" s="335"/>
      <c r="F146" s="335"/>
      <c r="G146" s="336" t="s">
        <v>359</v>
      </c>
      <c r="H146" s="336"/>
      <c r="I146" s="336"/>
      <c r="J146" s="336">
        <v>36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19</v>
      </c>
      <c r="D147" s="335" t="s">
        <v>360</v>
      </c>
      <c r="E147" s="335"/>
      <c r="F147" s="335"/>
      <c r="G147" s="336" t="s">
        <v>361</v>
      </c>
      <c r="H147" s="336"/>
      <c r="I147" s="336"/>
      <c r="J147" s="336">
        <v>18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8</v>
      </c>
      <c r="D148" s="335" t="s">
        <v>362</v>
      </c>
      <c r="E148" s="335"/>
      <c r="F148" s="335"/>
      <c r="G148" s="336" t="s">
        <v>363</v>
      </c>
      <c r="H148" s="336"/>
      <c r="I148" s="336"/>
      <c r="J148" s="336">
        <v>76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35" t="s">
        <v>364</v>
      </c>
      <c r="E149" s="335"/>
      <c r="F149" s="335"/>
      <c r="G149" s="336" t="s">
        <v>365</v>
      </c>
      <c r="H149" s="336"/>
      <c r="I149" s="336"/>
      <c r="J149" s="336">
        <v>3358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9</v>
      </c>
      <c r="D150" s="335" t="s">
        <v>366</v>
      </c>
      <c r="E150" s="335"/>
      <c r="F150" s="335"/>
      <c r="G150" s="336" t="s">
        <v>367</v>
      </c>
      <c r="H150" s="336"/>
      <c r="I150" s="336"/>
      <c r="J150" s="336">
        <v>30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</v>
      </c>
      <c r="D151" s="335" t="s">
        <v>362</v>
      </c>
      <c r="E151" s="335"/>
      <c r="F151" s="335"/>
      <c r="G151" s="336" t="s">
        <v>357</v>
      </c>
      <c r="H151" s="336"/>
      <c r="I151" s="336"/>
      <c r="J151" s="336">
        <v>44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13</v>
      </c>
      <c r="D152" s="335" t="s">
        <v>368</v>
      </c>
      <c r="E152" s="335"/>
      <c r="F152" s="335"/>
      <c r="G152" s="336" t="s">
        <v>359</v>
      </c>
      <c r="H152" s="336"/>
      <c r="I152" s="336"/>
      <c r="J152" s="336">
        <v>44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9</v>
      </c>
      <c r="D153" s="335" t="s">
        <v>369</v>
      </c>
      <c r="E153" s="335"/>
      <c r="F153" s="335"/>
      <c r="G153" s="336" t="s">
        <v>367</v>
      </c>
      <c r="H153" s="336"/>
      <c r="I153" s="336"/>
      <c r="J153" s="336">
        <v>165</v>
      </c>
      <c r="K153" s="336"/>
      <c r="L153" s="335" t="s">
        <v>355</v>
      </c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8</v>
      </c>
      <c r="D154" s="335" t="s">
        <v>370</v>
      </c>
      <c r="E154" s="335"/>
      <c r="F154" s="335"/>
      <c r="G154" s="336" t="s">
        <v>363</v>
      </c>
      <c r="H154" s="336"/>
      <c r="I154" s="336"/>
      <c r="J154" s="336">
        <v>71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12</v>
      </c>
      <c r="D155" s="335" t="s">
        <v>371</v>
      </c>
      <c r="E155" s="335"/>
      <c r="F155" s="335"/>
      <c r="G155" s="336" t="s">
        <v>372</v>
      </c>
      <c r="H155" s="336"/>
      <c r="I155" s="336"/>
      <c r="J155" s="336">
        <v>79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18</v>
      </c>
      <c r="D156" s="335" t="s">
        <v>373</v>
      </c>
      <c r="E156" s="335"/>
      <c r="F156" s="335"/>
      <c r="G156" s="336" t="s">
        <v>374</v>
      </c>
      <c r="H156" s="336"/>
      <c r="I156" s="336"/>
      <c r="J156" s="336">
        <v>21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18</v>
      </c>
      <c r="D157" s="335" t="s">
        <v>375</v>
      </c>
      <c r="E157" s="335"/>
      <c r="F157" s="335"/>
      <c r="G157" s="336" t="s">
        <v>357</v>
      </c>
      <c r="H157" s="336"/>
      <c r="I157" s="336"/>
      <c r="J157" s="336">
        <v>18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18</v>
      </c>
      <c r="D158" s="335" t="s">
        <v>360</v>
      </c>
      <c r="E158" s="335"/>
      <c r="F158" s="335"/>
      <c r="G158" s="336" t="s">
        <v>359</v>
      </c>
      <c r="H158" s="336"/>
      <c r="I158" s="336"/>
      <c r="J158" s="336">
        <v>18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12</v>
      </c>
      <c r="D159" s="335" t="s">
        <v>371</v>
      </c>
      <c r="E159" s="335"/>
      <c r="F159" s="335"/>
      <c r="G159" s="336" t="s">
        <v>372</v>
      </c>
      <c r="H159" s="336"/>
      <c r="I159" s="336"/>
      <c r="J159" s="336">
        <v>76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35"/>
      <c r="E160" s="335"/>
      <c r="F160" s="335"/>
      <c r="G160" s="336"/>
      <c r="H160" s="336"/>
      <c r="I160" s="336"/>
      <c r="J160" s="336"/>
      <c r="K160" s="336"/>
      <c r="L160" s="335"/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335"/>
      <c r="E161" s="335"/>
      <c r="F161" s="335"/>
      <c r="G161" s="336"/>
      <c r="H161" s="336"/>
      <c r="I161" s="336"/>
      <c r="J161" s="336"/>
      <c r="K161" s="336"/>
      <c r="L161" s="335"/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 t="s">
        <v>267</v>
      </c>
      <c r="C162" s="215" t="s">
        <v>376</v>
      </c>
      <c r="D162" s="335" t="s">
        <v>377</v>
      </c>
      <c r="E162" s="335"/>
      <c r="F162" s="335"/>
      <c r="G162" s="336" t="s">
        <v>357</v>
      </c>
      <c r="H162" s="336"/>
      <c r="I162" s="336"/>
      <c r="J162" s="336">
        <v>33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 t="s">
        <v>378</v>
      </c>
      <c r="D163" s="335" t="s">
        <v>379</v>
      </c>
      <c r="E163" s="335"/>
      <c r="F163" s="335"/>
      <c r="G163" s="336" t="s">
        <v>367</v>
      </c>
      <c r="H163" s="336"/>
      <c r="I163" s="336"/>
      <c r="J163" s="336">
        <v>46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17</v>
      </c>
      <c r="D164" s="335" t="s">
        <v>380</v>
      </c>
      <c r="E164" s="335"/>
      <c r="F164" s="335"/>
      <c r="G164" s="336" t="s">
        <v>367</v>
      </c>
      <c r="H164" s="336"/>
      <c r="I164" s="336"/>
      <c r="J164" s="336">
        <v>17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13</v>
      </c>
      <c r="D165" s="335" t="s">
        <v>381</v>
      </c>
      <c r="E165" s="335"/>
      <c r="F165" s="335"/>
      <c r="G165" s="336" t="s">
        <v>382</v>
      </c>
      <c r="H165" s="336"/>
      <c r="I165" s="336"/>
      <c r="J165" s="336">
        <v>50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18</v>
      </c>
      <c r="D166" s="335" t="s">
        <v>383</v>
      </c>
      <c r="E166" s="335"/>
      <c r="F166" s="335"/>
      <c r="G166" s="336" t="s">
        <v>384</v>
      </c>
      <c r="H166" s="336"/>
      <c r="I166" s="336"/>
      <c r="J166" s="336">
        <v>14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>
        <v>18</v>
      </c>
      <c r="D167" s="335" t="s">
        <v>380</v>
      </c>
      <c r="E167" s="335"/>
      <c r="F167" s="335"/>
      <c r="G167" s="336" t="s">
        <v>385</v>
      </c>
      <c r="H167" s="336"/>
      <c r="I167" s="336"/>
      <c r="J167" s="336">
        <v>21</v>
      </c>
      <c r="K167" s="336"/>
      <c r="L167" s="335" t="s">
        <v>355</v>
      </c>
      <c r="M167" s="335"/>
    </row>
    <row r="168" spans="1:18" ht="14.25" x14ac:dyDescent="0.2">
      <c r="B168" s="216"/>
      <c r="C168" s="215"/>
      <c r="D168" s="335"/>
      <c r="E168" s="335"/>
      <c r="F168" s="335"/>
      <c r="G168" s="336"/>
      <c r="H168" s="336"/>
      <c r="I168" s="336"/>
      <c r="J168" s="336"/>
      <c r="K168" s="336"/>
      <c r="L168" s="335"/>
      <c r="M168" s="335"/>
    </row>
    <row r="169" spans="1:18" ht="14.25" x14ac:dyDescent="0.2">
      <c r="B169" s="216"/>
      <c r="C169" s="215"/>
      <c r="D169" s="335"/>
      <c r="E169" s="335"/>
      <c r="F169" s="335"/>
      <c r="G169" s="336"/>
      <c r="H169" s="336"/>
      <c r="I169" s="336"/>
      <c r="J169" s="336"/>
      <c r="K169" s="336"/>
      <c r="L169" s="335"/>
      <c r="M169" s="335"/>
    </row>
    <row r="170" spans="1:18" ht="14.25" x14ac:dyDescent="0.2">
      <c r="B170" s="216"/>
      <c r="C170" s="215"/>
      <c r="D170" s="335"/>
      <c r="E170" s="335"/>
      <c r="F170" s="335"/>
      <c r="G170" s="336"/>
      <c r="H170" s="336"/>
      <c r="I170" s="336"/>
      <c r="J170" s="336"/>
      <c r="K170" s="336"/>
      <c r="L170" s="335"/>
      <c r="M170" s="335"/>
    </row>
    <row r="171" spans="1:18" ht="14.25" x14ac:dyDescent="0.2">
      <c r="B171" s="216"/>
      <c r="C171" s="215"/>
      <c r="D171" s="337"/>
      <c r="E171" s="338"/>
      <c r="F171" s="339"/>
      <c r="G171" s="336"/>
      <c r="H171" s="336"/>
      <c r="I171" s="336"/>
      <c r="J171" s="336"/>
      <c r="K171" s="336"/>
      <c r="L171" s="335"/>
      <c r="M171" s="335"/>
    </row>
    <row r="172" spans="1:18" ht="14.25" x14ac:dyDescent="0.2">
      <c r="B172" s="216"/>
      <c r="C172" s="215"/>
      <c r="D172" s="335"/>
      <c r="E172" s="335"/>
      <c r="F172" s="335"/>
      <c r="G172" s="336"/>
      <c r="H172" s="336"/>
      <c r="I172" s="336"/>
      <c r="J172" s="336"/>
      <c r="K172" s="336"/>
      <c r="L172" s="335"/>
      <c r="M172" s="335"/>
    </row>
    <row r="173" spans="1:18" ht="14.25" x14ac:dyDescent="0.2">
      <c r="B173" s="216"/>
      <c r="C173" s="215"/>
      <c r="D173" s="335"/>
      <c r="E173" s="335"/>
      <c r="F173" s="335"/>
      <c r="G173" s="336"/>
      <c r="H173" s="336"/>
      <c r="I173" s="336"/>
      <c r="J173" s="336"/>
      <c r="K173" s="336"/>
      <c r="L173" s="335"/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90" showPageBreaks="1" showGridLines="0" fitToPage="1" printArea="1" view="pageBreakPreview">
      <selection activeCell="F9" sqref="F9:G9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90" showPageBreaks="1" showGridLines="0" fitToPage="1" printArea="1" view="pageBreakPreview">
      <selection activeCell="D9" sqref="D9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3" sqref="L3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C7D8C3A9-FB79-4D22-935E-FEFA619A3CE5}" scale="90" showPageBreaks="1" showGridLines="0" fitToPage="1" printArea="1" view="pageBreakPreview" topLeftCell="A91">
      <selection activeCell="P3" sqref="P3"/>
      <pageMargins left="0" right="0" top="0" bottom="0" header="0" footer="0"/>
      <printOptions horizontalCentered="1" verticalCentered="1"/>
      <pageSetup paperSize="9" scale="42" orientation="portrait" r:id="rId4"/>
    </customSheetView>
    <customSheetView guid="{1DCC370E-2FC6-43E0-BC38-BCA3EE5D5128}" scale="90" showPageBreaks="1" showGridLines="0" fitToPage="1" printArea="1" view="pageBreakPreview">
      <selection activeCell="D11" sqref="D11"/>
      <pageMargins left="0" right="0" top="0" bottom="0" header="0" footer="0"/>
      <printOptions horizontalCentered="1" verticalCentered="1"/>
      <pageSetup paperSize="9" scale="41" orientation="portrait" r:id="rId5"/>
    </customSheetView>
    <customSheetView guid="{F0BD4916-1611-48FD-8208-19E7D9B71F1A}" scale="90" showPageBreaks="1" showGridLines="0" fitToPage="1" printArea="1" view="pageBreakPreview">
      <selection activeCell="I10" sqref="I10"/>
      <pageMargins left="0" right="0" top="0" bottom="0" header="0" footer="0"/>
      <printOptions horizontalCentered="1" verticalCentered="1"/>
      <pageSetup paperSize="9" scale="41" orientation="portrait" r:id="rId6"/>
    </customSheetView>
    <customSheetView guid="{3DB5A1E9-5856-4EA0-B7C8-5278BCF638C4}" scale="90" showPageBreaks="1" showGridLines="0" fitToPage="1" printArea="1" view="pageBreakPreview">
      <selection activeCell="P3" sqref="P3"/>
      <pageMargins left="0" right="0" top="0" bottom="0" header="0" footer="0"/>
      <printOptions horizontalCentered="1" verticalCentered="1"/>
      <pageSetup paperSize="9" scale="64" orientation="portrait" r:id="rId7"/>
    </customSheetView>
    <customSheetView guid="{BDCF2A7A-E9D7-4870-941D-0022D12BB670}" scale="90" showPageBreaks="1" showGridLines="0" fitToPage="1" printArea="1" view="pageBreakPreview">
      <selection activeCell="P3" sqref="P3"/>
      <pageMargins left="0" right="0" top="0" bottom="0" header="0" footer="0"/>
      <printOptions horizontalCentered="1" verticalCentered="1"/>
      <pageSetup paperSize="9" scale="62" orientation="portrait" r:id="rId8"/>
    </customSheetView>
    <customSheetView guid="{180A269B-7E32-4D24-945A-4A804FC4280D}" scale="90" showPageBreaks="1" showGridLines="0" fitToPage="1" printArea="1" view="pageBreakPreview" topLeftCell="A43">
      <selection activeCell="I55" sqref="I55"/>
      <pageMargins left="0" right="0" top="0" bottom="0" header="0" footer="0"/>
      <printOptions horizontalCentered="1" verticalCentered="1"/>
      <pageSetup paperSize="9" scale="40" orientation="portrait" r:id="rId9"/>
    </customSheetView>
    <customSheetView guid="{9C22FFE9-00CF-47D0-BD99-D84A00825140}" scale="90" showPageBreaks="1" showGridLines="0" fitToPage="1" printArea="1" view="pageBreakPreview">
      <selection activeCell="L3" sqref="L3"/>
      <pageMargins left="0" right="0" top="0" bottom="0" header="0" footer="0"/>
      <printOptions horizontalCentered="1" verticalCentered="1"/>
      <pageSetup paperSize="9" scale="34" orientation="portrait" r:id="rId10"/>
    </customSheetView>
  </customSheetViews>
  <mergeCells count="435">
    <mergeCell ref="C137:D137"/>
    <mergeCell ref="C136:D136"/>
    <mergeCell ref="D164:F164"/>
    <mergeCell ref="G164:I164"/>
    <mergeCell ref="J164:K164"/>
    <mergeCell ref="L164:M164"/>
    <mergeCell ref="J160:K160"/>
    <mergeCell ref="L160:M160"/>
    <mergeCell ref="D161:F161"/>
    <mergeCell ref="G161:I161"/>
    <mergeCell ref="J161:K161"/>
    <mergeCell ref="L161:M161"/>
    <mergeCell ref="J158:K158"/>
    <mergeCell ref="L158:M158"/>
    <mergeCell ref="D159:F159"/>
    <mergeCell ref="G159:I159"/>
    <mergeCell ref="J159:K159"/>
    <mergeCell ref="L159:M159"/>
    <mergeCell ref="D156:F156"/>
    <mergeCell ref="G156:I156"/>
    <mergeCell ref="J156:K156"/>
    <mergeCell ref="L156:M156"/>
    <mergeCell ref="D157:F157"/>
    <mergeCell ref="G157:I157"/>
    <mergeCell ref="D165:F165"/>
    <mergeCell ref="G165:I165"/>
    <mergeCell ref="J165:K165"/>
    <mergeCell ref="L165:M165"/>
    <mergeCell ref="J162:K162"/>
    <mergeCell ref="L162:M162"/>
    <mergeCell ref="D163:F163"/>
    <mergeCell ref="G163:I163"/>
    <mergeCell ref="J163:K163"/>
    <mergeCell ref="L163:M163"/>
    <mergeCell ref="J157:K157"/>
    <mergeCell ref="L157:M157"/>
    <mergeCell ref="J154:K154"/>
    <mergeCell ref="L154:M154"/>
    <mergeCell ref="D155:F155"/>
    <mergeCell ref="G155:I155"/>
    <mergeCell ref="J155:K155"/>
    <mergeCell ref="L155:M155"/>
    <mergeCell ref="J152:K152"/>
    <mergeCell ref="L152:M152"/>
    <mergeCell ref="D153:F153"/>
    <mergeCell ref="G153:I153"/>
    <mergeCell ref="J153:K153"/>
    <mergeCell ref="L153:M153"/>
    <mergeCell ref="D150:F150"/>
    <mergeCell ref="G150:I150"/>
    <mergeCell ref="J150:K150"/>
    <mergeCell ref="L150:M150"/>
    <mergeCell ref="D151:F151"/>
    <mergeCell ref="G151:I151"/>
    <mergeCell ref="J151:K151"/>
    <mergeCell ref="L151:M151"/>
    <mergeCell ref="J148:K148"/>
    <mergeCell ref="L148:M148"/>
    <mergeCell ref="D149:F149"/>
    <mergeCell ref="G149:I149"/>
    <mergeCell ref="J149:K149"/>
    <mergeCell ref="L149:M149"/>
    <mergeCell ref="D148:F148"/>
    <mergeCell ref="G148:I148"/>
    <mergeCell ref="D146:F146"/>
    <mergeCell ref="G146:I146"/>
    <mergeCell ref="J146:K146"/>
    <mergeCell ref="L146:M146"/>
    <mergeCell ref="D147:F147"/>
    <mergeCell ref="G147:I147"/>
    <mergeCell ref="J147:K147"/>
    <mergeCell ref="L147:M147"/>
    <mergeCell ref="G145:I145"/>
    <mergeCell ref="J145:K145"/>
    <mergeCell ref="L145:M145"/>
    <mergeCell ref="J142:K142"/>
    <mergeCell ref="L142:M142"/>
    <mergeCell ref="G143:I143"/>
    <mergeCell ref="D143:F143"/>
    <mergeCell ref="J143:K143"/>
    <mergeCell ref="L143:M143"/>
    <mergeCell ref="B2:I2"/>
    <mergeCell ref="E136:F136"/>
    <mergeCell ref="E137:F137"/>
    <mergeCell ref="D142:F142"/>
    <mergeCell ref="G142:I142"/>
    <mergeCell ref="G44:H44"/>
    <mergeCell ref="G45:H45"/>
    <mergeCell ref="G46:H46"/>
    <mergeCell ref="G47:H47"/>
    <mergeCell ref="G48:H48"/>
    <mergeCell ref="K36:L36"/>
    <mergeCell ref="K37:L37"/>
    <mergeCell ref="K38:L38"/>
    <mergeCell ref="G40:H40"/>
    <mergeCell ref="K40:L40"/>
    <mergeCell ref="K41:L41"/>
    <mergeCell ref="G32:H32"/>
    <mergeCell ref="K32:L32"/>
    <mergeCell ref="D160:F160"/>
    <mergeCell ref="G160:I160"/>
    <mergeCell ref="D162:F162"/>
    <mergeCell ref="G162:I162"/>
    <mergeCell ref="D158:F158"/>
    <mergeCell ref="G158:I158"/>
    <mergeCell ref="D152:F152"/>
    <mergeCell ref="G152:I152"/>
    <mergeCell ref="D154:F154"/>
    <mergeCell ref="G154:I154"/>
    <mergeCell ref="D144:F144"/>
    <mergeCell ref="G144:I144"/>
    <mergeCell ref="B141:M141"/>
    <mergeCell ref="K39:L39"/>
    <mergeCell ref="J144:K144"/>
    <mergeCell ref="L144:M144"/>
    <mergeCell ref="D145:F145"/>
    <mergeCell ref="E138:J138"/>
    <mergeCell ref="G136:I136"/>
    <mergeCell ref="G137:I137"/>
    <mergeCell ref="E88:F88"/>
    <mergeCell ref="E89:F89"/>
    <mergeCell ref="E90:F90"/>
    <mergeCell ref="E91:F91"/>
    <mergeCell ref="G82:J82"/>
    <mergeCell ref="G83:J83"/>
    <mergeCell ref="G84:J84"/>
    <mergeCell ref="G85:J85"/>
    <mergeCell ref="G86:J86"/>
    <mergeCell ref="G87:J87"/>
    <mergeCell ref="G88:J88"/>
    <mergeCell ref="G89:J89"/>
    <mergeCell ref="B61:M61"/>
    <mergeCell ref="B43:M43"/>
    <mergeCell ref="P56:Q56"/>
    <mergeCell ref="B57:B58"/>
    <mergeCell ref="F57:G58"/>
    <mergeCell ref="J57:K58"/>
    <mergeCell ref="N56:O56"/>
    <mergeCell ref="G39:H39"/>
    <mergeCell ref="G41:H41"/>
    <mergeCell ref="C59:E59"/>
    <mergeCell ref="F59:G59"/>
    <mergeCell ref="H59:I59"/>
    <mergeCell ref="J59:K59"/>
    <mergeCell ref="G49:H49"/>
    <mergeCell ref="G50:H50"/>
    <mergeCell ref="G51:H51"/>
    <mergeCell ref="G52:H52"/>
    <mergeCell ref="B56:M56"/>
    <mergeCell ref="G35:H35"/>
    <mergeCell ref="K35:L35"/>
    <mergeCell ref="G33:H33"/>
    <mergeCell ref="K33:L33"/>
    <mergeCell ref="G34:H34"/>
    <mergeCell ref="K34:L34"/>
    <mergeCell ref="G36:H36"/>
    <mergeCell ref="G37:H37"/>
    <mergeCell ref="G38:H38"/>
    <mergeCell ref="H4:H6"/>
    <mergeCell ref="J4:K5"/>
    <mergeCell ref="F5:G5"/>
    <mergeCell ref="F6:G6"/>
    <mergeCell ref="J6:K7"/>
    <mergeCell ref="J14:L15"/>
    <mergeCell ref="J9:K10"/>
    <mergeCell ref="L4:M5"/>
    <mergeCell ref="L6:M7"/>
    <mergeCell ref="F16:G16"/>
    <mergeCell ref="F17:G17"/>
    <mergeCell ref="J11:K12"/>
    <mergeCell ref="F18:G18"/>
    <mergeCell ref="G29:H29"/>
    <mergeCell ref="K29:L29"/>
    <mergeCell ref="G30:H30"/>
    <mergeCell ref="K30:L30"/>
    <mergeCell ref="G31:H31"/>
    <mergeCell ref="K31:L31"/>
    <mergeCell ref="G25:H25"/>
    <mergeCell ref="K25:L25"/>
    <mergeCell ref="G26:H26"/>
    <mergeCell ref="K26:L26"/>
    <mergeCell ref="K27:L27"/>
    <mergeCell ref="G28:H28"/>
    <mergeCell ref="K28:L28"/>
    <mergeCell ref="G27:H27"/>
    <mergeCell ref="B7:B10"/>
    <mergeCell ref="B11:B14"/>
    <mergeCell ref="F11:G11"/>
    <mergeCell ref="H11:H14"/>
    <mergeCell ref="F12:G12"/>
    <mergeCell ref="F13:G13"/>
    <mergeCell ref="F14:G14"/>
    <mergeCell ref="F7:G7"/>
    <mergeCell ref="H7:H10"/>
    <mergeCell ref="F8:G8"/>
    <mergeCell ref="F9:G9"/>
    <mergeCell ref="F10:G1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B4:B6"/>
    <mergeCell ref="C4:C5"/>
    <mergeCell ref="D4:D5"/>
    <mergeCell ref="E4:G4"/>
    <mergeCell ref="C19:F19"/>
    <mergeCell ref="B22:L22"/>
    <mergeCell ref="C23:D23"/>
    <mergeCell ref="E23:F23"/>
    <mergeCell ref="G23:I23"/>
    <mergeCell ref="J23:J24"/>
    <mergeCell ref="K23:L24"/>
    <mergeCell ref="G24:H24"/>
    <mergeCell ref="B15:B18"/>
    <mergeCell ref="F15:G15"/>
    <mergeCell ref="H15:H18"/>
    <mergeCell ref="J16:L17"/>
    <mergeCell ref="D166:F166"/>
    <mergeCell ref="G166:I166"/>
    <mergeCell ref="J166:K166"/>
    <mergeCell ref="L166:M166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J181:K181"/>
    <mergeCell ref="L181:M181"/>
    <mergeCell ref="D182:F182"/>
    <mergeCell ref="G182:I182"/>
    <mergeCell ref="J182:K182"/>
    <mergeCell ref="L182:M182"/>
    <mergeCell ref="D183:F183"/>
    <mergeCell ref="G183:I183"/>
    <mergeCell ref="J183:K183"/>
    <mergeCell ref="L183:M183"/>
    <mergeCell ref="D181:F181"/>
    <mergeCell ref="G181:I181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4:F184"/>
    <mergeCell ref="G184:I184"/>
    <mergeCell ref="J184:K184"/>
    <mergeCell ref="L184:M184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E62:F62"/>
    <mergeCell ref="G62:J62"/>
    <mergeCell ref="E63:F63"/>
    <mergeCell ref="E64:F64"/>
    <mergeCell ref="E65:F65"/>
    <mergeCell ref="E66:F66"/>
    <mergeCell ref="E67:F67"/>
    <mergeCell ref="E68:F68"/>
    <mergeCell ref="E69:F69"/>
    <mergeCell ref="G63:J63"/>
    <mergeCell ref="G64:J64"/>
    <mergeCell ref="G65:J65"/>
    <mergeCell ref="G66:J66"/>
    <mergeCell ref="G67:J67"/>
    <mergeCell ref="G68:J68"/>
    <mergeCell ref="G69:J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G71:J71"/>
    <mergeCell ref="G72:J72"/>
    <mergeCell ref="G90:J90"/>
    <mergeCell ref="G91:J91"/>
    <mergeCell ref="G92:J92"/>
    <mergeCell ref="G93:J93"/>
    <mergeCell ref="G94:J94"/>
    <mergeCell ref="G95:J95"/>
    <mergeCell ref="G96:J96"/>
    <mergeCell ref="G73:J73"/>
    <mergeCell ref="G74:J74"/>
    <mergeCell ref="G75:J75"/>
    <mergeCell ref="G76:J76"/>
    <mergeCell ref="G77:J77"/>
    <mergeCell ref="G78:J78"/>
    <mergeCell ref="G79:J79"/>
    <mergeCell ref="G80:J80"/>
    <mergeCell ref="G81:J81"/>
    <mergeCell ref="G97:J97"/>
    <mergeCell ref="G98:J98"/>
    <mergeCell ref="G99:J99"/>
    <mergeCell ref="G100:J100"/>
    <mergeCell ref="G101:J101"/>
    <mergeCell ref="G102:J102"/>
    <mergeCell ref="G103:J103"/>
    <mergeCell ref="G104:J104"/>
    <mergeCell ref="G105:J105"/>
    <mergeCell ref="G106:J106"/>
    <mergeCell ref="G107:J107"/>
    <mergeCell ref="G108:J108"/>
    <mergeCell ref="G109:J109"/>
    <mergeCell ref="G110:J110"/>
    <mergeCell ref="G111:J111"/>
    <mergeCell ref="G112:J112"/>
    <mergeCell ref="G113:J113"/>
    <mergeCell ref="G114:J114"/>
    <mergeCell ref="G115:J115"/>
    <mergeCell ref="G116:J116"/>
    <mergeCell ref="G117:J117"/>
    <mergeCell ref="G118:J118"/>
    <mergeCell ref="G119:J119"/>
    <mergeCell ref="G120:J120"/>
    <mergeCell ref="G121:J121"/>
    <mergeCell ref="G122:J122"/>
    <mergeCell ref="G123:J123"/>
    <mergeCell ref="G124:J124"/>
    <mergeCell ref="G125:J125"/>
    <mergeCell ref="G126:J126"/>
    <mergeCell ref="G127:J127"/>
    <mergeCell ref="G128:J128"/>
    <mergeCell ref="G129:J129"/>
    <mergeCell ref="G130:J130"/>
    <mergeCell ref="G131:J131"/>
    <mergeCell ref="C135:D135"/>
    <mergeCell ref="E135:F135"/>
    <mergeCell ref="G135:I135"/>
    <mergeCell ref="E127:F127"/>
    <mergeCell ref="E128:F128"/>
    <mergeCell ref="E129:F129"/>
    <mergeCell ref="E130:F130"/>
    <mergeCell ref="E131:F131"/>
  </mergeCells>
  <dataValidations count="1">
    <dataValidation type="list" allowBlank="1" showInputMessage="1" showErrorMessage="1" sqref="E63:F131" xr:uid="{A7DCE880-1270-4CDB-ABE4-A5F919B6A422}">
      <formula1>INDIRECT(D63)</formula1>
    </dataValidation>
  </dataValidations>
  <hyperlinks>
    <hyperlink ref="J14:L15" location="Summary!A1" display="MTD Summary " xr:uid="{00000000-0004-0000-0400-000000000000}"/>
    <hyperlink ref="J16:L17" location="Graph!A1" display="MTD Trendings" xr:uid="{00000000-0004-0000-0400-000001000000}"/>
  </hyperlinks>
  <printOptions horizontalCentered="1" verticalCentered="1"/>
  <pageMargins left="0.19685039370078741" right="0.19685039370078741" top="0" bottom="0" header="0.31496062992125984" footer="0.31496062992125984"/>
  <pageSetup paperSize="9" scale="35" orientation="portrait" r:id="rId1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6826DFE-95B8-425A-9295-987260C95DEB}">
          <x14:formula1>
            <xm:f>Sheet3!$B$3:$B$5</xm:f>
          </x14:formula1>
          <xm:sqref>B143:B165 B132</xm:sqref>
        </x14:dataValidation>
        <x14:dataValidation type="list" allowBlank="1" showInputMessage="1" xr:uid="{3BBB8C51-779A-4EDD-919A-2B73B1693DBA}">
          <x14:formula1>
            <xm:f>Sheet3!$D$3:$D$11</xm:f>
          </x14:formula1>
          <xm:sqref>C132</xm:sqref>
        </x14:dataValidation>
        <x14:dataValidation type="list" allowBlank="1" showInputMessage="1" showErrorMessage="1" xr:uid="{CA87C665-E995-4E85-B842-B0FBDAD6A478}">
          <x14:formula1>
            <xm:f>Sheet3!$C$3:$C$4</xm:f>
          </x14:formula1>
          <xm:sqref>M132 M63:M131</xm:sqref>
        </x14:dataValidation>
        <x14:dataValidation type="list" allowBlank="1" showInputMessage="1" showErrorMessage="1" xr:uid="{32308D26-F479-41F1-8867-A5DA4662C42C}">
          <x14:formula1>
            <xm:f>List!$B$5:$B$8</xm:f>
          </x14:formula1>
          <xm:sqref>B63:B131</xm:sqref>
        </x14:dataValidation>
        <x14:dataValidation type="list" allowBlank="1" showInputMessage="1" showErrorMessage="1" xr:uid="{BE364B17-12B0-40DE-BF1F-7957885406F0}">
          <x14:formula1>
            <xm:f>List!$B$10:$B$12</xm:f>
          </x14:formula1>
          <xm:sqref>C63:C131</xm:sqref>
        </x14:dataValidation>
        <x14:dataValidation type="list" allowBlank="1" showInputMessage="1" showErrorMessage="1" xr:uid="{BB491441-2C85-400D-89C7-EE575DEB2F13}">
          <x14:formula1>
            <xm:f>List!$C$5:$C$14</xm:f>
          </x14:formula1>
          <xm:sqref>D63:D131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4009-852E-4378-8409-D98DE4575C83}">
  <sheetPr>
    <pageSetUpPr fitToPage="1"/>
  </sheetPr>
  <dimension ref="A1:R188"/>
  <sheetViews>
    <sheetView showGridLines="0" view="pageBreakPreview" topLeftCell="D143" zoomScale="90" zoomScaleNormal="90" zoomScaleSheetLayoutView="90" zoomScalePageLayoutView="80" workbookViewId="0">
      <selection activeCell="D143" sqref="D143:F143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2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1460.49</v>
      </c>
      <c r="K6" s="420"/>
      <c r="L6" s="420">
        <f ca="1">Summary!G9</f>
        <v>1670.92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100</v>
      </c>
      <c r="E7" s="84">
        <v>50</v>
      </c>
      <c r="F7" s="395">
        <v>50</v>
      </c>
      <c r="G7" s="396"/>
      <c r="H7" s="374">
        <f>SUM(D7:D10)</f>
        <v>450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130</v>
      </c>
      <c r="E8" s="86">
        <v>50</v>
      </c>
      <c r="F8" s="397">
        <v>50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120</v>
      </c>
      <c r="E9" s="86">
        <v>50</v>
      </c>
      <c r="F9" s="397">
        <v>50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100</v>
      </c>
      <c r="E10" s="88">
        <v>50</v>
      </c>
      <c r="F10" s="399">
        <v>50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120</v>
      </c>
      <c r="E11" s="90">
        <v>60</v>
      </c>
      <c r="F11" s="386">
        <v>60</v>
      </c>
      <c r="G11" s="387"/>
      <c r="H11" s="388">
        <f>SUM(D11:D14)</f>
        <v>530.27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130</v>
      </c>
      <c r="E12" s="92">
        <v>60</v>
      </c>
      <c r="F12" s="391">
        <v>60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140</v>
      </c>
      <c r="E13" s="92">
        <v>60</v>
      </c>
      <c r="F13" s="391">
        <v>60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140.27000000000001</v>
      </c>
      <c r="E14" s="94">
        <v>60</v>
      </c>
      <c r="F14" s="393">
        <v>60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120</v>
      </c>
      <c r="E15" s="96">
        <v>50</v>
      </c>
      <c r="F15" s="372">
        <v>60</v>
      </c>
      <c r="G15" s="373"/>
      <c r="H15" s="374">
        <f>SUM(D15:D18)</f>
        <v>480.22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140</v>
      </c>
      <c r="E16" s="98">
        <v>50</v>
      </c>
      <c r="F16" s="401">
        <v>60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110</v>
      </c>
      <c r="E17" s="98">
        <v>50</v>
      </c>
      <c r="F17" s="401">
        <v>60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110.22</v>
      </c>
      <c r="E18" s="100">
        <v>50</v>
      </c>
      <c r="F18" s="404">
        <v>60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1460.49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7</v>
      </c>
      <c r="D25" s="102">
        <v>100</v>
      </c>
      <c r="E25" s="56">
        <v>8</v>
      </c>
      <c r="F25" s="107">
        <v>100</v>
      </c>
      <c r="G25" s="410">
        <v>8</v>
      </c>
      <c r="H25" s="411"/>
      <c r="I25" s="111"/>
      <c r="J25" s="38">
        <f t="shared" ref="J25:J40" si="0">C25+E25+G25</f>
        <v>23</v>
      </c>
      <c r="K25" s="412">
        <f>D25+F25+I25</f>
        <v>200</v>
      </c>
      <c r="L25" s="413"/>
      <c r="M25" s="2"/>
    </row>
    <row r="26" spans="2:14" ht="14.1" customHeight="1" x14ac:dyDescent="0.2">
      <c r="B26" s="80" t="s">
        <v>281</v>
      </c>
      <c r="C26" s="45">
        <v>5</v>
      </c>
      <c r="D26" s="103">
        <v>104</v>
      </c>
      <c r="E26" s="57">
        <v>5</v>
      </c>
      <c r="F26" s="108">
        <v>106</v>
      </c>
      <c r="G26" s="406">
        <v>7</v>
      </c>
      <c r="H26" s="407"/>
      <c r="I26" s="112">
        <v>198</v>
      </c>
      <c r="J26" s="25">
        <f t="shared" si="0"/>
        <v>17</v>
      </c>
      <c r="K26" s="408">
        <f t="shared" ref="K26:K39" si="1">D26+F26+I26</f>
        <v>408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176</v>
      </c>
      <c r="E27" s="57"/>
      <c r="F27" s="108">
        <v>218</v>
      </c>
      <c r="G27" s="406"/>
      <c r="H27" s="407"/>
      <c r="I27" s="112">
        <v>188</v>
      </c>
      <c r="J27" s="25">
        <f t="shared" si="0"/>
        <v>0</v>
      </c>
      <c r="K27" s="408">
        <f t="shared" si="1"/>
        <v>582</v>
      </c>
      <c r="L27" s="409"/>
      <c r="M27" s="2"/>
    </row>
    <row r="28" spans="2:14" ht="14.1" customHeight="1" x14ac:dyDescent="0.2">
      <c r="B28" s="80" t="s">
        <v>283</v>
      </c>
      <c r="C28" s="45">
        <v>2</v>
      </c>
      <c r="D28" s="103"/>
      <c r="E28" s="57">
        <v>4</v>
      </c>
      <c r="F28" s="108"/>
      <c r="G28" s="406">
        <v>4</v>
      </c>
      <c r="H28" s="407"/>
      <c r="I28" s="112"/>
      <c r="J28" s="25">
        <f t="shared" si="0"/>
        <v>10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4</v>
      </c>
      <c r="D29" s="103"/>
      <c r="E29" s="57">
        <v>5</v>
      </c>
      <c r="F29" s="108"/>
      <c r="G29" s="406">
        <v>4</v>
      </c>
      <c r="H29" s="407"/>
      <c r="I29" s="112"/>
      <c r="J29" s="25">
        <f t="shared" si="0"/>
        <v>13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/>
      <c r="D30" s="103">
        <v>20</v>
      </c>
      <c r="E30" s="57">
        <v>1</v>
      </c>
      <c r="F30" s="108"/>
      <c r="G30" s="406"/>
      <c r="H30" s="407"/>
      <c r="I30" s="112"/>
      <c r="J30" s="25">
        <f t="shared" si="0"/>
        <v>1</v>
      </c>
      <c r="K30" s="408">
        <f t="shared" si="1"/>
        <v>20</v>
      </c>
      <c r="L30" s="409"/>
    </row>
    <row r="31" spans="2:14" ht="14.1" customHeight="1" x14ac:dyDescent="0.2">
      <c r="B31" s="80" t="s">
        <v>286</v>
      </c>
      <c r="C31" s="45">
        <v>2</v>
      </c>
      <c r="D31" s="103"/>
      <c r="E31" s="57">
        <v>1</v>
      </c>
      <c r="F31" s="108"/>
      <c r="G31" s="406">
        <v>3</v>
      </c>
      <c r="H31" s="407"/>
      <c r="I31" s="112"/>
      <c r="J31" s="25">
        <f t="shared" si="0"/>
        <v>6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1</v>
      </c>
      <c r="F32" s="108"/>
      <c r="G32" s="406">
        <v>1</v>
      </c>
      <c r="H32" s="407"/>
      <c r="I32" s="112"/>
      <c r="J32" s="25">
        <f t="shared" si="0"/>
        <v>3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/>
      <c r="G33" s="406">
        <v>1</v>
      </c>
      <c r="H33" s="407"/>
      <c r="I33" s="112"/>
      <c r="J33" s="25">
        <f t="shared" si="0"/>
        <v>1</v>
      </c>
      <c r="K33" s="408">
        <f t="shared" si="1"/>
        <v>0</v>
      </c>
      <c r="L33" s="409"/>
    </row>
    <row r="34" spans="1:16" ht="14.1" customHeight="1" x14ac:dyDescent="0.2">
      <c r="B34" s="80" t="s">
        <v>289</v>
      </c>
      <c r="C34" s="45">
        <v>1</v>
      </c>
      <c r="D34" s="103"/>
      <c r="E34" s="57"/>
      <c r="F34" s="108"/>
      <c r="G34" s="406"/>
      <c r="H34" s="407"/>
      <c r="I34" s="112"/>
      <c r="J34" s="25">
        <f t="shared" si="0"/>
        <v>1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/>
      <c r="E36" s="58"/>
      <c r="F36" s="109"/>
      <c r="G36" s="406"/>
      <c r="H36" s="407"/>
      <c r="I36" s="113"/>
      <c r="J36" s="25">
        <f t="shared" si="0"/>
        <v>0</v>
      </c>
      <c r="K36" s="408">
        <f t="shared" si="1"/>
        <v>0</v>
      </c>
      <c r="L36" s="409"/>
    </row>
    <row r="37" spans="1:16" ht="14.1" customHeight="1" x14ac:dyDescent="0.2">
      <c r="B37" s="37" t="s">
        <v>292</v>
      </c>
      <c r="C37" s="55"/>
      <c r="D37" s="104">
        <v>11</v>
      </c>
      <c r="E37" s="58"/>
      <c r="F37" s="109">
        <v>10</v>
      </c>
      <c r="G37" s="406"/>
      <c r="H37" s="407"/>
      <c r="I37" s="113">
        <v>8</v>
      </c>
      <c r="J37" s="25">
        <f t="shared" si="0"/>
        <v>0</v>
      </c>
      <c r="K37" s="408">
        <f t="shared" si="1"/>
        <v>29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v>120</v>
      </c>
      <c r="J38" s="25">
        <f t="shared" si="0"/>
        <v>0</v>
      </c>
      <c r="K38" s="408">
        <f t="shared" si="1"/>
        <v>120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105</v>
      </c>
      <c r="J39" s="25">
        <f t="shared" si="0"/>
        <v>0</v>
      </c>
      <c r="K39" s="408">
        <f t="shared" si="1"/>
        <v>105</v>
      </c>
      <c r="L39" s="409"/>
    </row>
    <row r="40" spans="1:16" ht="14.1" customHeight="1" thickBot="1" x14ac:dyDescent="0.25">
      <c r="B40" s="81" t="s">
        <v>295</v>
      </c>
      <c r="C40" s="47"/>
      <c r="D40" s="105">
        <v>34.56</v>
      </c>
      <c r="E40" s="59"/>
      <c r="F40" s="110">
        <v>135.96</v>
      </c>
      <c r="G40" s="473"/>
      <c r="H40" s="474"/>
      <c r="I40" s="114">
        <v>89.4</v>
      </c>
      <c r="J40" s="26">
        <f t="shared" si="0"/>
        <v>0</v>
      </c>
      <c r="K40" s="475">
        <f>D40+F40+I40</f>
        <v>259.92</v>
      </c>
      <c r="L40" s="476"/>
    </row>
    <row r="41" spans="1:16" ht="17.25" customHeight="1" x14ac:dyDescent="0.2">
      <c r="B41" s="15" t="s">
        <v>273</v>
      </c>
      <c r="C41" s="16">
        <f>SUM(C25:C40)</f>
        <v>22</v>
      </c>
      <c r="D41" s="106">
        <f>SUM(D25:D40)</f>
        <v>445.56</v>
      </c>
      <c r="E41" s="16">
        <f>SUM(E25:E40)</f>
        <v>25</v>
      </c>
      <c r="F41" s="106">
        <f>SUM(F25:F40)</f>
        <v>569.96</v>
      </c>
      <c r="G41" s="430">
        <f>SUM(G25:H40)</f>
        <v>28</v>
      </c>
      <c r="H41" s="430"/>
      <c r="I41" s="106">
        <f>SUM(I25:I40)</f>
        <v>708.4</v>
      </c>
      <c r="J41" s="16">
        <f>SUM(J25:J40)</f>
        <v>75</v>
      </c>
      <c r="K41" s="477">
        <f>SUM(K25:L40)</f>
        <v>1723.92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/>
      <c r="D45" s="210"/>
      <c r="E45" s="209"/>
      <c r="F45" s="210"/>
      <c r="G45" s="471"/>
      <c r="H45" s="472"/>
      <c r="I45" s="210"/>
      <c r="J45" s="210">
        <v>0.4</v>
      </c>
      <c r="K45" s="209">
        <v>0.1</v>
      </c>
      <c r="L45" s="210"/>
      <c r="M45" s="211"/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20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/>
      <c r="D48" s="209"/>
      <c r="E48" s="209"/>
      <c r="F48" s="209">
        <v>0.4</v>
      </c>
      <c r="G48" s="442">
        <v>0.3</v>
      </c>
      <c r="H48" s="443"/>
      <c r="I48" s="209">
        <v>0.8</v>
      </c>
      <c r="J48" s="209">
        <v>0</v>
      </c>
      <c r="K48" s="209">
        <v>0.1</v>
      </c>
      <c r="L48" s="209">
        <v>0.7</v>
      </c>
      <c r="M48" s="211">
        <v>0.1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64</v>
      </c>
      <c r="G49" s="438">
        <f>G48*100</f>
        <v>30</v>
      </c>
      <c r="H49" s="439"/>
      <c r="I49" s="40">
        <f>I48*100</f>
        <v>80</v>
      </c>
      <c r="J49" s="40">
        <f>J48*150</f>
        <v>0</v>
      </c>
      <c r="K49" s="40">
        <f>K48*70</f>
        <v>7</v>
      </c>
      <c r="L49" s="40">
        <f>L48*70</f>
        <v>49</v>
      </c>
      <c r="M49" s="79">
        <f>M48*70</f>
        <v>7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0.1</v>
      </c>
      <c r="D51" s="213">
        <v>0.1</v>
      </c>
      <c r="E51" s="214">
        <v>0.1</v>
      </c>
      <c r="F51" s="209"/>
      <c r="G51" s="442"/>
      <c r="H51" s="443"/>
      <c r="I51" s="209">
        <v>0</v>
      </c>
      <c r="J51" s="209">
        <v>0</v>
      </c>
      <c r="K51" s="209">
        <v>0</v>
      </c>
      <c r="L51" s="209">
        <v>0.3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7</v>
      </c>
      <c r="D52" s="41">
        <f>D51*70</f>
        <v>7</v>
      </c>
      <c r="E52" s="41">
        <f>E51*70</f>
        <v>7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75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358</v>
      </c>
      <c r="F54" s="39" t="s">
        <v>309</v>
      </c>
      <c r="G54" s="188"/>
      <c r="H54" s="188"/>
      <c r="I54" s="30">
        <f>'1'!D54</f>
        <v>339.75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>
        <v>175700</v>
      </c>
      <c r="D58" s="60">
        <v>19370</v>
      </c>
      <c r="E58" s="124">
        <f>SUM(C58:D58)</f>
        <v>195070</v>
      </c>
      <c r="F58" s="425"/>
      <c r="G58" s="426"/>
      <c r="H58" s="60"/>
      <c r="I58" s="61"/>
      <c r="J58" s="422"/>
      <c r="K58" s="428"/>
      <c r="L58" s="60">
        <v>6718</v>
      </c>
      <c r="M58" s="61">
        <v>2239</v>
      </c>
      <c r="N58" s="288"/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133.564762511212</v>
      </c>
      <c r="D59" s="432"/>
      <c r="E59" s="433"/>
      <c r="F59" s="434" t="s">
        <v>321</v>
      </c>
      <c r="G59" s="435"/>
      <c r="H59" s="436">
        <f>IF(ISERROR(SUM(H58:I58)/$H$19),"",(SUM(H58:I58)/$H$19))</f>
        <v>0</v>
      </c>
      <c r="I59" s="437"/>
      <c r="J59" s="434" t="s">
        <v>322</v>
      </c>
      <c r="K59" s="435"/>
      <c r="L59" s="115">
        <f>IF(ISERROR(L58/$H$19),"",(L58/$H$19))</f>
        <v>4.599826085765736</v>
      </c>
      <c r="M59" s="116">
        <f>IF(ISERROR(M58/$H$19),"",(M58/$H$19))</f>
        <v>1.5330471280186786</v>
      </c>
      <c r="N59" s="288"/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0.31250000000000022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14</v>
      </c>
      <c r="C63" s="236" t="s">
        <v>22</v>
      </c>
      <c r="D63" s="236" t="s">
        <v>23</v>
      </c>
      <c r="E63" s="322" t="s">
        <v>109</v>
      </c>
      <c r="F63" s="324"/>
      <c r="G63" s="322" t="s">
        <v>386</v>
      </c>
      <c r="H63" s="323"/>
      <c r="I63" s="323"/>
      <c r="J63" s="324"/>
      <c r="K63" s="238">
        <v>0.29166666666666669</v>
      </c>
      <c r="L63" s="238">
        <v>0.40972222222222227</v>
      </c>
      <c r="M63" s="236" t="s">
        <v>9</v>
      </c>
      <c r="N63" s="237">
        <f t="shared" ref="N63:N126" si="2">IF(M63="No","",IF(M63="Yes",(L63-K63+(L63&lt;K63)),""))</f>
        <v>0.11805555555555558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20</v>
      </c>
      <c r="E64" s="322"/>
      <c r="F64" s="324"/>
      <c r="G64" s="322" t="s">
        <v>332</v>
      </c>
      <c r="H64" s="323"/>
      <c r="I64" s="323"/>
      <c r="J64" s="324"/>
      <c r="K64" s="238">
        <v>0.3888888888888889</v>
      </c>
      <c r="L64" s="238">
        <v>0.43055555555555558</v>
      </c>
      <c r="M64" s="236" t="s">
        <v>9</v>
      </c>
      <c r="N64" s="237">
        <f t="shared" si="2"/>
        <v>4.1666666666666685E-2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29</v>
      </c>
      <c r="E65" s="322" t="s">
        <v>107</v>
      </c>
      <c r="F65" s="324"/>
      <c r="G65" s="322" t="s">
        <v>387</v>
      </c>
      <c r="H65" s="323"/>
      <c r="I65" s="323"/>
      <c r="J65" s="324"/>
      <c r="K65" s="239">
        <v>0.44444444444444442</v>
      </c>
      <c r="L65" s="239">
        <v>0.47222222222222227</v>
      </c>
      <c r="M65" s="236" t="s">
        <v>13</v>
      </c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29</v>
      </c>
      <c r="E66" s="322"/>
      <c r="F66" s="324"/>
      <c r="G66" s="322" t="s">
        <v>388</v>
      </c>
      <c r="H66" s="323"/>
      <c r="I66" s="323"/>
      <c r="J66" s="324"/>
      <c r="K66" s="239">
        <v>0.2986111111111111</v>
      </c>
      <c r="L66" s="239">
        <v>0.3125</v>
      </c>
      <c r="M66" s="236" t="s">
        <v>9</v>
      </c>
      <c r="N66" s="237">
        <f t="shared" si="2"/>
        <v>1.3888888888888895E-2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322"/>
      <c r="F67" s="324"/>
      <c r="G67" s="322"/>
      <c r="H67" s="323"/>
      <c r="I67" s="323"/>
      <c r="J67" s="324"/>
      <c r="K67" s="238">
        <v>0.41666666666666669</v>
      </c>
      <c r="L67" s="238">
        <v>0.4513888888888889</v>
      </c>
      <c r="M67" s="236" t="s">
        <v>9</v>
      </c>
      <c r="N67" s="237">
        <f t="shared" si="2"/>
        <v>3.472222222222221E-2</v>
      </c>
      <c r="O67" s="134"/>
      <c r="P67" s="12"/>
      <c r="Q67" s="12"/>
      <c r="R67" s="12"/>
    </row>
    <row r="68" spans="1:18" ht="20.100000000000001" customHeight="1" x14ac:dyDescent="0.2">
      <c r="A68" s="12"/>
      <c r="B68" s="236" t="s">
        <v>6</v>
      </c>
      <c r="C68" s="236" t="s">
        <v>25</v>
      </c>
      <c r="D68" s="236" t="s">
        <v>15</v>
      </c>
      <c r="E68" s="322" t="s">
        <v>66</v>
      </c>
      <c r="F68" s="324"/>
      <c r="G68" s="322" t="s">
        <v>389</v>
      </c>
      <c r="H68" s="323"/>
      <c r="I68" s="323"/>
      <c r="J68" s="324"/>
      <c r="K68" s="239">
        <v>0.64583333333333337</v>
      </c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15</v>
      </c>
      <c r="E69" s="322" t="s">
        <v>63</v>
      </c>
      <c r="F69" s="324"/>
      <c r="G69" s="322" t="s">
        <v>390</v>
      </c>
      <c r="H69" s="323"/>
      <c r="I69" s="323"/>
      <c r="J69" s="324"/>
      <c r="K69" s="239">
        <v>0.875</v>
      </c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322"/>
      <c r="F70" s="324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20</v>
      </c>
      <c r="E71" s="322"/>
      <c r="F71" s="324"/>
      <c r="G71" s="322" t="s">
        <v>332</v>
      </c>
      <c r="H71" s="323"/>
      <c r="I71" s="323"/>
      <c r="J71" s="324"/>
      <c r="K71" s="239">
        <v>0.80555555555555547</v>
      </c>
      <c r="L71" s="239">
        <v>0.84027777777777779</v>
      </c>
      <c r="M71" s="236" t="s">
        <v>9</v>
      </c>
      <c r="N71" s="237">
        <f t="shared" si="2"/>
        <v>3.4722222222222321E-2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23</v>
      </c>
      <c r="E72" s="322" t="s">
        <v>106</v>
      </c>
      <c r="F72" s="324"/>
      <c r="G72" s="322" t="s">
        <v>391</v>
      </c>
      <c r="H72" s="323"/>
      <c r="I72" s="323"/>
      <c r="J72" s="324"/>
      <c r="K72" s="239">
        <v>0.90972222222222221</v>
      </c>
      <c r="L72" s="239">
        <v>0.92361111111111116</v>
      </c>
      <c r="M72" s="236" t="s">
        <v>9</v>
      </c>
      <c r="N72" s="237">
        <f t="shared" si="2"/>
        <v>1.3888888888888951E-2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26</v>
      </c>
      <c r="E73" s="322"/>
      <c r="F73" s="324"/>
      <c r="G73" s="322" t="s">
        <v>335</v>
      </c>
      <c r="H73" s="323"/>
      <c r="I73" s="323"/>
      <c r="J73" s="324"/>
      <c r="K73" s="239">
        <v>0.85416666666666663</v>
      </c>
      <c r="L73" s="239">
        <v>0.90972222222222221</v>
      </c>
      <c r="M73" s="236" t="s">
        <v>9</v>
      </c>
      <c r="N73" s="237">
        <f t="shared" si="2"/>
        <v>5.555555555555558E-2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322"/>
      <c r="F74" s="324"/>
      <c r="G74" s="322"/>
      <c r="H74" s="323"/>
      <c r="I74" s="323"/>
      <c r="J74" s="324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18</v>
      </c>
      <c r="E75" s="322" t="s">
        <v>86</v>
      </c>
      <c r="F75" s="324"/>
      <c r="G75" s="322" t="s">
        <v>392</v>
      </c>
      <c r="H75" s="323"/>
      <c r="I75" s="323"/>
      <c r="J75" s="324"/>
      <c r="K75" s="239">
        <v>0.9375</v>
      </c>
      <c r="L75" s="239">
        <v>1.0208333333333333</v>
      </c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322"/>
      <c r="F76" s="324"/>
      <c r="G76" s="322"/>
      <c r="H76" s="323"/>
      <c r="I76" s="323"/>
      <c r="J76" s="324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 t="s">
        <v>10</v>
      </c>
      <c r="C77" s="236" t="s">
        <v>28</v>
      </c>
      <c r="D77" s="236"/>
      <c r="E77" s="322"/>
      <c r="F77" s="324"/>
      <c r="G77" s="322"/>
      <c r="H77" s="323"/>
      <c r="I77" s="323"/>
      <c r="J77" s="324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/>
      <c r="H78" s="323"/>
      <c r="I78" s="323"/>
      <c r="J78" s="324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322"/>
      <c r="F79" s="324"/>
      <c r="G79" s="322"/>
      <c r="H79" s="323"/>
      <c r="I79" s="323"/>
      <c r="J79" s="324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322"/>
      <c r="F80" s="324"/>
      <c r="G80" s="322"/>
      <c r="H80" s="323"/>
      <c r="I80" s="323"/>
      <c r="J80" s="324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322"/>
      <c r="F81" s="324"/>
      <c r="G81" s="322"/>
      <c r="H81" s="323"/>
      <c r="I81" s="323"/>
      <c r="J81" s="324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322"/>
      <c r="F83" s="324"/>
      <c r="G83" s="322"/>
      <c r="H83" s="323"/>
      <c r="I83" s="323"/>
      <c r="J83" s="324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 t="s">
        <v>344</v>
      </c>
      <c r="D136" s="481"/>
      <c r="E136" s="463" t="s">
        <v>393</v>
      </c>
      <c r="F136" s="464"/>
      <c r="G136" s="452"/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394</v>
      </c>
      <c r="D137" s="479"/>
      <c r="E137" s="463" t="s">
        <v>395</v>
      </c>
      <c r="F137" s="464"/>
      <c r="G137" s="452"/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35"/>
      <c r="E143" s="335"/>
      <c r="F143" s="335"/>
      <c r="G143" s="336"/>
      <c r="H143" s="336"/>
      <c r="I143" s="336"/>
      <c r="J143" s="336"/>
      <c r="K143" s="336"/>
      <c r="L143" s="335"/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 t="s">
        <v>255</v>
      </c>
      <c r="C144" s="215">
        <v>13</v>
      </c>
      <c r="D144" s="335" t="s">
        <v>396</v>
      </c>
      <c r="E144" s="335"/>
      <c r="F144" s="335"/>
      <c r="G144" s="336" t="s">
        <v>354</v>
      </c>
      <c r="H144" s="336"/>
      <c r="I144" s="336"/>
      <c r="J144" s="336">
        <v>40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13</v>
      </c>
      <c r="D145" s="335" t="s">
        <v>397</v>
      </c>
      <c r="E145" s="335"/>
      <c r="F145" s="335"/>
      <c r="G145" s="336" t="s">
        <v>359</v>
      </c>
      <c r="H145" s="336"/>
      <c r="I145" s="336"/>
      <c r="J145" s="336">
        <v>57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19</v>
      </c>
      <c r="D146" s="335" t="s">
        <v>398</v>
      </c>
      <c r="E146" s="335"/>
      <c r="F146" s="335"/>
      <c r="G146" s="336" t="s">
        <v>361</v>
      </c>
      <c r="H146" s="336"/>
      <c r="I146" s="336"/>
      <c r="J146" s="336">
        <v>13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15</v>
      </c>
      <c r="D147" s="335" t="s">
        <v>399</v>
      </c>
      <c r="E147" s="335"/>
      <c r="F147" s="335"/>
      <c r="G147" s="336" t="s">
        <v>357</v>
      </c>
      <c r="H147" s="336"/>
      <c r="I147" s="336"/>
      <c r="J147" s="336">
        <v>57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18</v>
      </c>
      <c r="D148" s="335" t="s">
        <v>400</v>
      </c>
      <c r="E148" s="335"/>
      <c r="F148" s="335"/>
      <c r="G148" s="336" t="s">
        <v>357</v>
      </c>
      <c r="H148" s="336"/>
      <c r="I148" s="336"/>
      <c r="J148" s="336">
        <v>17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</v>
      </c>
      <c r="D149" s="335" t="s">
        <v>401</v>
      </c>
      <c r="E149" s="335"/>
      <c r="F149" s="335"/>
      <c r="G149" s="336" t="s">
        <v>357</v>
      </c>
      <c r="H149" s="336"/>
      <c r="I149" s="336"/>
      <c r="J149" s="336">
        <v>70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9</v>
      </c>
      <c r="D150" s="335" t="s">
        <v>402</v>
      </c>
      <c r="E150" s="335"/>
      <c r="F150" s="335"/>
      <c r="G150" s="336" t="s">
        <v>367</v>
      </c>
      <c r="H150" s="336"/>
      <c r="I150" s="336"/>
      <c r="J150" s="336">
        <v>40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24</v>
      </c>
      <c r="D151" s="335" t="s">
        <v>396</v>
      </c>
      <c r="E151" s="335"/>
      <c r="F151" s="335"/>
      <c r="G151" s="336" t="s">
        <v>403</v>
      </c>
      <c r="H151" s="336"/>
      <c r="I151" s="336"/>
      <c r="J151" s="336">
        <v>444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18</v>
      </c>
      <c r="D152" s="335" t="s">
        <v>404</v>
      </c>
      <c r="E152" s="335"/>
      <c r="F152" s="335"/>
      <c r="G152" s="336" t="s">
        <v>374</v>
      </c>
      <c r="H152" s="336"/>
      <c r="I152" s="336"/>
      <c r="J152" s="336">
        <v>15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</v>
      </c>
      <c r="D153" s="335" t="s">
        <v>401</v>
      </c>
      <c r="E153" s="335"/>
      <c r="F153" s="335"/>
      <c r="G153" s="336" t="s">
        <v>357</v>
      </c>
      <c r="H153" s="336"/>
      <c r="I153" s="336"/>
      <c r="J153" s="336">
        <v>22</v>
      </c>
      <c r="K153" s="336"/>
      <c r="L153" s="335" t="s">
        <v>355</v>
      </c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13</v>
      </c>
      <c r="D154" s="335" t="s">
        <v>397</v>
      </c>
      <c r="E154" s="335"/>
      <c r="F154" s="335"/>
      <c r="G154" s="336" t="s">
        <v>359</v>
      </c>
      <c r="H154" s="336"/>
      <c r="I154" s="336"/>
      <c r="J154" s="336">
        <v>42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35"/>
      <c r="E155" s="335"/>
      <c r="F155" s="335"/>
      <c r="G155" s="336"/>
      <c r="H155" s="336"/>
      <c r="I155" s="336"/>
      <c r="J155" s="336"/>
      <c r="K155" s="336"/>
      <c r="L155" s="335"/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 t="s">
        <v>261</v>
      </c>
      <c r="C156" s="215">
        <v>12</v>
      </c>
      <c r="D156" s="335" t="s">
        <v>405</v>
      </c>
      <c r="E156" s="335"/>
      <c r="F156" s="335"/>
      <c r="G156" s="336" t="s">
        <v>372</v>
      </c>
      <c r="H156" s="336"/>
      <c r="I156" s="336"/>
      <c r="J156" s="336">
        <v>89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 t="s">
        <v>406</v>
      </c>
      <c r="D157" s="335" t="s">
        <v>407</v>
      </c>
      <c r="E157" s="335"/>
      <c r="F157" s="335"/>
      <c r="G157" s="336" t="s">
        <v>357</v>
      </c>
      <c r="H157" s="336"/>
      <c r="I157" s="336"/>
      <c r="J157" s="336">
        <v>27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 t="s">
        <v>378</v>
      </c>
      <c r="D158" s="335" t="s">
        <v>408</v>
      </c>
      <c r="E158" s="335"/>
      <c r="F158" s="335"/>
      <c r="G158" s="336" t="s">
        <v>367</v>
      </c>
      <c r="H158" s="336"/>
      <c r="I158" s="336"/>
      <c r="J158" s="336">
        <v>27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15</v>
      </c>
      <c r="D159" s="335" t="s">
        <v>409</v>
      </c>
      <c r="E159" s="335"/>
      <c r="F159" s="335"/>
      <c r="G159" s="336" t="s">
        <v>357</v>
      </c>
      <c r="H159" s="336"/>
      <c r="I159" s="336"/>
      <c r="J159" s="336">
        <v>45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18</v>
      </c>
      <c r="D160" s="335" t="s">
        <v>410</v>
      </c>
      <c r="E160" s="335"/>
      <c r="F160" s="335"/>
      <c r="G160" s="336" t="s">
        <v>411</v>
      </c>
      <c r="H160" s="336"/>
      <c r="I160" s="336"/>
      <c r="J160" s="336">
        <v>18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13</v>
      </c>
      <c r="D161" s="335" t="s">
        <v>412</v>
      </c>
      <c r="E161" s="335"/>
      <c r="F161" s="335"/>
      <c r="G161" s="336" t="s">
        <v>413</v>
      </c>
      <c r="H161" s="336"/>
      <c r="I161" s="336"/>
      <c r="J161" s="336">
        <v>44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19</v>
      </c>
      <c r="D162" s="335" t="s">
        <v>414</v>
      </c>
      <c r="E162" s="335"/>
      <c r="F162" s="335"/>
      <c r="G162" s="336" t="s">
        <v>415</v>
      </c>
      <c r="H162" s="336"/>
      <c r="I162" s="336"/>
      <c r="J162" s="336">
        <v>14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12</v>
      </c>
      <c r="D163" s="335" t="s">
        <v>405</v>
      </c>
      <c r="E163" s="335"/>
      <c r="F163" s="335"/>
      <c r="G163" s="336" t="s">
        <v>372</v>
      </c>
      <c r="H163" s="336"/>
      <c r="I163" s="336"/>
      <c r="J163" s="336">
        <v>87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35"/>
      <c r="E164" s="335"/>
      <c r="F164" s="335"/>
      <c r="G164" s="336"/>
      <c r="H164" s="336"/>
      <c r="I164" s="336"/>
      <c r="J164" s="336"/>
      <c r="K164" s="336"/>
      <c r="L164" s="335"/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 t="s">
        <v>267</v>
      </c>
      <c r="C165" s="215" t="s">
        <v>376</v>
      </c>
      <c r="D165" s="335" t="s">
        <v>416</v>
      </c>
      <c r="E165" s="335"/>
      <c r="F165" s="335"/>
      <c r="G165" s="336" t="s">
        <v>357</v>
      </c>
      <c r="H165" s="336"/>
      <c r="I165" s="336"/>
      <c r="J165" s="336">
        <v>46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 t="s">
        <v>378</v>
      </c>
      <c r="D166" s="335" t="s">
        <v>417</v>
      </c>
      <c r="E166" s="335"/>
      <c r="F166" s="335"/>
      <c r="G166" s="336" t="s">
        <v>367</v>
      </c>
      <c r="H166" s="336"/>
      <c r="I166" s="336"/>
      <c r="J166" s="336">
        <v>35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>
        <v>13</v>
      </c>
      <c r="D167" s="335" t="s">
        <v>418</v>
      </c>
      <c r="E167" s="335"/>
      <c r="F167" s="335"/>
      <c r="G167" s="336" t="s">
        <v>382</v>
      </c>
      <c r="H167" s="336"/>
      <c r="I167" s="336"/>
      <c r="J167" s="336">
        <v>44</v>
      </c>
      <c r="K167" s="336"/>
      <c r="L167" s="335" t="s">
        <v>355</v>
      </c>
      <c r="M167" s="335"/>
    </row>
    <row r="168" spans="1:18" ht="14.25" x14ac:dyDescent="0.2">
      <c r="B168" s="216"/>
      <c r="C168" s="215">
        <v>17</v>
      </c>
      <c r="D168" s="335" t="s">
        <v>419</v>
      </c>
      <c r="E168" s="335"/>
      <c r="F168" s="335"/>
      <c r="G168" s="336" t="s">
        <v>367</v>
      </c>
      <c r="H168" s="336"/>
      <c r="I168" s="336"/>
      <c r="J168" s="336">
        <v>17</v>
      </c>
      <c r="K168" s="336"/>
      <c r="L168" s="335" t="s">
        <v>355</v>
      </c>
      <c r="M168" s="335"/>
    </row>
    <row r="169" spans="1:18" ht="14.25" x14ac:dyDescent="0.2">
      <c r="B169" s="216"/>
      <c r="C169" s="215">
        <v>18</v>
      </c>
      <c r="D169" s="335" t="s">
        <v>420</v>
      </c>
      <c r="E169" s="335"/>
      <c r="F169" s="335"/>
      <c r="G169" s="336" t="s">
        <v>382</v>
      </c>
      <c r="H169" s="336"/>
      <c r="I169" s="336"/>
      <c r="J169" s="336">
        <v>20</v>
      </c>
      <c r="K169" s="336"/>
      <c r="L169" s="335" t="s">
        <v>355</v>
      </c>
      <c r="M169" s="335"/>
    </row>
    <row r="170" spans="1:18" ht="14.25" x14ac:dyDescent="0.2">
      <c r="B170" s="216"/>
      <c r="C170" s="215">
        <v>12</v>
      </c>
      <c r="D170" s="335" t="s">
        <v>421</v>
      </c>
      <c r="E170" s="335"/>
      <c r="F170" s="335"/>
      <c r="G170" s="336" t="s">
        <v>372</v>
      </c>
      <c r="H170" s="336"/>
      <c r="I170" s="336"/>
      <c r="J170" s="336" t="s">
        <v>422</v>
      </c>
      <c r="K170" s="336"/>
      <c r="L170" s="335" t="s">
        <v>355</v>
      </c>
      <c r="M170" s="335"/>
    </row>
    <row r="171" spans="1:18" ht="14.25" x14ac:dyDescent="0.2">
      <c r="B171" s="216"/>
      <c r="C171" s="215"/>
      <c r="D171" s="337"/>
      <c r="E171" s="338"/>
      <c r="F171" s="339"/>
      <c r="G171" s="336"/>
      <c r="H171" s="336"/>
      <c r="I171" s="336"/>
      <c r="J171" s="336"/>
      <c r="K171" s="336"/>
      <c r="L171" s="335"/>
      <c r="M171" s="335"/>
    </row>
    <row r="172" spans="1:18" ht="14.25" x14ac:dyDescent="0.2">
      <c r="B172" s="216"/>
      <c r="C172" s="215"/>
      <c r="D172" s="335"/>
      <c r="E172" s="335"/>
      <c r="F172" s="335"/>
      <c r="G172" s="336"/>
      <c r="H172" s="336"/>
      <c r="I172" s="336"/>
      <c r="J172" s="336"/>
      <c r="K172" s="336"/>
      <c r="L172" s="335"/>
      <c r="M172" s="335"/>
    </row>
    <row r="173" spans="1:18" ht="14.25" x14ac:dyDescent="0.2">
      <c r="B173" s="216"/>
      <c r="C173" s="215"/>
      <c r="D173" s="335"/>
      <c r="E173" s="335"/>
      <c r="F173" s="335"/>
      <c r="G173" s="336"/>
      <c r="H173" s="336"/>
      <c r="I173" s="336"/>
      <c r="J173" s="336"/>
      <c r="K173" s="336"/>
      <c r="L173" s="335"/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EB011B02-6307-4C05-8962-D5544BEEB84B}">
      <formula1>INDIRECT(D63)</formula1>
    </dataValidation>
  </dataValidations>
  <hyperlinks>
    <hyperlink ref="J14:L15" location="Summary!A1" display="MTD Summary " xr:uid="{388173B3-C8E7-4E80-AAE1-27AFFB77D0D3}"/>
    <hyperlink ref="J16:L17" location="Graph!A1" display="MTD Trendings" xr:uid="{65B3C1EB-97FF-47F5-BD2D-2F19E1226CAD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B291F67-1B26-4494-A6F2-24ED69B3A375}">
          <x14:formula1>
            <xm:f>List!$C$5:$C$14</xm:f>
          </x14:formula1>
          <xm:sqref>D63:D131</xm:sqref>
        </x14:dataValidation>
        <x14:dataValidation type="list" allowBlank="1" showInputMessage="1" showErrorMessage="1" xr:uid="{2CE621AA-DD12-4378-9769-EE0BC2AD53AF}">
          <x14:formula1>
            <xm:f>List!$B$10:$B$12</xm:f>
          </x14:formula1>
          <xm:sqref>C63:C131</xm:sqref>
        </x14:dataValidation>
        <x14:dataValidation type="list" allowBlank="1" showInputMessage="1" showErrorMessage="1" xr:uid="{23EDE381-4335-4CD6-A0BC-8510AC3AC17B}">
          <x14:formula1>
            <xm:f>List!$B$5:$B$8</xm:f>
          </x14:formula1>
          <xm:sqref>B63:B131</xm:sqref>
        </x14:dataValidation>
        <x14:dataValidation type="list" allowBlank="1" showInputMessage="1" showErrorMessage="1" xr:uid="{1B41C87B-80A0-4933-9979-05DEE2822D76}">
          <x14:formula1>
            <xm:f>Sheet3!$C$3:$C$4</xm:f>
          </x14:formula1>
          <xm:sqref>M63:M132</xm:sqref>
        </x14:dataValidation>
        <x14:dataValidation type="list" allowBlank="1" showInputMessage="1" xr:uid="{734CDBEC-4C61-4368-A866-7F29854CE6C5}">
          <x14:formula1>
            <xm:f>Sheet3!$D$3:$D$11</xm:f>
          </x14:formula1>
          <xm:sqref>C132</xm:sqref>
        </x14:dataValidation>
        <x14:dataValidation type="list" allowBlank="1" showInputMessage="1" showErrorMessage="1" xr:uid="{E76C6378-8FE5-41B9-82EE-6308BA3C0CCC}">
          <x14:formula1>
            <xm:f>Sheet3!$B$3:$B$5</xm:f>
          </x14:formula1>
          <xm:sqref>B143:B165 B132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BE86-70A3-41B6-89D6-57D991C35B81}">
  <sheetPr>
    <pageSetUpPr fitToPage="1"/>
  </sheetPr>
  <dimension ref="A1:R188"/>
  <sheetViews>
    <sheetView showGridLines="0" view="pageBreakPreview" topLeftCell="A29" zoomScale="90" zoomScaleNormal="90" zoomScaleSheetLayoutView="90" zoomScalePageLayoutView="80" workbookViewId="0">
      <selection activeCell="I38" sqref="I38:I39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3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1700.82</v>
      </c>
      <c r="K6" s="420"/>
      <c r="L6" s="420">
        <f ca="1">Summary!G10</f>
        <v>1372.96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130</v>
      </c>
      <c r="E7" s="84">
        <v>60</v>
      </c>
      <c r="F7" s="395">
        <v>60</v>
      </c>
      <c r="G7" s="396"/>
      <c r="H7" s="374">
        <f>SUM(D7:D10)</f>
        <v>510.33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130</v>
      </c>
      <c r="E8" s="86">
        <v>60</v>
      </c>
      <c r="F8" s="397">
        <v>60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130</v>
      </c>
      <c r="E9" s="86">
        <v>60</v>
      </c>
      <c r="F9" s="397">
        <v>60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120.33</v>
      </c>
      <c r="E10" s="88">
        <v>60</v>
      </c>
      <c r="F10" s="399">
        <v>60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120</v>
      </c>
      <c r="E11" s="90">
        <v>60</v>
      </c>
      <c r="F11" s="386">
        <v>60</v>
      </c>
      <c r="G11" s="387"/>
      <c r="H11" s="388">
        <f>SUM(D11:D14)</f>
        <v>560.27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130</v>
      </c>
      <c r="E12" s="92">
        <v>60</v>
      </c>
      <c r="F12" s="391">
        <v>60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140</v>
      </c>
      <c r="E13" s="92">
        <v>60</v>
      </c>
      <c r="F13" s="391">
        <v>60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170.27</v>
      </c>
      <c r="E14" s="92">
        <v>60</v>
      </c>
      <c r="F14" s="393">
        <v>60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140</v>
      </c>
      <c r="E15" s="98">
        <v>60</v>
      </c>
      <c r="F15" s="372">
        <v>60</v>
      </c>
      <c r="G15" s="373"/>
      <c r="H15" s="374">
        <f>SUM(D15:D18)</f>
        <v>630.22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170</v>
      </c>
      <c r="E16" s="98">
        <v>60</v>
      </c>
      <c r="F16" s="401">
        <v>60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160</v>
      </c>
      <c r="E17" s="98">
        <v>60</v>
      </c>
      <c r="F17" s="401">
        <v>60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160.22</v>
      </c>
      <c r="E18" s="100">
        <v>60</v>
      </c>
      <c r="F18" s="404">
        <v>60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1700.82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6</v>
      </c>
      <c r="D25" s="102">
        <v>100</v>
      </c>
      <c r="E25" s="56">
        <v>7</v>
      </c>
      <c r="F25" s="107"/>
      <c r="G25" s="410">
        <v>8</v>
      </c>
      <c r="H25" s="411"/>
      <c r="I25" s="111"/>
      <c r="J25" s="38">
        <f t="shared" ref="J25:J40" si="0">C25+E25+G25</f>
        <v>21</v>
      </c>
      <c r="K25" s="412">
        <f>D25+F25+I25</f>
        <v>100</v>
      </c>
      <c r="L25" s="413"/>
      <c r="M25" s="2"/>
    </row>
    <row r="26" spans="2:14" ht="14.1" customHeight="1" x14ac:dyDescent="0.2">
      <c r="B26" s="80" t="s">
        <v>281</v>
      </c>
      <c r="C26" s="45">
        <v>4</v>
      </c>
      <c r="D26" s="103">
        <v>134</v>
      </c>
      <c r="E26" s="57">
        <v>4</v>
      </c>
      <c r="F26" s="108">
        <v>90</v>
      </c>
      <c r="G26" s="406">
        <v>5</v>
      </c>
      <c r="H26" s="407"/>
      <c r="I26" s="112">
        <v>192</v>
      </c>
      <c r="J26" s="25">
        <f t="shared" si="0"/>
        <v>13</v>
      </c>
      <c r="K26" s="408">
        <f t="shared" ref="K26:K39" si="1">D26+F26+I26</f>
        <v>416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102</v>
      </c>
      <c r="E27" s="57"/>
      <c r="F27" s="108">
        <v>106</v>
      </c>
      <c r="G27" s="406"/>
      <c r="H27" s="407"/>
      <c r="I27" s="112">
        <v>168</v>
      </c>
      <c r="J27" s="25">
        <f t="shared" si="0"/>
        <v>0</v>
      </c>
      <c r="K27" s="408">
        <f t="shared" si="1"/>
        <v>376</v>
      </c>
      <c r="L27" s="409"/>
      <c r="M27" s="2"/>
    </row>
    <row r="28" spans="2:14" ht="14.1" customHeight="1" x14ac:dyDescent="0.2">
      <c r="B28" s="80" t="s">
        <v>283</v>
      </c>
      <c r="C28" s="45">
        <v>6</v>
      </c>
      <c r="D28" s="103"/>
      <c r="E28" s="57">
        <v>5</v>
      </c>
      <c r="F28" s="108"/>
      <c r="G28" s="406">
        <v>6</v>
      </c>
      <c r="H28" s="407"/>
      <c r="I28" s="112"/>
      <c r="J28" s="25">
        <f t="shared" si="0"/>
        <v>17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4</v>
      </c>
      <c r="D29" s="103"/>
      <c r="E29" s="57">
        <v>4</v>
      </c>
      <c r="F29" s="108"/>
      <c r="G29" s="406">
        <v>2</v>
      </c>
      <c r="H29" s="407"/>
      <c r="I29" s="112"/>
      <c r="J29" s="25">
        <f t="shared" si="0"/>
        <v>10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/>
      <c r="D30" s="103">
        <v>25.5</v>
      </c>
      <c r="E30" s="57">
        <v>1</v>
      </c>
      <c r="F30" s="108">
        <v>27</v>
      </c>
      <c r="G30" s="406">
        <v>3</v>
      </c>
      <c r="H30" s="407"/>
      <c r="I30" s="112">
        <v>36.700000000000003</v>
      </c>
      <c r="J30" s="25">
        <f t="shared" si="0"/>
        <v>4</v>
      </c>
      <c r="K30" s="408">
        <f t="shared" si="1"/>
        <v>89.2</v>
      </c>
      <c r="L30" s="409"/>
    </row>
    <row r="31" spans="2:14" ht="14.1" customHeight="1" x14ac:dyDescent="0.2">
      <c r="B31" s="80" t="s">
        <v>286</v>
      </c>
      <c r="C31" s="45">
        <v>2</v>
      </c>
      <c r="D31" s="103"/>
      <c r="E31" s="57">
        <v>3</v>
      </c>
      <c r="F31" s="108"/>
      <c r="G31" s="406">
        <v>2</v>
      </c>
      <c r="H31" s="407"/>
      <c r="I31" s="112"/>
      <c r="J31" s="25">
        <f t="shared" si="0"/>
        <v>7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1</v>
      </c>
      <c r="F32" s="108"/>
      <c r="G32" s="406"/>
      <c r="H32" s="407"/>
      <c r="I32" s="112"/>
      <c r="J32" s="25">
        <f t="shared" si="0"/>
        <v>2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/>
      <c r="G33" s="406"/>
      <c r="H33" s="407"/>
      <c r="I33" s="112"/>
      <c r="J33" s="25">
        <f t="shared" si="0"/>
        <v>0</v>
      </c>
      <c r="K33" s="408">
        <f t="shared" si="1"/>
        <v>0</v>
      </c>
      <c r="L33" s="409"/>
    </row>
    <row r="34" spans="1:16" ht="14.1" customHeight="1" x14ac:dyDescent="0.2">
      <c r="B34" s="80" t="s">
        <v>289</v>
      </c>
      <c r="C34" s="45">
        <v>1</v>
      </c>
      <c r="D34" s="103"/>
      <c r="E34" s="57"/>
      <c r="F34" s="108"/>
      <c r="G34" s="406">
        <v>1</v>
      </c>
      <c r="H34" s="407"/>
      <c r="I34" s="112"/>
      <c r="J34" s="25">
        <f t="shared" si="0"/>
        <v>2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>
        <v>36</v>
      </c>
      <c r="E36" s="58"/>
      <c r="F36" s="109">
        <v>12</v>
      </c>
      <c r="G36" s="406"/>
      <c r="H36" s="407"/>
      <c r="I36" s="113"/>
      <c r="J36" s="25">
        <f t="shared" si="0"/>
        <v>0</v>
      </c>
      <c r="K36" s="408">
        <f t="shared" si="1"/>
        <v>48</v>
      </c>
      <c r="L36" s="409"/>
    </row>
    <row r="37" spans="1:16" ht="14.1" customHeight="1" x14ac:dyDescent="0.2">
      <c r="B37" s="37" t="s">
        <v>292</v>
      </c>
      <c r="C37" s="55"/>
      <c r="D37" s="104">
        <v>11</v>
      </c>
      <c r="E37" s="58"/>
      <c r="F37" s="109"/>
      <c r="G37" s="406"/>
      <c r="H37" s="407"/>
      <c r="I37" s="113">
        <v>4</v>
      </c>
      <c r="J37" s="25">
        <f t="shared" si="0"/>
        <v>0</v>
      </c>
      <c r="K37" s="408">
        <f t="shared" si="1"/>
        <v>15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v>120</v>
      </c>
      <c r="J38" s="25">
        <f t="shared" si="0"/>
        <v>0</v>
      </c>
      <c r="K38" s="408">
        <f t="shared" si="1"/>
        <v>120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60</v>
      </c>
      <c r="J39" s="25">
        <f t="shared" si="0"/>
        <v>0</v>
      </c>
      <c r="K39" s="408">
        <f t="shared" si="1"/>
        <v>60</v>
      </c>
      <c r="L39" s="409"/>
    </row>
    <row r="40" spans="1:16" ht="14.1" customHeight="1" thickBot="1" x14ac:dyDescent="0.25">
      <c r="B40" s="81" t="s">
        <v>295</v>
      </c>
      <c r="C40" s="47"/>
      <c r="D40" s="105">
        <v>94.8</v>
      </c>
      <c r="E40" s="59"/>
      <c r="F40" s="110">
        <v>49.92</v>
      </c>
      <c r="G40" s="473"/>
      <c r="H40" s="474"/>
      <c r="I40" s="114">
        <v>44.04</v>
      </c>
      <c r="J40" s="26">
        <f t="shared" si="0"/>
        <v>0</v>
      </c>
      <c r="K40" s="475">
        <f>D40+F40+I40</f>
        <v>188.76</v>
      </c>
      <c r="L40" s="476"/>
    </row>
    <row r="41" spans="1:16" ht="17.25" customHeight="1" x14ac:dyDescent="0.2">
      <c r="B41" s="15" t="s">
        <v>273</v>
      </c>
      <c r="C41" s="16">
        <f>SUM(C25:C40)</f>
        <v>24</v>
      </c>
      <c r="D41" s="106">
        <f>SUM(D25:D40)</f>
        <v>503.3</v>
      </c>
      <c r="E41" s="16">
        <f>SUM(E25:E40)</f>
        <v>25</v>
      </c>
      <c r="F41" s="106">
        <f>SUM(F25:F40)</f>
        <v>284.92</v>
      </c>
      <c r="G41" s="430">
        <f>SUM(G25:H40)</f>
        <v>27</v>
      </c>
      <c r="H41" s="430"/>
      <c r="I41" s="106">
        <f>SUM(I25:I40)</f>
        <v>624.74</v>
      </c>
      <c r="J41" s="16">
        <f>SUM(J25:J40)</f>
        <v>76</v>
      </c>
      <c r="K41" s="477">
        <f>SUM(K25:L40)</f>
        <v>1412.96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>
        <v>0</v>
      </c>
      <c r="D45" s="210"/>
      <c r="E45" s="209">
        <v>0.1</v>
      </c>
      <c r="F45" s="210"/>
      <c r="G45" s="471">
        <v>0</v>
      </c>
      <c r="H45" s="472"/>
      <c r="I45" s="210">
        <v>0.05</v>
      </c>
      <c r="J45" s="210">
        <v>0.5</v>
      </c>
      <c r="K45" s="209">
        <v>0.45</v>
      </c>
      <c r="L45" s="210">
        <v>0.6</v>
      </c>
      <c r="M45" s="211">
        <v>0.9</v>
      </c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5</v>
      </c>
      <c r="F46" s="40">
        <f>F45*50</f>
        <v>0</v>
      </c>
      <c r="G46" s="438">
        <f>G45*50</f>
        <v>0</v>
      </c>
      <c r="H46" s="439"/>
      <c r="I46" s="40">
        <f>I45*65</f>
        <v>3.25</v>
      </c>
      <c r="J46" s="40">
        <f>J45*50</f>
        <v>25</v>
      </c>
      <c r="K46" s="40">
        <f>K45*50</f>
        <v>22.5</v>
      </c>
      <c r="L46" s="40">
        <f>L45*50</f>
        <v>30</v>
      </c>
      <c r="M46" s="79">
        <f>M45*50</f>
        <v>45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>
        <v>0</v>
      </c>
      <c r="D48" s="209">
        <v>0</v>
      </c>
      <c r="E48" s="209">
        <v>0</v>
      </c>
      <c r="F48" s="209">
        <v>0.3</v>
      </c>
      <c r="G48" s="442">
        <v>0.3</v>
      </c>
      <c r="H48" s="443"/>
      <c r="I48" s="209">
        <v>0.6</v>
      </c>
      <c r="J48" s="209">
        <v>0</v>
      </c>
      <c r="K48" s="209">
        <v>0.1</v>
      </c>
      <c r="L48" s="209">
        <v>0.2</v>
      </c>
      <c r="M48" s="211">
        <v>0.2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48</v>
      </c>
      <c r="G49" s="438">
        <f>G48*100</f>
        <v>30</v>
      </c>
      <c r="H49" s="439"/>
      <c r="I49" s="40">
        <f>I48*100</f>
        <v>60</v>
      </c>
      <c r="J49" s="40">
        <f>J48*150</f>
        <v>0</v>
      </c>
      <c r="K49" s="40">
        <f>K48*70</f>
        <v>7</v>
      </c>
      <c r="L49" s="40">
        <f>L48*70</f>
        <v>14</v>
      </c>
      <c r="M49" s="79">
        <f>M48*70</f>
        <v>14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0.4</v>
      </c>
      <c r="D51" s="213">
        <v>0.1</v>
      </c>
      <c r="E51" s="214">
        <v>0.1</v>
      </c>
      <c r="F51" s="209"/>
      <c r="G51" s="442"/>
      <c r="H51" s="443"/>
      <c r="I51" s="209">
        <v>0</v>
      </c>
      <c r="J51" s="209">
        <v>0.03</v>
      </c>
      <c r="K51" s="209">
        <v>0.1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28</v>
      </c>
      <c r="D52" s="41">
        <f>D51*70</f>
        <v>7</v>
      </c>
      <c r="E52" s="41">
        <f>E51*70</f>
        <v>7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7.5</v>
      </c>
      <c r="K52" s="41">
        <f>K51*250</f>
        <v>25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378.25</v>
      </c>
      <c r="F54" s="39" t="s">
        <v>309</v>
      </c>
      <c r="G54" s="188"/>
      <c r="H54" s="188"/>
      <c r="I54" s="30">
        <f>'2'!D54</f>
        <v>358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>
        <v>173000</v>
      </c>
      <c r="D58" s="60">
        <v>19000</v>
      </c>
      <c r="E58" s="124">
        <f>SUM(C58:D58)</f>
        <v>192000</v>
      </c>
      <c r="F58" s="425"/>
      <c r="G58" s="426"/>
      <c r="H58" s="60">
        <v>4011</v>
      </c>
      <c r="I58" s="61">
        <v>2272</v>
      </c>
      <c r="J58" s="422"/>
      <c r="K58" s="428"/>
      <c r="L58" s="60">
        <v>6616.19</v>
      </c>
      <c r="M58" s="61">
        <f>L58/3</f>
        <v>2205.3966666666665</v>
      </c>
      <c r="N58" s="288">
        <v>3.89</v>
      </c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112.88672522665539</v>
      </c>
      <c r="D59" s="432"/>
      <c r="E59" s="433"/>
      <c r="F59" s="434" t="s">
        <v>321</v>
      </c>
      <c r="G59" s="435"/>
      <c r="H59" s="436">
        <f>IF(ISERROR(SUM(H58:I58)/$H$19),"",(SUM(H58:I58)/$H$19))</f>
        <v>3.6941004927035195</v>
      </c>
      <c r="I59" s="437"/>
      <c r="J59" s="434" t="s">
        <v>322</v>
      </c>
      <c r="K59" s="435"/>
      <c r="L59" s="115">
        <f>IF(ISERROR(L58/$H$19),"",(L58/$H$19))</f>
        <v>3.8900001175903385</v>
      </c>
      <c r="M59" s="116">
        <f>IF(ISERROR(M58/$H$19),"",(M58/$H$19))</f>
        <v>1.2966667058634462</v>
      </c>
      <c r="N59" s="194">
        <f>N58*H19</f>
        <v>6616.1898000000001</v>
      </c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 t="e">
        <f>SUM(N63:N132)</f>
        <v>#VALUE!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17</v>
      </c>
      <c r="C63" s="236" t="s">
        <v>22</v>
      </c>
      <c r="D63" s="236" t="s">
        <v>20</v>
      </c>
      <c r="E63" s="322"/>
      <c r="F63" s="324"/>
      <c r="G63" s="322" t="s">
        <v>423</v>
      </c>
      <c r="H63" s="323"/>
      <c r="I63" s="323"/>
      <c r="J63" s="324"/>
      <c r="K63" s="238">
        <v>0.3611111111111111</v>
      </c>
      <c r="L63" s="238">
        <v>0.40277777777777773</v>
      </c>
      <c r="M63" s="236" t="s">
        <v>9</v>
      </c>
      <c r="N63" s="237">
        <f t="shared" ref="N63:N126" si="2">IF(M63="No","",IF(M63="Yes",(L63-K63+(L63&lt;K63)),""))</f>
        <v>4.166666666666663E-2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20</v>
      </c>
      <c r="E64" s="322"/>
      <c r="F64" s="324"/>
      <c r="G64" s="322" t="s">
        <v>424</v>
      </c>
      <c r="H64" s="323"/>
      <c r="I64" s="323"/>
      <c r="J64" s="324"/>
      <c r="K64" s="238">
        <v>0.40277777777777773</v>
      </c>
      <c r="L64" s="238"/>
      <c r="M64" s="236" t="s">
        <v>9</v>
      </c>
      <c r="N64" s="237">
        <f t="shared" si="2"/>
        <v>0.59722222222222232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11</v>
      </c>
      <c r="E65" s="322"/>
      <c r="F65" s="324"/>
      <c r="G65" s="322" t="s">
        <v>425</v>
      </c>
      <c r="H65" s="323"/>
      <c r="I65" s="323"/>
      <c r="J65" s="324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322"/>
      <c r="F66" s="324"/>
      <c r="G66" s="322" t="s">
        <v>426</v>
      </c>
      <c r="H66" s="323"/>
      <c r="I66" s="323"/>
      <c r="J66" s="324"/>
      <c r="K66" s="239">
        <v>0.45833333333333331</v>
      </c>
      <c r="L66" s="239">
        <v>0.5</v>
      </c>
      <c r="M66" s="236" t="s">
        <v>9</v>
      </c>
      <c r="N66" s="237">
        <f t="shared" si="2"/>
        <v>4.1666666666666685E-2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20</v>
      </c>
      <c r="E67" s="322"/>
      <c r="F67" s="324"/>
      <c r="G67" s="322" t="s">
        <v>427</v>
      </c>
      <c r="H67" s="323"/>
      <c r="I67" s="323"/>
      <c r="J67" s="324"/>
      <c r="K67" s="238">
        <v>0.375</v>
      </c>
      <c r="L67" s="238">
        <v>0.3888888888888889</v>
      </c>
      <c r="M67" s="236" t="s">
        <v>9</v>
      </c>
      <c r="N67" s="237">
        <f t="shared" si="2"/>
        <v>1.3888888888888895E-2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23</v>
      </c>
      <c r="E68" s="322"/>
      <c r="F68" s="324"/>
      <c r="G68" s="322" t="s">
        <v>427</v>
      </c>
      <c r="H68" s="323"/>
      <c r="I68" s="323"/>
      <c r="J68" s="324"/>
      <c r="K68" s="239">
        <v>0.3611111111111111</v>
      </c>
      <c r="L68" s="239">
        <v>0.375</v>
      </c>
      <c r="M68" s="236" t="s">
        <v>9</v>
      </c>
      <c r="N68" s="237">
        <f t="shared" si="2"/>
        <v>1.3888888888888895E-2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26</v>
      </c>
      <c r="E69" s="322"/>
      <c r="F69" s="324"/>
      <c r="G69" s="322" t="s">
        <v>427</v>
      </c>
      <c r="H69" s="323"/>
      <c r="I69" s="323"/>
      <c r="J69" s="324"/>
      <c r="K69" s="239">
        <v>0.34027777777777773</v>
      </c>
      <c r="L69" s="239">
        <v>0.3611111111111111</v>
      </c>
      <c r="M69" s="236" t="s">
        <v>9</v>
      </c>
      <c r="N69" s="237">
        <f t="shared" si="2"/>
        <v>2.083333333333337E-2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29</v>
      </c>
      <c r="E70" s="322"/>
      <c r="F70" s="324"/>
      <c r="G70" s="4" t="s">
        <v>427</v>
      </c>
      <c r="H70" t="s">
        <v>427</v>
      </c>
      <c r="K70" s="239">
        <v>0.3611111111111111</v>
      </c>
      <c r="L70" s="239">
        <v>0.39583333333333331</v>
      </c>
      <c r="M70" s="236" t="s">
        <v>9</v>
      </c>
      <c r="N70" s="237">
        <f t="shared" si="2"/>
        <v>3.472222222222221E-2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322"/>
      <c r="F71" s="324"/>
      <c r="G71" s="322"/>
      <c r="H71" s="323"/>
      <c r="I71" s="323"/>
      <c r="J71" s="324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 t="s">
        <v>6</v>
      </c>
      <c r="C72" s="236" t="s">
        <v>25</v>
      </c>
      <c r="D72" s="236" t="s">
        <v>20</v>
      </c>
      <c r="E72" s="322"/>
      <c r="F72" s="324"/>
      <c r="G72" s="322" t="s">
        <v>428</v>
      </c>
      <c r="H72" s="323"/>
      <c r="I72" s="323"/>
      <c r="J72" s="324"/>
      <c r="K72" s="239">
        <v>0.79166666666666663</v>
      </c>
      <c r="L72" s="239">
        <v>0.82638888888888884</v>
      </c>
      <c r="M72" s="236" t="s">
        <v>9</v>
      </c>
      <c r="N72" s="237">
        <f t="shared" si="2"/>
        <v>3.472222222222221E-2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20</v>
      </c>
      <c r="E73" s="322"/>
      <c r="F73" s="324"/>
      <c r="G73" s="322" t="s">
        <v>429</v>
      </c>
      <c r="H73" s="323"/>
      <c r="I73" s="323"/>
      <c r="J73" s="324"/>
      <c r="K73" s="239">
        <v>0.82638888888888884</v>
      </c>
      <c r="L73" s="239">
        <v>0.90972222222222221</v>
      </c>
      <c r="M73" s="236" t="s">
        <v>9</v>
      </c>
      <c r="N73" s="237">
        <f t="shared" si="2"/>
        <v>8.333333333333337E-2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29</v>
      </c>
      <c r="E74" s="322" t="s">
        <v>41</v>
      </c>
      <c r="F74" s="324"/>
      <c r="G74" s="322" t="s">
        <v>430</v>
      </c>
      <c r="H74" s="323"/>
      <c r="I74" s="323"/>
      <c r="J74" s="324"/>
      <c r="K74" s="238">
        <v>0.83333333333333337</v>
      </c>
      <c r="L74" s="238">
        <v>0.85416666666666663</v>
      </c>
      <c r="M74" s="236" t="s">
        <v>9</v>
      </c>
      <c r="N74" s="237">
        <f t="shared" si="2"/>
        <v>2.0833333333333259E-2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29</v>
      </c>
      <c r="E75" s="322"/>
      <c r="F75" s="324"/>
      <c r="G75" s="322" t="s">
        <v>431</v>
      </c>
      <c r="H75" s="323"/>
      <c r="I75" s="323"/>
      <c r="J75" s="324"/>
      <c r="K75" s="239">
        <v>0.77777777777777779</v>
      </c>
      <c r="L75" s="239">
        <v>0.79166666666666663</v>
      </c>
      <c r="M75" s="236" t="s">
        <v>9</v>
      </c>
      <c r="N75" s="237">
        <f t="shared" si="2"/>
        <v>1.388888888888884E-2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18</v>
      </c>
      <c r="E76" s="322" t="s">
        <v>91</v>
      </c>
      <c r="F76" s="324"/>
      <c r="G76" s="322" t="s">
        <v>432</v>
      </c>
      <c r="H76" s="323"/>
      <c r="I76" s="323"/>
      <c r="J76" s="324"/>
      <c r="K76" s="239">
        <v>0.6875</v>
      </c>
      <c r="L76" s="239">
        <v>0.75</v>
      </c>
      <c r="M76" s="236" t="s">
        <v>9</v>
      </c>
      <c r="N76" s="237">
        <f t="shared" si="2"/>
        <v>6.25E-2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322"/>
      <c r="F77" s="324"/>
      <c r="G77" s="322"/>
      <c r="H77" s="323"/>
      <c r="I77" s="323"/>
      <c r="J77" s="324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/>
      <c r="H78" s="323"/>
      <c r="I78" s="323"/>
      <c r="J78" s="324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 t="s">
        <v>10</v>
      </c>
      <c r="C79" s="236" t="s">
        <v>28</v>
      </c>
      <c r="D79" s="236" t="s">
        <v>20</v>
      </c>
      <c r="E79" s="322"/>
      <c r="F79" s="324"/>
      <c r="G79" s="322" t="s">
        <v>433</v>
      </c>
      <c r="H79" s="323"/>
      <c r="I79" s="323"/>
      <c r="J79" s="324"/>
      <c r="K79" s="239">
        <v>0.97916666666666663</v>
      </c>
      <c r="L79" s="239">
        <v>1.0208333333333333</v>
      </c>
      <c r="M79" s="236" t="s">
        <v>339</v>
      </c>
      <c r="N79" s="237">
        <f t="shared" si="2"/>
        <v>4.166666666666663E-2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 t="s">
        <v>23</v>
      </c>
      <c r="E80" s="322"/>
      <c r="F80" s="324"/>
      <c r="G80" s="322" t="s">
        <v>338</v>
      </c>
      <c r="H80" s="323"/>
      <c r="I80" s="323"/>
      <c r="J80" s="324"/>
      <c r="K80" s="239">
        <v>0.90277777777777779</v>
      </c>
      <c r="L80" s="239" t="s">
        <v>434</v>
      </c>
      <c r="M80" s="236" t="s">
        <v>339</v>
      </c>
      <c r="N80" s="237" t="e">
        <f t="shared" si="2"/>
        <v>#VALUE!</v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322"/>
      <c r="F81" s="324"/>
      <c r="G81" s="322"/>
      <c r="H81" s="323"/>
      <c r="I81" s="323"/>
      <c r="J81" s="324"/>
      <c r="K81" s="239">
        <v>0.99305555555555547</v>
      </c>
      <c r="L81" s="239">
        <v>5.5555555555555552E-2</v>
      </c>
      <c r="M81" s="236" t="s">
        <v>339</v>
      </c>
      <c r="N81" s="237">
        <f t="shared" si="2"/>
        <v>6.2500000000000111E-2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>
        <v>0.1111111111111111</v>
      </c>
      <c r="L82" s="239">
        <v>0.15277777777777776</v>
      </c>
      <c r="M82" s="236" t="s">
        <v>339</v>
      </c>
      <c r="N82" s="237">
        <f t="shared" si="2"/>
        <v>4.1666666666666657E-2</v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 t="s">
        <v>23</v>
      </c>
      <c r="E83" s="322"/>
      <c r="F83" s="324"/>
      <c r="G83" s="322" t="s">
        <v>435</v>
      </c>
      <c r="H83" s="323"/>
      <c r="I83" s="323"/>
      <c r="J83" s="324"/>
      <c r="K83" s="239">
        <v>0.20138888888888887</v>
      </c>
      <c r="L83" s="239">
        <v>0.22222222222222221</v>
      </c>
      <c r="M83" s="236" t="s">
        <v>339</v>
      </c>
      <c r="N83" s="237">
        <f t="shared" si="2"/>
        <v>2.0833333333333343E-2</v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/>
      <c r="D136" s="481"/>
      <c r="E136" s="463" t="s">
        <v>436</v>
      </c>
      <c r="F136" s="464"/>
      <c r="G136" s="452" t="s">
        <v>437</v>
      </c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438</v>
      </c>
      <c r="D137" s="479"/>
      <c r="E137" s="463" t="s">
        <v>395</v>
      </c>
      <c r="F137" s="464"/>
      <c r="G137" s="452"/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 t="s">
        <v>255</v>
      </c>
      <c r="C143" s="215">
        <v>9</v>
      </c>
      <c r="D143" s="335" t="s">
        <v>439</v>
      </c>
      <c r="E143" s="335"/>
      <c r="F143" s="335"/>
      <c r="G143" s="336" t="s">
        <v>367</v>
      </c>
      <c r="H143" s="336"/>
      <c r="I143" s="336"/>
      <c r="J143" s="336">
        <v>36</v>
      </c>
      <c r="K143" s="336"/>
      <c r="L143" s="335" t="s">
        <v>355</v>
      </c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/>
      <c r="C144" s="215"/>
      <c r="D144" s="335" t="s">
        <v>440</v>
      </c>
      <c r="E144" s="335"/>
      <c r="F144" s="335"/>
      <c r="G144" s="336" t="s">
        <v>441</v>
      </c>
      <c r="H144" s="336"/>
      <c r="I144" s="336"/>
      <c r="J144" s="336">
        <v>38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13</v>
      </c>
      <c r="D145" s="335" t="s">
        <v>442</v>
      </c>
      <c r="E145" s="335"/>
      <c r="F145" s="335"/>
      <c r="G145" s="336" t="s">
        <v>357</v>
      </c>
      <c r="H145" s="336"/>
      <c r="I145" s="336"/>
      <c r="J145" s="336" t="s">
        <v>443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18</v>
      </c>
      <c r="D146" s="335" t="s">
        <v>444</v>
      </c>
      <c r="E146" s="335"/>
      <c r="F146" s="335"/>
      <c r="G146" s="336" t="s">
        <v>411</v>
      </c>
      <c r="H146" s="336"/>
      <c r="I146" s="336"/>
      <c r="J146" s="336">
        <v>21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17</v>
      </c>
      <c r="D147" s="335" t="s">
        <v>445</v>
      </c>
      <c r="E147" s="335"/>
      <c r="F147" s="335"/>
      <c r="G147" s="336" t="s">
        <v>446</v>
      </c>
      <c r="H147" s="336"/>
      <c r="I147" s="336"/>
      <c r="J147" s="336">
        <v>15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14</v>
      </c>
      <c r="D148" s="335" t="s">
        <v>439</v>
      </c>
      <c r="E148" s="335"/>
      <c r="F148" s="335"/>
      <c r="G148" s="336" t="s">
        <v>447</v>
      </c>
      <c r="H148" s="336"/>
      <c r="I148" s="336"/>
      <c r="J148" s="336">
        <v>28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3</v>
      </c>
      <c r="D149" s="335" t="s">
        <v>401</v>
      </c>
      <c r="E149" s="335"/>
      <c r="F149" s="335"/>
      <c r="G149" s="336" t="s">
        <v>357</v>
      </c>
      <c r="H149" s="336"/>
      <c r="I149" s="336"/>
      <c r="J149" s="336" t="s">
        <v>448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15</v>
      </c>
      <c r="D150" s="335" t="s">
        <v>399</v>
      </c>
      <c r="E150" s="335"/>
      <c r="F150" s="335"/>
      <c r="G150" s="336" t="s">
        <v>357</v>
      </c>
      <c r="H150" s="336"/>
      <c r="I150" s="336"/>
      <c r="J150" s="336" t="s">
        <v>449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35" t="s">
        <v>450</v>
      </c>
      <c r="E151" s="335"/>
      <c r="F151" s="335"/>
      <c r="G151" s="336" t="s">
        <v>365</v>
      </c>
      <c r="H151" s="336"/>
      <c r="I151" s="336"/>
      <c r="J151" s="336">
        <v>3456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1</v>
      </c>
      <c r="D152" s="335" t="s">
        <v>451</v>
      </c>
      <c r="E152" s="335"/>
      <c r="F152" s="335"/>
      <c r="G152" s="336" t="s">
        <v>357</v>
      </c>
      <c r="H152" s="336"/>
      <c r="I152" s="336"/>
      <c r="J152" s="336">
        <v>45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13</v>
      </c>
      <c r="D153" s="335" t="s">
        <v>442</v>
      </c>
      <c r="E153" s="335"/>
      <c r="F153" s="335"/>
      <c r="G153" s="336" t="s">
        <v>357</v>
      </c>
      <c r="H153" s="336"/>
      <c r="I153" s="336"/>
      <c r="J153" s="336">
        <v>32</v>
      </c>
      <c r="K153" s="336"/>
      <c r="L153" s="335" t="s">
        <v>355</v>
      </c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17</v>
      </c>
      <c r="D154" s="335" t="s">
        <v>444</v>
      </c>
      <c r="E154" s="335"/>
      <c r="F154" s="335"/>
      <c r="G154" s="336" t="s">
        <v>367</v>
      </c>
      <c r="H154" s="336"/>
      <c r="I154" s="336"/>
      <c r="J154" s="336">
        <v>16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13</v>
      </c>
      <c r="D155" s="335" t="s">
        <v>452</v>
      </c>
      <c r="E155" s="335"/>
      <c r="F155" s="335"/>
      <c r="G155" s="336" t="s">
        <v>359</v>
      </c>
      <c r="H155" s="336"/>
      <c r="I155" s="336"/>
      <c r="J155" s="336">
        <v>46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335"/>
      <c r="E156" s="335"/>
      <c r="F156" s="335"/>
      <c r="G156" s="336"/>
      <c r="H156" s="336"/>
      <c r="I156" s="336"/>
      <c r="J156" s="336"/>
      <c r="K156" s="336"/>
      <c r="L156" s="335"/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 t="s">
        <v>261</v>
      </c>
      <c r="C157" s="215">
        <v>3</v>
      </c>
      <c r="D157" s="335" t="s">
        <v>453</v>
      </c>
      <c r="E157" s="335"/>
      <c r="F157" s="335"/>
      <c r="G157" s="336" t="s">
        <v>357</v>
      </c>
      <c r="H157" s="336"/>
      <c r="I157" s="336"/>
      <c r="J157" s="336">
        <v>71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 t="s">
        <v>378</v>
      </c>
      <c r="D158" s="335" t="s">
        <v>454</v>
      </c>
      <c r="E158" s="335"/>
      <c r="F158" s="335"/>
      <c r="G158" s="336" t="s">
        <v>367</v>
      </c>
      <c r="H158" s="336"/>
      <c r="I158" s="336"/>
      <c r="J158" s="336">
        <v>44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14</v>
      </c>
      <c r="D159" s="335" t="s">
        <v>455</v>
      </c>
      <c r="E159" s="335"/>
      <c r="F159" s="335"/>
      <c r="G159" s="336" t="s">
        <v>456</v>
      </c>
      <c r="H159" s="336"/>
      <c r="I159" s="336"/>
      <c r="J159" s="336">
        <v>23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17</v>
      </c>
      <c r="D160" s="335" t="s">
        <v>457</v>
      </c>
      <c r="E160" s="335"/>
      <c r="F160" s="335"/>
      <c r="G160" s="336" t="s">
        <v>367</v>
      </c>
      <c r="H160" s="336"/>
      <c r="I160" s="336"/>
      <c r="J160" s="336">
        <v>12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3</v>
      </c>
      <c r="D161" s="335" t="s">
        <v>453</v>
      </c>
      <c r="E161" s="335"/>
      <c r="F161" s="335"/>
      <c r="G161" s="336" t="s">
        <v>357</v>
      </c>
      <c r="H161" s="336"/>
      <c r="I161" s="336"/>
      <c r="J161" s="336">
        <v>73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24</v>
      </c>
      <c r="D162" s="335" t="s">
        <v>458</v>
      </c>
      <c r="E162" s="335"/>
      <c r="F162" s="335"/>
      <c r="G162" s="336" t="s">
        <v>403</v>
      </c>
      <c r="H162" s="336"/>
      <c r="I162" s="336"/>
      <c r="J162" s="336">
        <v>386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12</v>
      </c>
      <c r="D163" s="335" t="s">
        <v>459</v>
      </c>
      <c r="E163" s="335"/>
      <c r="F163" s="335"/>
      <c r="G163" s="336" t="s">
        <v>372</v>
      </c>
      <c r="H163" s="336"/>
      <c r="I163" s="336"/>
      <c r="J163" s="336">
        <v>98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13</v>
      </c>
      <c r="D164" s="335" t="s">
        <v>460</v>
      </c>
      <c r="E164" s="335"/>
      <c r="F164" s="335"/>
      <c r="G164" s="336" t="s">
        <v>413</v>
      </c>
      <c r="H164" s="336"/>
      <c r="I164" s="336"/>
      <c r="J164" s="336">
        <v>12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18</v>
      </c>
      <c r="D165" s="335" t="s">
        <v>461</v>
      </c>
      <c r="E165" s="335"/>
      <c r="F165" s="335"/>
      <c r="G165" s="336" t="s">
        <v>413</v>
      </c>
      <c r="H165" s="336"/>
      <c r="I165" s="336"/>
      <c r="J165" s="336">
        <v>13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35"/>
      <c r="E166" s="335"/>
      <c r="F166" s="335"/>
      <c r="G166" s="336"/>
      <c r="H166" s="336"/>
      <c r="I166" s="336"/>
      <c r="J166" s="336"/>
      <c r="K166" s="336"/>
      <c r="L166" s="335"/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/>
      <c r="D167" s="335"/>
      <c r="E167" s="335"/>
      <c r="F167" s="335"/>
      <c r="G167" s="336"/>
      <c r="H167" s="336"/>
      <c r="I167" s="336"/>
      <c r="J167" s="336"/>
      <c r="K167" s="336"/>
      <c r="L167" s="335"/>
      <c r="M167" s="335"/>
    </row>
    <row r="168" spans="1:18" ht="14.25" x14ac:dyDescent="0.2">
      <c r="B168" s="216" t="s">
        <v>462</v>
      </c>
      <c r="C168" s="215" t="s">
        <v>378</v>
      </c>
      <c r="D168" s="335" t="s">
        <v>463</v>
      </c>
      <c r="E168" s="335"/>
      <c r="F168" s="335"/>
      <c r="G168" s="336" t="s">
        <v>367</v>
      </c>
      <c r="H168" s="336"/>
      <c r="I168" s="336"/>
      <c r="J168" s="336">
        <v>46</v>
      </c>
      <c r="K168" s="336"/>
      <c r="L168" s="335" t="s">
        <v>355</v>
      </c>
      <c r="M168" s="335"/>
    </row>
    <row r="169" spans="1:18" ht="14.25" x14ac:dyDescent="0.2">
      <c r="B169" s="216"/>
      <c r="C169" s="215">
        <v>12</v>
      </c>
      <c r="D169" s="335" t="s">
        <v>464</v>
      </c>
      <c r="E169" s="335"/>
      <c r="F169" s="335"/>
      <c r="G169" s="336" t="s">
        <v>372</v>
      </c>
      <c r="H169" s="336"/>
      <c r="I169" s="336"/>
      <c r="J169" s="336" t="s">
        <v>465</v>
      </c>
      <c r="K169" s="336"/>
      <c r="L169" s="335" t="s">
        <v>355</v>
      </c>
      <c r="M169" s="335"/>
    </row>
    <row r="170" spans="1:18" ht="14.25" x14ac:dyDescent="0.2">
      <c r="B170" s="216"/>
      <c r="C170" s="215">
        <v>13</v>
      </c>
      <c r="D170" s="335" t="s">
        <v>466</v>
      </c>
      <c r="E170" s="335"/>
      <c r="F170" s="335"/>
      <c r="G170" s="336" t="s">
        <v>382</v>
      </c>
      <c r="H170" s="336"/>
      <c r="I170" s="336"/>
      <c r="J170" s="336">
        <v>47</v>
      </c>
      <c r="K170" s="336"/>
      <c r="L170" s="335" t="s">
        <v>355</v>
      </c>
      <c r="M170" s="335"/>
    </row>
    <row r="171" spans="1:18" ht="14.25" x14ac:dyDescent="0.2">
      <c r="B171" s="216"/>
      <c r="C171" s="215">
        <v>17</v>
      </c>
      <c r="D171" s="337" t="s">
        <v>467</v>
      </c>
      <c r="E171" s="338"/>
      <c r="F171" s="339"/>
      <c r="G171" s="336" t="s">
        <v>367</v>
      </c>
      <c r="H171" s="336"/>
      <c r="I171" s="336"/>
      <c r="J171" s="336">
        <v>11</v>
      </c>
      <c r="K171" s="336"/>
      <c r="L171" s="335" t="s">
        <v>355</v>
      </c>
      <c r="M171" s="335"/>
    </row>
    <row r="172" spans="1:18" ht="14.25" x14ac:dyDescent="0.2">
      <c r="B172" s="216"/>
      <c r="C172" s="215">
        <v>18</v>
      </c>
      <c r="D172" s="335" t="s">
        <v>468</v>
      </c>
      <c r="E172" s="335"/>
      <c r="F172" s="335"/>
      <c r="G172" s="336" t="s">
        <v>382</v>
      </c>
      <c r="H172" s="336"/>
      <c r="I172" s="336"/>
      <c r="J172" s="336">
        <v>16</v>
      </c>
      <c r="K172" s="336"/>
      <c r="L172" s="335" t="s">
        <v>355</v>
      </c>
      <c r="M172" s="335"/>
    </row>
    <row r="173" spans="1:18" ht="14.25" x14ac:dyDescent="0.2">
      <c r="B173" s="216"/>
      <c r="C173" s="215" t="s">
        <v>469</v>
      </c>
      <c r="D173" s="335" t="s">
        <v>463</v>
      </c>
      <c r="E173" s="335"/>
      <c r="F173" s="335"/>
      <c r="G173" s="336" t="s">
        <v>470</v>
      </c>
      <c r="H173" s="336"/>
      <c r="I173" s="336"/>
      <c r="J173" s="336">
        <v>465</v>
      </c>
      <c r="K173" s="336"/>
      <c r="L173" s="335" t="s">
        <v>355</v>
      </c>
      <c r="M173" s="335"/>
    </row>
    <row r="174" spans="1:18" ht="14.25" x14ac:dyDescent="0.2">
      <c r="B174" s="216"/>
      <c r="C174" s="215" t="s">
        <v>376</v>
      </c>
      <c r="D174" s="335" t="s">
        <v>471</v>
      </c>
      <c r="E174" s="335"/>
      <c r="F174" s="335"/>
      <c r="G174" s="336" t="s">
        <v>357</v>
      </c>
      <c r="H174" s="336"/>
      <c r="I174" s="336"/>
      <c r="J174" s="336" t="s">
        <v>472</v>
      </c>
      <c r="K174" s="336"/>
      <c r="L174" s="335" t="s">
        <v>355</v>
      </c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90" showPageBreaks="1" showGridLines="0" fitToPage="1" printArea="1" view="pageBreakPreview" topLeftCell="C2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90" showPageBreaks="1" showGridLines="0" fitToPage="1" printArea="1" view="pageBreakPreview" topLeftCell="C2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90" showPageBreaks="1" showGridLines="0" fitToPage="1" printArea="1" view="pageBreakPreview" topLeftCell="C2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FFA7799A-727F-46AA-B7F0-77AF99A91882}">
      <formula1>INDIRECT(D63)</formula1>
    </dataValidation>
  </dataValidations>
  <hyperlinks>
    <hyperlink ref="J14:L15" location="Summary!A1" display="MTD Summary " xr:uid="{77CAB7FF-29B6-4CB6-AF87-34B485838196}"/>
    <hyperlink ref="J16:L17" location="Graph!A1" display="MTD Trendings" xr:uid="{CF7658CC-D3A6-4705-832A-C87CE0B5375F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2144CF0-9BBC-4E21-9A12-3828C7F09899}">
          <x14:formula1>
            <xm:f>Sheet3!$B$3:$B$5</xm:f>
          </x14:formula1>
          <xm:sqref>B143:B165 B132</xm:sqref>
        </x14:dataValidation>
        <x14:dataValidation type="list" allowBlank="1" showInputMessage="1" xr:uid="{2332018A-0D44-4525-A04D-335674DFD5AC}">
          <x14:formula1>
            <xm:f>Sheet3!$D$3:$D$11</xm:f>
          </x14:formula1>
          <xm:sqref>C132</xm:sqref>
        </x14:dataValidation>
        <x14:dataValidation type="list" allowBlank="1" showInputMessage="1" showErrorMessage="1" xr:uid="{66B3DA00-F25C-486C-99BB-1641F8B137C1}">
          <x14:formula1>
            <xm:f>Sheet3!$C$3:$C$4</xm:f>
          </x14:formula1>
          <xm:sqref>M63:M132</xm:sqref>
        </x14:dataValidation>
        <x14:dataValidation type="list" allowBlank="1" showInputMessage="1" showErrorMessage="1" xr:uid="{C65D0D73-A344-46CD-8E90-1F7F3F487F0C}">
          <x14:formula1>
            <xm:f>List!$B$5:$B$8</xm:f>
          </x14:formula1>
          <xm:sqref>B63:B131</xm:sqref>
        </x14:dataValidation>
        <x14:dataValidation type="list" allowBlank="1" showInputMessage="1" showErrorMessage="1" xr:uid="{29223AC2-02D4-473B-B940-36CA079B2DCB}">
          <x14:formula1>
            <xm:f>List!$B$10:$B$12</xm:f>
          </x14:formula1>
          <xm:sqref>C63:C131</xm:sqref>
        </x14:dataValidation>
        <x14:dataValidation type="list" allowBlank="1" showInputMessage="1" showErrorMessage="1" xr:uid="{350EAB74-C6DC-4835-BAB5-7DC2F7DDAF49}">
          <x14:formula1>
            <xm:f>List!$C$5:$C$14</xm:f>
          </x14:formula1>
          <xm:sqref>D63:D131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854D-40F2-437B-8C52-3D07144B7823}">
  <sheetPr>
    <pageSetUpPr fitToPage="1"/>
  </sheetPr>
  <dimension ref="A1:R188"/>
  <sheetViews>
    <sheetView showGridLines="0" view="pageBreakPreview" topLeftCell="A67" zoomScale="80" zoomScaleNormal="90" zoomScaleSheetLayoutView="80" zoomScalePageLayoutView="80" workbookViewId="0">
      <selection activeCell="P35" sqref="P35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4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1640.6</v>
      </c>
      <c r="K6" s="420"/>
      <c r="L6" s="420">
        <f ca="1">Summary!G11</f>
        <v>1734.09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110</v>
      </c>
      <c r="E7" s="84">
        <v>60</v>
      </c>
      <c r="F7" s="395">
        <v>60</v>
      </c>
      <c r="G7" s="396"/>
      <c r="H7" s="374">
        <f>SUM(D7:D10)</f>
        <v>550.33000000000004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140</v>
      </c>
      <c r="E8" s="86">
        <v>60</v>
      </c>
      <c r="F8" s="397">
        <v>60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150</v>
      </c>
      <c r="E9" s="86">
        <v>60</v>
      </c>
      <c r="F9" s="397">
        <v>60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150.33000000000001</v>
      </c>
      <c r="E10" s="88">
        <v>60</v>
      </c>
      <c r="F10" s="399">
        <v>60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140</v>
      </c>
      <c r="E11" s="90">
        <v>60</v>
      </c>
      <c r="F11" s="386">
        <v>60</v>
      </c>
      <c r="G11" s="387"/>
      <c r="H11" s="388">
        <f>SUM(D11:D14)</f>
        <v>600.27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140</v>
      </c>
      <c r="E12" s="92">
        <v>60</v>
      </c>
      <c r="F12" s="391">
        <v>60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150</v>
      </c>
      <c r="E13" s="92">
        <v>60</v>
      </c>
      <c r="F13" s="391">
        <v>60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170.27</v>
      </c>
      <c r="E14" s="94">
        <v>60</v>
      </c>
      <c r="F14" s="393">
        <v>60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110</v>
      </c>
      <c r="E15" s="96">
        <v>60</v>
      </c>
      <c r="F15" s="372">
        <v>60</v>
      </c>
      <c r="G15" s="373"/>
      <c r="H15" s="374">
        <f>SUM(D15:D18)</f>
        <v>490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70</v>
      </c>
      <c r="E16" s="98">
        <v>60</v>
      </c>
      <c r="F16" s="401">
        <v>60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160</v>
      </c>
      <c r="E17" s="98">
        <v>60</v>
      </c>
      <c r="F17" s="401">
        <v>60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150</v>
      </c>
      <c r="E18" s="100">
        <v>60</v>
      </c>
      <c r="F18" s="404">
        <v>60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1640.6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7</v>
      </c>
      <c r="D25" s="102">
        <v>60</v>
      </c>
      <c r="E25" s="56">
        <v>8</v>
      </c>
      <c r="F25" s="107">
        <v>38</v>
      </c>
      <c r="G25" s="410">
        <v>7</v>
      </c>
      <c r="H25" s="411"/>
      <c r="I25" s="111">
        <v>62</v>
      </c>
      <c r="J25" s="38">
        <f t="shared" ref="J25:J40" si="0">C25+E25+G25</f>
        <v>22</v>
      </c>
      <c r="K25" s="412">
        <f>D25+F25+I25</f>
        <v>160</v>
      </c>
      <c r="L25" s="413"/>
      <c r="M25" s="2"/>
    </row>
    <row r="26" spans="2:14" ht="14.1" customHeight="1" x14ac:dyDescent="0.2">
      <c r="B26" s="80" t="s">
        <v>281</v>
      </c>
      <c r="C26" s="45">
        <v>6</v>
      </c>
      <c r="D26" s="103">
        <v>116</v>
      </c>
      <c r="E26" s="57">
        <v>6</v>
      </c>
      <c r="F26" s="108">
        <v>126</v>
      </c>
      <c r="G26" s="406">
        <v>5</v>
      </c>
      <c r="H26" s="407"/>
      <c r="I26" s="112">
        <v>181.5</v>
      </c>
      <c r="J26" s="25">
        <f t="shared" si="0"/>
        <v>17</v>
      </c>
      <c r="K26" s="408">
        <f t="shared" ref="K26:K39" si="1">D26+F26+I26</f>
        <v>423.5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170</v>
      </c>
      <c r="E27" s="57"/>
      <c r="F27" s="108">
        <v>170</v>
      </c>
      <c r="G27" s="406"/>
      <c r="H27" s="407"/>
      <c r="I27" s="112">
        <v>178</v>
      </c>
      <c r="J27" s="25">
        <f t="shared" si="0"/>
        <v>0</v>
      </c>
      <c r="K27" s="408">
        <f t="shared" si="1"/>
        <v>518</v>
      </c>
      <c r="L27" s="409"/>
      <c r="M27" s="2"/>
    </row>
    <row r="28" spans="2:14" ht="14.1" customHeight="1" x14ac:dyDescent="0.2">
      <c r="B28" s="80" t="s">
        <v>283</v>
      </c>
      <c r="C28" s="45">
        <v>5</v>
      </c>
      <c r="D28" s="103"/>
      <c r="E28" s="57">
        <v>5</v>
      </c>
      <c r="F28" s="108"/>
      <c r="G28" s="406">
        <v>6</v>
      </c>
      <c r="H28" s="407"/>
      <c r="I28" s="112"/>
      <c r="J28" s="25">
        <f t="shared" si="0"/>
        <v>16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3</v>
      </c>
      <c r="D29" s="103"/>
      <c r="E29" s="57">
        <v>2</v>
      </c>
      <c r="F29" s="108"/>
      <c r="G29" s="406">
        <v>4</v>
      </c>
      <c r="H29" s="407"/>
      <c r="I29" s="112"/>
      <c r="J29" s="25">
        <f t="shared" si="0"/>
        <v>9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>
        <v>2</v>
      </c>
      <c r="D30" s="103">
        <v>38.35</v>
      </c>
      <c r="E30" s="57">
        <v>2</v>
      </c>
      <c r="F30" s="108">
        <v>37</v>
      </c>
      <c r="G30" s="406"/>
      <c r="H30" s="407"/>
      <c r="I30" s="112"/>
      <c r="J30" s="25">
        <f t="shared" si="0"/>
        <v>4</v>
      </c>
      <c r="K30" s="408">
        <f t="shared" si="1"/>
        <v>75.349999999999994</v>
      </c>
      <c r="L30" s="409"/>
    </row>
    <row r="31" spans="2:14" ht="14.1" customHeight="1" x14ac:dyDescent="0.2">
      <c r="B31" s="80" t="s">
        <v>286</v>
      </c>
      <c r="C31" s="45">
        <v>2</v>
      </c>
      <c r="D31" s="103"/>
      <c r="E31" s="57">
        <v>2</v>
      </c>
      <c r="F31" s="108"/>
      <c r="G31" s="406">
        <v>2</v>
      </c>
      <c r="H31" s="407"/>
      <c r="I31" s="112"/>
      <c r="J31" s="25">
        <f t="shared" si="0"/>
        <v>6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1</v>
      </c>
      <c r="F32" s="108"/>
      <c r="G32" s="406">
        <v>1</v>
      </c>
      <c r="H32" s="407"/>
      <c r="I32" s="112"/>
      <c r="J32" s="25">
        <f t="shared" si="0"/>
        <v>3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/>
      <c r="G33" s="406">
        <v>1</v>
      </c>
      <c r="H33" s="407"/>
      <c r="I33" s="112"/>
      <c r="J33" s="25">
        <f t="shared" si="0"/>
        <v>1</v>
      </c>
      <c r="K33" s="408">
        <f t="shared" si="1"/>
        <v>0</v>
      </c>
      <c r="L33" s="409"/>
    </row>
    <row r="34" spans="1:16" ht="14.1" customHeight="1" x14ac:dyDescent="0.2">
      <c r="B34" s="80" t="s">
        <v>289</v>
      </c>
      <c r="C34" s="45"/>
      <c r="D34" s="103"/>
      <c r="E34" s="57"/>
      <c r="F34" s="108"/>
      <c r="G34" s="406">
        <v>1</v>
      </c>
      <c r="H34" s="407"/>
      <c r="I34" s="112"/>
      <c r="J34" s="25">
        <f t="shared" si="0"/>
        <v>1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  <c r="P35" t="s">
        <v>473</v>
      </c>
    </row>
    <row r="36" spans="1:16" ht="14.1" customHeight="1" x14ac:dyDescent="0.2">
      <c r="B36" s="37" t="s">
        <v>291</v>
      </c>
      <c r="C36" s="55"/>
      <c r="D36" s="104">
        <v>36</v>
      </c>
      <c r="E36" s="58"/>
      <c r="F36" s="109"/>
      <c r="G36" s="406"/>
      <c r="H36" s="407"/>
      <c r="I36" s="113"/>
      <c r="J36" s="25">
        <f t="shared" si="0"/>
        <v>0</v>
      </c>
      <c r="K36" s="408">
        <f t="shared" si="1"/>
        <v>36</v>
      </c>
      <c r="L36" s="409"/>
    </row>
    <row r="37" spans="1:16" ht="14.1" customHeight="1" x14ac:dyDescent="0.2">
      <c r="B37" s="37" t="s">
        <v>292</v>
      </c>
      <c r="C37" s="55"/>
      <c r="D37" s="104">
        <v>9</v>
      </c>
      <c r="E37" s="58"/>
      <c r="F37" s="109">
        <v>6</v>
      </c>
      <c r="G37" s="406"/>
      <c r="H37" s="407"/>
      <c r="I37" s="113">
        <v>8</v>
      </c>
      <c r="J37" s="25">
        <f t="shared" si="0"/>
        <v>0</v>
      </c>
      <c r="K37" s="408">
        <f t="shared" si="1"/>
        <v>23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v>120</v>
      </c>
      <c r="J38" s="25">
        <f t="shared" si="0"/>
        <v>0</v>
      </c>
      <c r="K38" s="408">
        <f t="shared" si="1"/>
        <v>120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135</v>
      </c>
      <c r="J39" s="25">
        <f t="shared" si="0"/>
        <v>0</v>
      </c>
      <c r="K39" s="408">
        <f t="shared" si="1"/>
        <v>135</v>
      </c>
      <c r="L39" s="409"/>
    </row>
    <row r="40" spans="1:16" ht="14.1" customHeight="1" thickBot="1" x14ac:dyDescent="0.25">
      <c r="B40" s="81" t="s">
        <v>295</v>
      </c>
      <c r="C40" s="47"/>
      <c r="D40" s="105">
        <v>120.24</v>
      </c>
      <c r="E40" s="59"/>
      <c r="F40" s="110">
        <v>94.92</v>
      </c>
      <c r="G40" s="473"/>
      <c r="H40" s="474"/>
      <c r="I40" s="114">
        <v>106.08</v>
      </c>
      <c r="J40" s="26">
        <f t="shared" si="0"/>
        <v>0</v>
      </c>
      <c r="K40" s="475">
        <f>D40+F40+I40</f>
        <v>321.24</v>
      </c>
      <c r="L40" s="476"/>
    </row>
    <row r="41" spans="1:16" ht="17.25" customHeight="1" x14ac:dyDescent="0.2">
      <c r="B41" s="15" t="s">
        <v>273</v>
      </c>
      <c r="C41" s="16">
        <f>SUM(C25:C40)</f>
        <v>26</v>
      </c>
      <c r="D41" s="106">
        <f>SUM(D25:D40)</f>
        <v>549.59</v>
      </c>
      <c r="E41" s="16">
        <f>SUM(E25:E40)</f>
        <v>26</v>
      </c>
      <c r="F41" s="106">
        <f>SUM(F25:F40)</f>
        <v>471.92</v>
      </c>
      <c r="G41" s="430">
        <f>SUM(G25:H40)</f>
        <v>27</v>
      </c>
      <c r="H41" s="430"/>
      <c r="I41" s="106">
        <f>SUM(I25:I40)</f>
        <v>790.58</v>
      </c>
      <c r="J41" s="16">
        <f>SUM(J25:J40)</f>
        <v>79</v>
      </c>
      <c r="K41" s="477">
        <f>SUM(K25:L40)</f>
        <v>1812.09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/>
      <c r="D45" s="210"/>
      <c r="E45" s="209"/>
      <c r="F45" s="210"/>
      <c r="G45" s="471"/>
      <c r="H45" s="472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/>
      <c r="D48" s="209"/>
      <c r="E48" s="209"/>
      <c r="F48" s="209"/>
      <c r="G48" s="442"/>
      <c r="H48" s="443"/>
      <c r="I48" s="209"/>
      <c r="J48" s="209"/>
      <c r="K48" s="209"/>
      <c r="L48" s="209"/>
      <c r="M48" s="211"/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38">
        <f>G48*100</f>
        <v>0</v>
      </c>
      <c r="H49" s="439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/>
      <c r="D51" s="213"/>
      <c r="E51" s="214"/>
      <c r="F51" s="209"/>
      <c r="G51" s="442"/>
      <c r="H51" s="443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0</v>
      </c>
      <c r="F54" s="39" t="s">
        <v>309</v>
      </c>
      <c r="G54" s="188"/>
      <c r="H54" s="188"/>
      <c r="I54" s="30">
        <f>'3'!D54</f>
        <v>378.25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/>
      <c r="D58" s="60"/>
      <c r="E58" s="124">
        <f>SUM(C58:D58)</f>
        <v>0</v>
      </c>
      <c r="F58" s="425"/>
      <c r="G58" s="426"/>
      <c r="H58" s="60"/>
      <c r="I58" s="61"/>
      <c r="J58" s="422"/>
      <c r="K58" s="428"/>
      <c r="L58" s="60">
        <v>6693.65</v>
      </c>
      <c r="M58" s="61">
        <f>L58/3</f>
        <v>2231.2166666666667</v>
      </c>
      <c r="N58" s="288">
        <v>4.08</v>
      </c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0</v>
      </c>
      <c r="D59" s="432"/>
      <c r="E59" s="433"/>
      <c r="F59" s="434" t="s">
        <v>321</v>
      </c>
      <c r="G59" s="435"/>
      <c r="H59" s="436">
        <f>IF(ISERROR(SUM(H58:I58)/$H$19),"",(SUM(H58:I58)/$H$19))</f>
        <v>0</v>
      </c>
      <c r="I59" s="437"/>
      <c r="J59" s="434" t="s">
        <v>322</v>
      </c>
      <c r="K59" s="435"/>
      <c r="L59" s="115">
        <f>IF(ISERROR(L58/$H$19),"",(L58/$H$19))</f>
        <v>4.0800012190661956</v>
      </c>
      <c r="M59" s="116">
        <f>IF(ISERROR(M58/$H$19),"",(M58/$H$19))</f>
        <v>1.3600004063553985</v>
      </c>
      <c r="N59" s="194">
        <f>N58*H19</f>
        <v>6693.6480000000001</v>
      </c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1.3298611111111112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322"/>
      <c r="F63" s="324"/>
      <c r="G63" s="322"/>
      <c r="H63" s="323"/>
      <c r="I63" s="323"/>
      <c r="J63" s="324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17</v>
      </c>
      <c r="C64" s="236" t="s">
        <v>22</v>
      </c>
      <c r="D64" s="236" t="s">
        <v>23</v>
      </c>
      <c r="E64" s="322"/>
      <c r="F64" s="324"/>
      <c r="G64" s="322" t="s">
        <v>474</v>
      </c>
      <c r="H64" s="323"/>
      <c r="I64" s="323"/>
      <c r="J64" s="324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322"/>
      <c r="F65" s="324"/>
      <c r="G65" s="322" t="s">
        <v>475</v>
      </c>
      <c r="H65" s="323"/>
      <c r="I65" s="323"/>
      <c r="J65" s="324"/>
      <c r="K65" s="239">
        <v>0.4861111111111111</v>
      </c>
      <c r="L65" s="239">
        <v>0.50694444444444442</v>
      </c>
      <c r="M65" s="236" t="s">
        <v>9</v>
      </c>
      <c r="N65" s="237">
        <f t="shared" si="2"/>
        <v>2.0833333333333315E-2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23</v>
      </c>
      <c r="E66" s="322"/>
      <c r="F66" s="324"/>
      <c r="G66" s="322" t="s">
        <v>476</v>
      </c>
      <c r="H66" s="323"/>
      <c r="I66" s="323"/>
      <c r="J66" s="324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322"/>
      <c r="F67" s="324"/>
      <c r="G67" s="322" t="s">
        <v>477</v>
      </c>
      <c r="H67" s="323"/>
      <c r="I67" s="323"/>
      <c r="J67" s="324"/>
      <c r="K67" s="238">
        <v>0.4861111111111111</v>
      </c>
      <c r="L67" s="238"/>
      <c r="M67" s="236" t="s">
        <v>9</v>
      </c>
      <c r="N67" s="237">
        <f t="shared" si="2"/>
        <v>0.51388888888888884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26</v>
      </c>
      <c r="E68" s="322"/>
      <c r="F68" s="324"/>
      <c r="G68" s="322" t="s">
        <v>478</v>
      </c>
      <c r="H68" s="323"/>
      <c r="I68" s="323"/>
      <c r="J68" s="324"/>
      <c r="K68" s="239">
        <v>0.36805555555555558</v>
      </c>
      <c r="L68" s="239">
        <v>0.38194444444444442</v>
      </c>
      <c r="M68" s="236" t="s">
        <v>9</v>
      </c>
      <c r="N68" s="237">
        <f t="shared" si="2"/>
        <v>1.388888888888884E-2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23</v>
      </c>
      <c r="E69" s="322"/>
      <c r="F69" s="324"/>
      <c r="G69" s="322" t="s">
        <v>479</v>
      </c>
      <c r="H69" s="323"/>
      <c r="I69" s="323"/>
      <c r="J69" s="324"/>
      <c r="K69" s="239">
        <v>0.28472222222222221</v>
      </c>
      <c r="L69" s="239">
        <v>0.3125</v>
      </c>
      <c r="M69" s="236" t="s">
        <v>9</v>
      </c>
      <c r="N69" s="237">
        <f t="shared" si="2"/>
        <v>2.777777777777779E-2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18</v>
      </c>
      <c r="E70" s="322" t="s">
        <v>92</v>
      </c>
      <c r="F70" s="324" t="s">
        <v>92</v>
      </c>
      <c r="H70" t="s">
        <v>480</v>
      </c>
      <c r="K70" s="239">
        <v>0.3125</v>
      </c>
      <c r="L70" s="239">
        <v>0.34027777777777773</v>
      </c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29</v>
      </c>
      <c r="E71" s="322" t="s">
        <v>111</v>
      </c>
      <c r="F71" s="324" t="s">
        <v>111</v>
      </c>
      <c r="G71" s="322" t="s">
        <v>481</v>
      </c>
      <c r="H71" s="323"/>
      <c r="I71" s="323"/>
      <c r="J71" s="324"/>
      <c r="K71" s="239">
        <v>0.4861111111111111</v>
      </c>
      <c r="L71" s="239">
        <v>0.50694444444444442</v>
      </c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322"/>
      <c r="F72" s="324"/>
      <c r="G72" s="322"/>
      <c r="H72" s="323"/>
      <c r="I72" s="323"/>
      <c r="J72" s="324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 t="s">
        <v>6</v>
      </c>
      <c r="C73" s="236" t="s">
        <v>25</v>
      </c>
      <c r="D73" s="236" t="s">
        <v>18</v>
      </c>
      <c r="E73" s="322" t="s">
        <v>91</v>
      </c>
      <c r="F73" s="324" t="s">
        <v>91</v>
      </c>
      <c r="G73" s="322" t="s">
        <v>482</v>
      </c>
      <c r="H73" s="323"/>
      <c r="I73" s="323"/>
      <c r="J73" s="324"/>
      <c r="K73" s="239">
        <v>0.76388888888888884</v>
      </c>
      <c r="L73" s="239">
        <v>0.80555555555555547</v>
      </c>
      <c r="M73" s="236" t="s">
        <v>9</v>
      </c>
      <c r="N73" s="237">
        <f t="shared" si="2"/>
        <v>4.166666666666663E-2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23</v>
      </c>
      <c r="E74" s="322" t="s">
        <v>107</v>
      </c>
      <c r="F74" s="324" t="s">
        <v>107</v>
      </c>
      <c r="G74" s="322" t="s">
        <v>483</v>
      </c>
      <c r="H74" s="323"/>
      <c r="I74" s="323"/>
      <c r="J74" s="324"/>
      <c r="K74" s="238">
        <v>0.4861111111111111</v>
      </c>
      <c r="L74" s="238">
        <v>0.80555555555555547</v>
      </c>
      <c r="M74" s="236" t="s">
        <v>9</v>
      </c>
      <c r="N74" s="237">
        <f t="shared" si="2"/>
        <v>0.31944444444444436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23</v>
      </c>
      <c r="E75" s="322"/>
      <c r="F75" s="324"/>
      <c r="G75" s="322" t="s">
        <v>335</v>
      </c>
      <c r="H75" s="323"/>
      <c r="I75" s="323"/>
      <c r="J75" s="324"/>
      <c r="K75" s="239">
        <v>0.66666666666666663</v>
      </c>
      <c r="L75" s="239">
        <v>0.69444444444444453</v>
      </c>
      <c r="M75" s="236" t="s">
        <v>9</v>
      </c>
      <c r="N75" s="237">
        <f t="shared" si="2"/>
        <v>2.7777777777777901E-2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322"/>
      <c r="F76" s="324"/>
      <c r="G76" s="322" t="s">
        <v>335</v>
      </c>
      <c r="H76" s="323"/>
      <c r="I76" s="323"/>
      <c r="J76" s="324"/>
      <c r="K76" s="239">
        <v>0.74305555555555547</v>
      </c>
      <c r="L76" s="239">
        <v>0.79166666666666663</v>
      </c>
      <c r="M76" s="236" t="s">
        <v>9</v>
      </c>
      <c r="N76" s="237">
        <f t="shared" si="2"/>
        <v>4.861111111111116E-2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322"/>
      <c r="F77" s="324"/>
      <c r="G77" s="322" t="s">
        <v>335</v>
      </c>
      <c r="H77" s="323"/>
      <c r="I77" s="323"/>
      <c r="J77" s="324"/>
      <c r="K77" s="238">
        <v>0.83333333333333337</v>
      </c>
      <c r="L77" s="238">
        <v>0.88194444444444453</v>
      </c>
      <c r="M77" s="236" t="s">
        <v>9</v>
      </c>
      <c r="N77" s="237">
        <f t="shared" si="2"/>
        <v>4.861111111111116E-2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/>
      <c r="H78" s="323"/>
      <c r="I78" s="323"/>
      <c r="J78" s="324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 t="s">
        <v>14</v>
      </c>
      <c r="C79" s="236" t="s">
        <v>28</v>
      </c>
      <c r="D79" s="236" t="s">
        <v>11</v>
      </c>
      <c r="E79" s="322"/>
      <c r="F79" s="324"/>
      <c r="G79" s="322" t="s">
        <v>484</v>
      </c>
      <c r="H79" s="323"/>
      <c r="I79" s="323"/>
      <c r="J79" s="324"/>
      <c r="K79" s="239">
        <v>4.1666666666666664E-2</v>
      </c>
      <c r="L79" s="239">
        <v>9.375E-2</v>
      </c>
      <c r="M79" s="236" t="s">
        <v>9</v>
      </c>
      <c r="N79" s="237">
        <f t="shared" si="2"/>
        <v>5.2083333333333336E-2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 t="s">
        <v>23</v>
      </c>
      <c r="E80" s="322"/>
      <c r="F80" s="324"/>
      <c r="G80" s="322" t="s">
        <v>485</v>
      </c>
      <c r="H80" s="323"/>
      <c r="I80" s="323"/>
      <c r="J80" s="324"/>
      <c r="K80" s="239">
        <v>1.0208333333333333</v>
      </c>
      <c r="L80" s="239">
        <v>6.25E-2</v>
      </c>
      <c r="M80" s="236" t="s">
        <v>9</v>
      </c>
      <c r="N80" s="237">
        <f t="shared" si="2"/>
        <v>4.1666666666666741E-2</v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 t="s">
        <v>23</v>
      </c>
      <c r="E81" s="322"/>
      <c r="F81" s="324"/>
      <c r="G81" s="322" t="s">
        <v>486</v>
      </c>
      <c r="H81" s="323"/>
      <c r="I81" s="323"/>
      <c r="J81" s="324"/>
      <c r="K81" s="239">
        <v>9.0277777777777776E-2</v>
      </c>
      <c r="L81" s="239">
        <v>0.125</v>
      </c>
      <c r="M81" s="236" t="s">
        <v>9</v>
      </c>
      <c r="N81" s="237">
        <f t="shared" si="2"/>
        <v>3.4722222222222224E-2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 t="s">
        <v>26</v>
      </c>
      <c r="E82" s="322"/>
      <c r="F82" s="324"/>
      <c r="G82" s="322" t="s">
        <v>487</v>
      </c>
      <c r="H82" s="323"/>
      <c r="I82" s="323"/>
      <c r="J82" s="324"/>
      <c r="K82" s="239">
        <v>0.97916666666666663</v>
      </c>
      <c r="L82" s="239">
        <v>4.1666666666666664E-2</v>
      </c>
      <c r="M82" s="236" t="s">
        <v>9</v>
      </c>
      <c r="N82" s="237">
        <f t="shared" si="2"/>
        <v>6.25E-2</v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 t="s">
        <v>29</v>
      </c>
      <c r="E83" s="322"/>
      <c r="F83" s="324"/>
      <c r="G83" s="322" t="s">
        <v>488</v>
      </c>
      <c r="H83" s="323"/>
      <c r="I83" s="323"/>
      <c r="J83" s="324"/>
      <c r="K83" s="239">
        <v>0.97916666666666663</v>
      </c>
      <c r="L83" s="239">
        <v>1.0277777777777779</v>
      </c>
      <c r="M83" s="236" t="s">
        <v>9</v>
      </c>
      <c r="N83" s="237">
        <f t="shared" si="2"/>
        <v>4.8611111111111271E-2</v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>
        <v>5.5555555555555552E-2</v>
      </c>
      <c r="L84" s="239">
        <v>8.3333333333333329E-2</v>
      </c>
      <c r="M84" s="236" t="s">
        <v>9</v>
      </c>
      <c r="N84" s="237">
        <f t="shared" si="2"/>
        <v>2.7777777777777776E-2</v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/>
      <c r="D136" s="481"/>
      <c r="E136" s="463" t="s">
        <v>393</v>
      </c>
      <c r="F136" s="464"/>
      <c r="G136" s="452" t="s">
        <v>344</v>
      </c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489</v>
      </c>
      <c r="D137" s="479"/>
      <c r="E137" s="463" t="s">
        <v>395</v>
      </c>
      <c r="F137" s="464"/>
      <c r="G137" s="452" t="s">
        <v>347</v>
      </c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35"/>
      <c r="E143" s="335"/>
      <c r="F143" s="335"/>
      <c r="G143" s="336"/>
      <c r="H143" s="336"/>
      <c r="I143" s="336"/>
      <c r="J143" s="336"/>
      <c r="K143" s="336"/>
      <c r="L143" s="335"/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 t="s">
        <v>255</v>
      </c>
      <c r="C144" s="215">
        <v>3</v>
      </c>
      <c r="D144" s="335" t="s">
        <v>490</v>
      </c>
      <c r="E144" s="335"/>
      <c r="F144" s="335"/>
      <c r="G144" s="336" t="s">
        <v>357</v>
      </c>
      <c r="H144" s="336"/>
      <c r="I144" s="336"/>
      <c r="J144" s="336" t="s">
        <v>491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9</v>
      </c>
      <c r="D145" s="335" t="s">
        <v>492</v>
      </c>
      <c r="E145" s="335"/>
      <c r="F145" s="335"/>
      <c r="G145" s="336" t="s">
        <v>367</v>
      </c>
      <c r="H145" s="336"/>
      <c r="I145" s="336"/>
      <c r="J145" s="336">
        <v>46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17</v>
      </c>
      <c r="D146" s="335" t="s">
        <v>493</v>
      </c>
      <c r="E146" s="335"/>
      <c r="F146" s="335"/>
      <c r="G146" s="336" t="s">
        <v>494</v>
      </c>
      <c r="H146" s="336"/>
      <c r="I146" s="336"/>
      <c r="J146" s="336">
        <v>11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18</v>
      </c>
      <c r="D147" s="335" t="s">
        <v>495</v>
      </c>
      <c r="E147" s="335"/>
      <c r="F147" s="335"/>
      <c r="G147" s="336" t="s">
        <v>359</v>
      </c>
      <c r="H147" s="336"/>
      <c r="I147" s="336"/>
      <c r="J147" s="336">
        <v>19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/>
      <c r="D148" s="335" t="s">
        <v>496</v>
      </c>
      <c r="E148" s="335"/>
      <c r="F148" s="335"/>
      <c r="G148" s="336" t="s">
        <v>403</v>
      </c>
      <c r="H148" s="336"/>
      <c r="I148" s="336"/>
      <c r="J148" s="336">
        <v>352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35" t="s">
        <v>497</v>
      </c>
      <c r="E149" s="335"/>
      <c r="F149" s="335"/>
      <c r="G149" s="336" t="s">
        <v>441</v>
      </c>
      <c r="H149" s="336"/>
      <c r="I149" s="336"/>
      <c r="J149" s="336">
        <v>31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13</v>
      </c>
      <c r="D150" s="335" t="s">
        <v>498</v>
      </c>
      <c r="E150" s="335"/>
      <c r="F150" s="335"/>
      <c r="G150" s="336" t="s">
        <v>357</v>
      </c>
      <c r="H150" s="336"/>
      <c r="I150" s="336"/>
      <c r="J150" s="336">
        <v>39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14</v>
      </c>
      <c r="D151" s="335" t="s">
        <v>492</v>
      </c>
      <c r="E151" s="335"/>
      <c r="F151" s="335"/>
      <c r="G151" s="336" t="s">
        <v>447</v>
      </c>
      <c r="H151" s="336"/>
      <c r="I151" s="336"/>
      <c r="J151" s="336">
        <v>19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215">
        <v>13</v>
      </c>
      <c r="D152" s="335" t="s">
        <v>499</v>
      </c>
      <c r="E152" s="335"/>
      <c r="F152" s="335"/>
      <c r="G152" s="336" t="s">
        <v>359</v>
      </c>
      <c r="H152" s="336"/>
      <c r="I152" s="336"/>
      <c r="J152" s="336">
        <v>40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12</v>
      </c>
      <c r="D153" s="335" t="s">
        <v>500</v>
      </c>
      <c r="E153" s="335"/>
      <c r="F153" s="335"/>
      <c r="G153" s="336" t="s">
        <v>372</v>
      </c>
      <c r="H153" s="336"/>
      <c r="I153" s="336"/>
      <c r="J153" s="336">
        <v>44</v>
      </c>
      <c r="K153" s="336"/>
      <c r="L153" s="335" t="s">
        <v>355</v>
      </c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3</v>
      </c>
      <c r="D154" s="335" t="s">
        <v>490</v>
      </c>
      <c r="E154" s="335"/>
      <c r="F154" s="335"/>
      <c r="G154" s="336" t="s">
        <v>357</v>
      </c>
      <c r="H154" s="336"/>
      <c r="I154" s="336"/>
      <c r="J154" s="336" t="s">
        <v>501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9</v>
      </c>
      <c r="D155" s="335" t="s">
        <v>492</v>
      </c>
      <c r="E155" s="335"/>
      <c r="F155" s="335"/>
      <c r="G155" s="336" t="s">
        <v>502</v>
      </c>
      <c r="H155" s="336"/>
      <c r="I155" s="336"/>
      <c r="J155" s="336">
        <v>46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335"/>
      <c r="E156" s="335"/>
      <c r="F156" s="335"/>
      <c r="G156" s="336"/>
      <c r="H156" s="336"/>
      <c r="I156" s="336"/>
      <c r="J156" s="336"/>
      <c r="K156" s="336"/>
      <c r="L156" s="335"/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 t="s">
        <v>261</v>
      </c>
      <c r="C157" s="215">
        <v>12</v>
      </c>
      <c r="D157" s="335" t="s">
        <v>503</v>
      </c>
      <c r="E157" s="335"/>
      <c r="F157" s="335"/>
      <c r="G157" s="336" t="s">
        <v>372</v>
      </c>
      <c r="H157" s="336"/>
      <c r="I157" s="336"/>
      <c r="J157" s="336">
        <v>31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13</v>
      </c>
      <c r="D158" s="335" t="s">
        <v>504</v>
      </c>
      <c r="E158" s="335"/>
      <c r="F158" s="335"/>
      <c r="G158" s="336" t="s">
        <v>357</v>
      </c>
      <c r="H158" s="336"/>
      <c r="I158" s="336"/>
      <c r="J158" s="336">
        <v>31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17</v>
      </c>
      <c r="D159" s="335" t="s">
        <v>505</v>
      </c>
      <c r="E159" s="335"/>
      <c r="F159" s="335"/>
      <c r="G159" s="336" t="s">
        <v>494</v>
      </c>
      <c r="H159" s="336"/>
      <c r="I159" s="336"/>
      <c r="J159" s="336">
        <v>13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18</v>
      </c>
      <c r="D160" s="335" t="s">
        <v>506</v>
      </c>
      <c r="E160" s="335"/>
      <c r="F160" s="335"/>
      <c r="G160" s="336" t="s">
        <v>359</v>
      </c>
      <c r="H160" s="336"/>
      <c r="I160" s="336"/>
      <c r="J160" s="336">
        <v>15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 t="s">
        <v>378</v>
      </c>
      <c r="D161" s="335" t="s">
        <v>507</v>
      </c>
      <c r="E161" s="335"/>
      <c r="F161" s="335"/>
      <c r="G161" s="336" t="s">
        <v>367</v>
      </c>
      <c r="H161" s="336"/>
      <c r="I161" s="336"/>
      <c r="J161" s="336">
        <v>39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11</v>
      </c>
      <c r="D162" s="335" t="s">
        <v>507</v>
      </c>
      <c r="E162" s="335"/>
      <c r="F162" s="335"/>
      <c r="G162" s="336" t="s">
        <v>403</v>
      </c>
      <c r="H162" s="336"/>
      <c r="I162" s="336"/>
      <c r="J162" s="336">
        <v>402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13</v>
      </c>
      <c r="D163" s="335" t="s">
        <v>508</v>
      </c>
      <c r="E163" s="335"/>
      <c r="F163" s="335"/>
      <c r="G163" s="336" t="s">
        <v>359</v>
      </c>
      <c r="H163" s="336"/>
      <c r="I163" s="336"/>
      <c r="J163" s="336">
        <v>33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35"/>
      <c r="E164" s="335"/>
      <c r="F164" s="335"/>
      <c r="G164" s="336"/>
      <c r="H164" s="336"/>
      <c r="I164" s="336"/>
      <c r="J164" s="336"/>
      <c r="K164" s="336"/>
      <c r="L164" s="335"/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35"/>
      <c r="E165" s="335"/>
      <c r="F165" s="335"/>
      <c r="G165" s="336"/>
      <c r="H165" s="336"/>
      <c r="I165" s="336"/>
      <c r="J165" s="336"/>
      <c r="K165" s="336"/>
      <c r="L165" s="335"/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 t="s">
        <v>267</v>
      </c>
      <c r="C166" s="215">
        <v>13</v>
      </c>
      <c r="D166" s="335" t="s">
        <v>509</v>
      </c>
      <c r="E166" s="335"/>
      <c r="F166" s="335"/>
      <c r="G166" s="336" t="s">
        <v>510</v>
      </c>
      <c r="H166" s="336"/>
      <c r="I166" s="336"/>
      <c r="J166" s="336">
        <v>41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>
        <v>18</v>
      </c>
      <c r="D167" s="335" t="s">
        <v>511</v>
      </c>
      <c r="E167" s="335"/>
      <c r="F167" s="335"/>
      <c r="G167" s="336" t="s">
        <v>510</v>
      </c>
      <c r="H167" s="336"/>
      <c r="I167" s="336"/>
      <c r="J167" s="336">
        <v>18</v>
      </c>
      <c r="K167" s="336"/>
      <c r="L167" s="335" t="s">
        <v>355</v>
      </c>
      <c r="M167" s="335"/>
    </row>
    <row r="168" spans="1:18" ht="14.25" x14ac:dyDescent="0.2">
      <c r="B168" s="216"/>
      <c r="C168" s="215">
        <v>19</v>
      </c>
      <c r="D168" s="335" t="s">
        <v>512</v>
      </c>
      <c r="E168" s="335"/>
      <c r="F168" s="335"/>
      <c r="G168" s="336" t="s">
        <v>494</v>
      </c>
      <c r="H168" s="336"/>
      <c r="I168" s="336"/>
      <c r="J168" s="336">
        <v>15</v>
      </c>
      <c r="K168" s="336"/>
      <c r="L168" s="335" t="s">
        <v>355</v>
      </c>
      <c r="M168" s="335"/>
    </row>
    <row r="169" spans="1:18" ht="14.25" x14ac:dyDescent="0.2">
      <c r="B169" s="216"/>
      <c r="C169" s="215">
        <v>9</v>
      </c>
      <c r="D169" s="335" t="s">
        <v>513</v>
      </c>
      <c r="E169" s="335"/>
      <c r="F169" s="335"/>
      <c r="G169" s="336" t="s">
        <v>367</v>
      </c>
      <c r="H169" s="336"/>
      <c r="I169" s="336"/>
      <c r="J169" s="336">
        <v>42</v>
      </c>
      <c r="K169" s="336"/>
      <c r="L169" s="335" t="s">
        <v>355</v>
      </c>
      <c r="M169" s="335"/>
    </row>
    <row r="170" spans="1:18" ht="14.25" x14ac:dyDescent="0.2">
      <c r="B170" s="216"/>
      <c r="C170" s="215">
        <v>10</v>
      </c>
      <c r="D170" s="335" t="s">
        <v>514</v>
      </c>
      <c r="E170" s="335"/>
      <c r="F170" s="335"/>
      <c r="G170" s="336" t="s">
        <v>367</v>
      </c>
      <c r="H170" s="336"/>
      <c r="I170" s="336"/>
      <c r="J170" s="336">
        <v>36</v>
      </c>
      <c r="K170" s="336"/>
      <c r="L170" s="335" t="s">
        <v>355</v>
      </c>
      <c r="M170" s="335"/>
    </row>
    <row r="171" spans="1:18" ht="14.25" x14ac:dyDescent="0.2">
      <c r="B171" s="216"/>
      <c r="C171" s="215">
        <v>1</v>
      </c>
      <c r="D171" s="337" t="s">
        <v>514</v>
      </c>
      <c r="E171" s="338"/>
      <c r="F171" s="339"/>
      <c r="G171" s="336" t="s">
        <v>515</v>
      </c>
      <c r="H171" s="336"/>
      <c r="I171" s="336"/>
      <c r="J171" s="336">
        <v>40</v>
      </c>
      <c r="K171" s="336"/>
      <c r="L171" s="335" t="s">
        <v>355</v>
      </c>
      <c r="M171" s="335"/>
    </row>
    <row r="172" spans="1:18" ht="14.25" x14ac:dyDescent="0.2">
      <c r="B172" s="216"/>
      <c r="C172" s="215">
        <v>12</v>
      </c>
      <c r="D172" s="335" t="s">
        <v>516</v>
      </c>
      <c r="E172" s="335"/>
      <c r="F172" s="335"/>
      <c r="G172" s="336" t="s">
        <v>372</v>
      </c>
      <c r="H172" s="336"/>
      <c r="I172" s="336"/>
      <c r="J172" s="336">
        <v>41</v>
      </c>
      <c r="K172" s="336"/>
      <c r="L172" s="335" t="s">
        <v>355</v>
      </c>
      <c r="M172" s="335"/>
    </row>
    <row r="173" spans="1:18" ht="14.25" x14ac:dyDescent="0.2">
      <c r="B173" s="216"/>
      <c r="C173" s="215">
        <v>8</v>
      </c>
      <c r="D173" s="335" t="s">
        <v>514</v>
      </c>
      <c r="E173" s="335"/>
      <c r="F173" s="335"/>
      <c r="G173" s="336" t="s">
        <v>517</v>
      </c>
      <c r="H173" s="336"/>
      <c r="I173" s="336"/>
      <c r="J173" s="336" t="s">
        <v>518</v>
      </c>
      <c r="K173" s="336"/>
      <c r="L173" s="335" t="s">
        <v>355</v>
      </c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A12681AF-EC03-48F1-9F7A-218E38DEDCE9}">
      <formula1>INDIRECT(D63)</formula1>
    </dataValidation>
  </dataValidations>
  <hyperlinks>
    <hyperlink ref="J14:L15" location="Summary!A1" display="MTD Summary " xr:uid="{DD4C0DDD-E382-4051-A743-2C840445DBA5}"/>
    <hyperlink ref="J16:L17" location="Graph!A1" display="MTD Trendings" xr:uid="{ADCE999D-B91D-45AB-86B6-1489D7E0F655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5181E003-A8E7-4CDF-B0F0-BDE5AF3D4413}">
          <x14:formula1>
            <xm:f>List!$C$5:$C$14</xm:f>
          </x14:formula1>
          <xm:sqref>D63:D131</xm:sqref>
        </x14:dataValidation>
        <x14:dataValidation type="list" allowBlank="1" showInputMessage="1" showErrorMessage="1" xr:uid="{8DBFF43C-1230-49A0-B0A6-008CEAA8B852}">
          <x14:formula1>
            <xm:f>List!$B$10:$B$12</xm:f>
          </x14:formula1>
          <xm:sqref>C63:C131</xm:sqref>
        </x14:dataValidation>
        <x14:dataValidation type="list" allowBlank="1" showInputMessage="1" showErrorMessage="1" xr:uid="{CD6EA616-99E8-4D64-82CF-7E413A52D8C3}">
          <x14:formula1>
            <xm:f>List!$B$5:$B$8</xm:f>
          </x14:formula1>
          <xm:sqref>B63:B131</xm:sqref>
        </x14:dataValidation>
        <x14:dataValidation type="list" allowBlank="1" showInputMessage="1" showErrorMessage="1" xr:uid="{E066AFCA-4AEC-46F6-BFAE-3627C9BC4BAB}">
          <x14:formula1>
            <xm:f>Sheet3!$C$3:$C$4</xm:f>
          </x14:formula1>
          <xm:sqref>M63:M132</xm:sqref>
        </x14:dataValidation>
        <x14:dataValidation type="list" allowBlank="1" showInputMessage="1" xr:uid="{99CF173A-7B31-4D3B-84E0-2D4E878492AF}">
          <x14:formula1>
            <xm:f>Sheet3!$D$3:$D$11</xm:f>
          </x14:formula1>
          <xm:sqref>C132</xm:sqref>
        </x14:dataValidation>
        <x14:dataValidation type="list" allowBlank="1" showInputMessage="1" showErrorMessage="1" xr:uid="{C77619A2-06CD-4082-A250-A9EDDD57A898}">
          <x14:formula1>
            <xm:f>Sheet3!$B$3:$B$5</xm:f>
          </x14:formula1>
          <xm:sqref>B143:B165 B132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AC02-2C8B-45F2-B20C-8B01EF2CB58B}">
  <sheetPr>
    <pageSetUpPr fitToPage="1"/>
  </sheetPr>
  <dimension ref="A1:R188"/>
  <sheetViews>
    <sheetView showGridLines="0" zoomScale="90" zoomScaleNormal="90" zoomScaleSheetLayoutView="80" zoomScalePageLayoutView="80" workbookViewId="0">
      <selection activeCell="N56" sqref="N56:O56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5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1750</v>
      </c>
      <c r="K6" s="420"/>
      <c r="L6" s="420">
        <f ca="1">Summary!G12</f>
        <v>1567.87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130</v>
      </c>
      <c r="E7" s="84">
        <v>60</v>
      </c>
      <c r="F7" s="395">
        <v>60</v>
      </c>
      <c r="G7" s="396"/>
      <c r="H7" s="374">
        <f>SUM(D7:D10)</f>
        <v>570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150</v>
      </c>
      <c r="E8" s="86">
        <v>60</v>
      </c>
      <c r="F8" s="397">
        <v>60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120</v>
      </c>
      <c r="E9" s="86">
        <v>60</v>
      </c>
      <c r="F9" s="397">
        <v>60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170</v>
      </c>
      <c r="E10" s="88">
        <v>60</v>
      </c>
      <c r="F10" s="399">
        <v>60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140</v>
      </c>
      <c r="E11" s="90">
        <v>60</v>
      </c>
      <c r="F11" s="386">
        <v>60</v>
      </c>
      <c r="G11" s="387"/>
      <c r="H11" s="388">
        <f>SUM(D11:D14)</f>
        <v>580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150</v>
      </c>
      <c r="E12" s="92">
        <v>60</v>
      </c>
      <c r="F12" s="391">
        <v>60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150</v>
      </c>
      <c r="E13" s="92">
        <v>60</v>
      </c>
      <c r="F13" s="391">
        <v>60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140</v>
      </c>
      <c r="E14" s="94">
        <v>60</v>
      </c>
      <c r="F14" s="393">
        <v>60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130</v>
      </c>
      <c r="E15" s="96">
        <v>60</v>
      </c>
      <c r="F15" s="372">
        <v>60</v>
      </c>
      <c r="G15" s="373"/>
      <c r="H15" s="374">
        <f>SUM(D15:D18)</f>
        <v>600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150</v>
      </c>
      <c r="E16" s="98">
        <v>60</v>
      </c>
      <c r="F16" s="401">
        <v>60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160</v>
      </c>
      <c r="E17" s="98">
        <v>60</v>
      </c>
      <c r="F17" s="401">
        <v>60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160</v>
      </c>
      <c r="E18" s="100">
        <v>60</v>
      </c>
      <c r="F18" s="404">
        <v>60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1750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6</v>
      </c>
      <c r="D25" s="102">
        <v>82</v>
      </c>
      <c r="E25" s="56">
        <v>8</v>
      </c>
      <c r="F25" s="107">
        <v>118</v>
      </c>
      <c r="G25" s="410">
        <v>8</v>
      </c>
      <c r="H25" s="411"/>
      <c r="I25" s="111">
        <v>190</v>
      </c>
      <c r="J25" s="38">
        <f t="shared" ref="J25:J40" si="0">C25+E25+G25</f>
        <v>22</v>
      </c>
      <c r="K25" s="412">
        <f>D25+F25+I25</f>
        <v>390</v>
      </c>
      <c r="L25" s="413"/>
      <c r="M25" s="2"/>
    </row>
    <row r="26" spans="2:14" ht="14.1" customHeight="1" x14ac:dyDescent="0.2">
      <c r="B26" s="80" t="s">
        <v>281</v>
      </c>
      <c r="C26" s="45">
        <v>6</v>
      </c>
      <c r="D26" s="103">
        <v>100</v>
      </c>
      <c r="E26" s="57">
        <v>5</v>
      </c>
      <c r="F26" s="108">
        <v>146</v>
      </c>
      <c r="G26" s="406">
        <v>6</v>
      </c>
      <c r="H26" s="407"/>
      <c r="I26" s="112">
        <v>162</v>
      </c>
      <c r="J26" s="25">
        <f t="shared" si="0"/>
        <v>17</v>
      </c>
      <c r="K26" s="408">
        <f t="shared" ref="K26:K39" si="1">D26+F26+I26</f>
        <v>408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122</v>
      </c>
      <c r="E27" s="57"/>
      <c r="F27" s="108">
        <v>60.75</v>
      </c>
      <c r="G27" s="406"/>
      <c r="H27" s="407"/>
      <c r="I27" s="112">
        <v>93.25</v>
      </c>
      <c r="J27" s="25">
        <f t="shared" si="0"/>
        <v>0</v>
      </c>
      <c r="K27" s="408">
        <f t="shared" si="1"/>
        <v>276</v>
      </c>
      <c r="L27" s="409"/>
      <c r="M27" s="2"/>
    </row>
    <row r="28" spans="2:14" ht="14.1" customHeight="1" x14ac:dyDescent="0.2">
      <c r="B28" s="80" t="s">
        <v>283</v>
      </c>
      <c r="C28" s="45">
        <v>5</v>
      </c>
      <c r="D28" s="103"/>
      <c r="E28" s="57">
        <v>5</v>
      </c>
      <c r="F28" s="108"/>
      <c r="G28" s="406">
        <v>7</v>
      </c>
      <c r="H28" s="407"/>
      <c r="I28" s="112"/>
      <c r="J28" s="25">
        <f t="shared" si="0"/>
        <v>17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5</v>
      </c>
      <c r="D29" s="103"/>
      <c r="E29" s="57">
        <v>4</v>
      </c>
      <c r="F29" s="108"/>
      <c r="G29" s="406">
        <v>4</v>
      </c>
      <c r="H29" s="407"/>
      <c r="I29" s="112"/>
      <c r="J29" s="25">
        <f t="shared" si="0"/>
        <v>13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>
        <v>1</v>
      </c>
      <c r="D30" s="103"/>
      <c r="E30" s="57"/>
      <c r="F30" s="108">
        <v>34.5</v>
      </c>
      <c r="G30" s="406">
        <v>1</v>
      </c>
      <c r="H30" s="407"/>
      <c r="I30" s="112"/>
      <c r="J30" s="25">
        <f t="shared" si="0"/>
        <v>2</v>
      </c>
      <c r="K30" s="408">
        <f t="shared" si="1"/>
        <v>34.5</v>
      </c>
      <c r="L30" s="409"/>
    </row>
    <row r="31" spans="2:14" ht="14.1" customHeight="1" x14ac:dyDescent="0.2">
      <c r="B31" s="80" t="s">
        <v>286</v>
      </c>
      <c r="C31" s="45">
        <v>2</v>
      </c>
      <c r="D31" s="103"/>
      <c r="E31" s="57">
        <v>3</v>
      </c>
      <c r="F31" s="108"/>
      <c r="G31" s="406">
        <v>3</v>
      </c>
      <c r="H31" s="407"/>
      <c r="I31" s="112"/>
      <c r="J31" s="25">
        <f t="shared" si="0"/>
        <v>8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1</v>
      </c>
      <c r="F32" s="108"/>
      <c r="G32" s="406">
        <v>1</v>
      </c>
      <c r="H32" s="407"/>
      <c r="I32" s="112"/>
      <c r="J32" s="25">
        <f t="shared" si="0"/>
        <v>3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>
        <v>19.350000000000001</v>
      </c>
      <c r="G33" s="406"/>
      <c r="H33" s="407"/>
      <c r="I33" s="112"/>
      <c r="J33" s="25">
        <f t="shared" si="0"/>
        <v>0</v>
      </c>
      <c r="K33" s="408">
        <f t="shared" si="1"/>
        <v>19.350000000000001</v>
      </c>
      <c r="L33" s="409"/>
    </row>
    <row r="34" spans="1:16" ht="14.1" customHeight="1" x14ac:dyDescent="0.2">
      <c r="B34" s="80" t="s">
        <v>289</v>
      </c>
      <c r="C34" s="45"/>
      <c r="D34" s="103"/>
      <c r="E34" s="57"/>
      <c r="F34" s="108"/>
      <c r="G34" s="406">
        <v>1</v>
      </c>
      <c r="H34" s="407"/>
      <c r="I34" s="112"/>
      <c r="J34" s="25">
        <f t="shared" si="0"/>
        <v>1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>
        <v>18</v>
      </c>
      <c r="E36" s="58"/>
      <c r="F36" s="109">
        <v>30</v>
      </c>
      <c r="G36" s="406"/>
      <c r="H36" s="407"/>
      <c r="I36" s="113"/>
      <c r="J36" s="25">
        <f t="shared" si="0"/>
        <v>0</v>
      </c>
      <c r="K36" s="408">
        <f t="shared" si="1"/>
        <v>48</v>
      </c>
      <c r="L36" s="409"/>
    </row>
    <row r="37" spans="1:16" ht="14.1" customHeight="1" x14ac:dyDescent="0.2">
      <c r="B37" s="37" t="s">
        <v>292</v>
      </c>
      <c r="C37" s="55"/>
      <c r="D37" s="104">
        <v>1.98</v>
      </c>
      <c r="E37" s="58"/>
      <c r="F37" s="109"/>
      <c r="G37" s="406"/>
      <c r="H37" s="407"/>
      <c r="I37" s="113"/>
      <c r="J37" s="25">
        <f t="shared" si="0"/>
        <v>0</v>
      </c>
      <c r="K37" s="408">
        <f t="shared" si="1"/>
        <v>1.98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v>30</v>
      </c>
      <c r="J38" s="25">
        <f t="shared" si="0"/>
        <v>0</v>
      </c>
      <c r="K38" s="408">
        <f t="shared" si="1"/>
        <v>30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90</v>
      </c>
      <c r="J39" s="25">
        <f t="shared" si="0"/>
        <v>0</v>
      </c>
      <c r="K39" s="408">
        <f t="shared" si="1"/>
        <v>90</v>
      </c>
      <c r="L39" s="409"/>
    </row>
    <row r="40" spans="1:16" ht="14.1" customHeight="1" thickBot="1" x14ac:dyDescent="0.25">
      <c r="B40" s="81" t="s">
        <v>295</v>
      </c>
      <c r="C40" s="47"/>
      <c r="D40" s="105">
        <v>119.88</v>
      </c>
      <c r="E40" s="59"/>
      <c r="F40" s="110">
        <v>122.16</v>
      </c>
      <c r="G40" s="473"/>
      <c r="H40" s="474"/>
      <c r="I40" s="114">
        <v>69</v>
      </c>
      <c r="J40" s="26">
        <f t="shared" si="0"/>
        <v>0</v>
      </c>
      <c r="K40" s="475">
        <f>D40+F40+I40</f>
        <v>311.03999999999996</v>
      </c>
      <c r="L40" s="476"/>
    </row>
    <row r="41" spans="1:16" ht="17.25" customHeight="1" x14ac:dyDescent="0.2">
      <c r="B41" s="15" t="s">
        <v>273</v>
      </c>
      <c r="C41" s="16">
        <f>SUM(C25:C40)</f>
        <v>26</v>
      </c>
      <c r="D41" s="106">
        <f>SUM(D25:D40)</f>
        <v>443.86</v>
      </c>
      <c r="E41" s="16">
        <f>SUM(E25:E40)</f>
        <v>26</v>
      </c>
      <c r="F41" s="106">
        <f>SUM(F25:F40)</f>
        <v>530.76</v>
      </c>
      <c r="G41" s="430">
        <f>SUM(G25:H40)</f>
        <v>31</v>
      </c>
      <c r="H41" s="430"/>
      <c r="I41" s="106">
        <f>SUM(I25:I40)</f>
        <v>634.25</v>
      </c>
      <c r="J41" s="16">
        <f>SUM(J25:J40)</f>
        <v>83</v>
      </c>
      <c r="K41" s="477">
        <f>SUM(K25:L40)</f>
        <v>1608.87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/>
      <c r="D45" s="210"/>
      <c r="E45" s="209"/>
      <c r="F45" s="210"/>
      <c r="G45" s="471"/>
      <c r="H45" s="472"/>
      <c r="I45" s="210">
        <v>0</v>
      </c>
      <c r="J45" s="210">
        <v>0.5</v>
      </c>
      <c r="K45" s="209">
        <v>1</v>
      </c>
      <c r="L45" s="210"/>
      <c r="M45" s="211"/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25</v>
      </c>
      <c r="K46" s="40">
        <f>K45*50</f>
        <v>50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/>
      <c r="D48" s="209"/>
      <c r="E48" s="209"/>
      <c r="F48" s="209">
        <v>0.2</v>
      </c>
      <c r="G48" s="442">
        <v>0.3</v>
      </c>
      <c r="H48" s="443"/>
      <c r="I48" s="209">
        <v>0.7</v>
      </c>
      <c r="J48" s="209">
        <v>0</v>
      </c>
      <c r="K48" s="209">
        <v>0</v>
      </c>
      <c r="L48" s="209">
        <v>0.8</v>
      </c>
      <c r="M48" s="211">
        <v>0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438">
        <f>G48*100</f>
        <v>30</v>
      </c>
      <c r="H49" s="439"/>
      <c r="I49" s="40">
        <f>I48*100</f>
        <v>70</v>
      </c>
      <c r="J49" s="40">
        <f>J48*150</f>
        <v>0</v>
      </c>
      <c r="K49" s="40">
        <f>K48*70</f>
        <v>0</v>
      </c>
      <c r="L49" s="40">
        <f>L48*70</f>
        <v>56</v>
      </c>
      <c r="M49" s="79">
        <f>M48*70</f>
        <v>0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</v>
      </c>
      <c r="D51" s="213">
        <v>0</v>
      </c>
      <c r="E51" s="214">
        <v>0</v>
      </c>
      <c r="F51" s="209"/>
      <c r="G51" s="442"/>
      <c r="H51" s="443"/>
      <c r="I51" s="209">
        <v>0</v>
      </c>
      <c r="J51" s="209">
        <v>0</v>
      </c>
      <c r="K51" s="209">
        <v>0</v>
      </c>
      <c r="L51" s="209">
        <v>0.2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50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313</v>
      </c>
      <c r="F54" s="39" t="s">
        <v>309</v>
      </c>
      <c r="G54" s="188"/>
      <c r="H54" s="188"/>
      <c r="I54" s="30">
        <f>'4'!D54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>
        <v>175200</v>
      </c>
      <c r="D58" s="60">
        <v>17720</v>
      </c>
      <c r="E58" s="124">
        <f>SUM(C58:D58)</f>
        <v>192920</v>
      </c>
      <c r="F58" s="425"/>
      <c r="G58" s="426"/>
      <c r="H58" s="60">
        <v>4201</v>
      </c>
      <c r="I58" s="61">
        <v>2641</v>
      </c>
      <c r="J58" s="422"/>
      <c r="K58" s="428"/>
      <c r="L58" s="60">
        <v>6772.5</v>
      </c>
      <c r="M58" s="61">
        <f>L58/3</f>
        <v>2257.5</v>
      </c>
      <c r="N58" s="288">
        <v>3.87</v>
      </c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110.24</v>
      </c>
      <c r="D59" s="432"/>
      <c r="E59" s="433"/>
      <c r="F59" s="434" t="s">
        <v>321</v>
      </c>
      <c r="G59" s="435"/>
      <c r="H59" s="436">
        <f>IF(ISERROR(SUM(H58:I58)/$H$19),"",(SUM(H58:I58)/$H$19))</f>
        <v>3.9097142857142857</v>
      </c>
      <c r="I59" s="437"/>
      <c r="J59" s="434" t="s">
        <v>322</v>
      </c>
      <c r="K59" s="435"/>
      <c r="L59" s="115">
        <f>IF(ISERROR(L58/$H$19),"",(L58/$H$19))</f>
        <v>3.87</v>
      </c>
      <c r="M59" s="116">
        <f>IF(ISERROR(M58/$H$19),"",(M58/$H$19))</f>
        <v>1.29</v>
      </c>
      <c r="N59" s="194">
        <f>N58*H19</f>
        <v>6772.5</v>
      </c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0.53124999999999989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17</v>
      </c>
      <c r="C63" s="236" t="s">
        <v>22</v>
      </c>
      <c r="D63" s="236" t="s">
        <v>23</v>
      </c>
      <c r="E63" s="322"/>
      <c r="F63" s="324"/>
      <c r="G63" s="322" t="s">
        <v>519</v>
      </c>
      <c r="H63" s="323"/>
      <c r="I63" s="323"/>
      <c r="J63" s="324"/>
      <c r="K63" s="238">
        <v>0.31944444444444448</v>
      </c>
      <c r="L63" s="238">
        <v>0.375</v>
      </c>
      <c r="M63" s="236" t="s">
        <v>9</v>
      </c>
      <c r="N63" s="237">
        <f t="shared" ref="N63:N126" si="2">IF(M63="No","",IF(M63="Yes",(L63-K63+(L63&lt;K63)),""))</f>
        <v>5.5555555555555525E-2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17</v>
      </c>
      <c r="C64" s="236" t="s">
        <v>22</v>
      </c>
      <c r="D64" s="236" t="s">
        <v>11</v>
      </c>
      <c r="E64" s="322" t="s">
        <v>43</v>
      </c>
      <c r="F64" s="324"/>
      <c r="G64" s="322" t="s">
        <v>520</v>
      </c>
      <c r="H64" s="323"/>
      <c r="I64" s="323"/>
      <c r="J64" s="324"/>
      <c r="K64" s="238">
        <v>0.375</v>
      </c>
      <c r="L64" s="238">
        <v>0.4201388888888889</v>
      </c>
      <c r="M64" s="236" t="s">
        <v>9</v>
      </c>
      <c r="N64" s="237">
        <f t="shared" si="2"/>
        <v>4.5138888888888895E-2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23</v>
      </c>
      <c r="E65" s="322" t="s">
        <v>106</v>
      </c>
      <c r="F65" s="324"/>
      <c r="G65" s="322" t="s">
        <v>521</v>
      </c>
      <c r="H65" s="323"/>
      <c r="I65" s="323"/>
      <c r="J65" s="324"/>
      <c r="K65" s="239">
        <v>0.38194444444444442</v>
      </c>
      <c r="L65" s="239">
        <v>0.40277777777777773</v>
      </c>
      <c r="M65" s="236" t="s">
        <v>9</v>
      </c>
      <c r="N65" s="237">
        <f t="shared" si="2"/>
        <v>2.0833333333333315E-2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29</v>
      </c>
      <c r="E66" s="322" t="s">
        <v>106</v>
      </c>
      <c r="F66" s="324"/>
      <c r="G66" s="322" t="s">
        <v>522</v>
      </c>
      <c r="H66" s="323"/>
      <c r="I66" s="323"/>
      <c r="J66" s="324"/>
      <c r="K66" s="239">
        <v>0.30555555555555552</v>
      </c>
      <c r="L66" s="239">
        <v>0.3611111111111111</v>
      </c>
      <c r="M66" s="236" t="s">
        <v>9</v>
      </c>
      <c r="N66" s="237">
        <f t="shared" si="2"/>
        <v>5.555555555555558E-2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26</v>
      </c>
      <c r="E67" s="322" t="s">
        <v>106</v>
      </c>
      <c r="F67" s="324"/>
      <c r="G67" s="322" t="s">
        <v>523</v>
      </c>
      <c r="H67" s="323"/>
      <c r="I67" s="323"/>
      <c r="J67" s="324"/>
      <c r="K67" s="238">
        <v>0.3888888888888889</v>
      </c>
      <c r="L67" s="238">
        <v>0.47222222222222227</v>
      </c>
      <c r="M67" s="236" t="s">
        <v>9</v>
      </c>
      <c r="N67" s="237">
        <f t="shared" si="2"/>
        <v>8.333333333333337E-2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29</v>
      </c>
      <c r="E68" s="322" t="s">
        <v>106</v>
      </c>
      <c r="F68" s="324"/>
      <c r="G68" s="322" t="s">
        <v>524</v>
      </c>
      <c r="H68" s="323"/>
      <c r="I68" s="323"/>
      <c r="J68" s="324"/>
      <c r="K68" s="239">
        <v>0.52777777777777779</v>
      </c>
      <c r="L68" s="239">
        <v>0.47222222222222227</v>
      </c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26</v>
      </c>
      <c r="E69" s="322"/>
      <c r="F69" s="324"/>
      <c r="G69" s="322" t="s">
        <v>525</v>
      </c>
      <c r="H69" s="323"/>
      <c r="I69" s="323"/>
      <c r="J69" s="324"/>
      <c r="K69" s="239">
        <v>0.52777777777777779</v>
      </c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 t="s">
        <v>10</v>
      </c>
      <c r="C70" s="236" t="s">
        <v>25</v>
      </c>
      <c r="D70" s="236" t="s">
        <v>11</v>
      </c>
      <c r="E70" s="322"/>
      <c r="F70" s="324"/>
      <c r="K70" s="239">
        <v>0.8125</v>
      </c>
      <c r="L70" s="239">
        <v>0.875</v>
      </c>
      <c r="M70" s="236" t="s">
        <v>9</v>
      </c>
      <c r="N70" s="237">
        <f t="shared" si="2"/>
        <v>6.25E-2</v>
      </c>
      <c r="O70" s="134"/>
      <c r="P70" s="12"/>
      <c r="Q70" s="12"/>
      <c r="R70" s="12"/>
    </row>
    <row r="71" spans="1:18" ht="20.100000000000001" customHeight="1" x14ac:dyDescent="0.2">
      <c r="A71" s="12"/>
      <c r="B71" s="236" t="s">
        <v>10</v>
      </c>
      <c r="C71" s="236" t="s">
        <v>25</v>
      </c>
      <c r="D71" s="236" t="s">
        <v>15</v>
      </c>
      <c r="E71" s="322"/>
      <c r="F71" s="324"/>
      <c r="G71" s="322" t="s">
        <v>526</v>
      </c>
      <c r="H71" s="323"/>
      <c r="I71" s="323"/>
      <c r="J71" s="324"/>
      <c r="K71" s="239">
        <v>0.86111111111111116</v>
      </c>
      <c r="L71" s="239">
        <v>0.875</v>
      </c>
      <c r="M71" s="236"/>
      <c r="N71" s="237"/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15</v>
      </c>
      <c r="E72" s="322"/>
      <c r="F72" s="324"/>
      <c r="G72" s="322" t="s">
        <v>527</v>
      </c>
      <c r="H72" s="323"/>
      <c r="I72" s="323"/>
      <c r="J72" s="324"/>
      <c r="K72" s="239">
        <v>0.86111111111111116</v>
      </c>
      <c r="L72" s="239"/>
      <c r="M72" s="236" t="s">
        <v>339</v>
      </c>
      <c r="N72" s="237">
        <f t="shared" si="2"/>
        <v>0.13888888888888884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322"/>
      <c r="F73" s="324"/>
      <c r="G73" s="322"/>
      <c r="H73" s="323"/>
      <c r="I73" s="323"/>
      <c r="J73" s="324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 t="s">
        <v>14</v>
      </c>
      <c r="C74" s="236" t="s">
        <v>28</v>
      </c>
      <c r="D74" s="236" t="s">
        <v>23</v>
      </c>
      <c r="E74" s="322" t="s">
        <v>106</v>
      </c>
      <c r="F74" s="324"/>
      <c r="G74" s="322" t="s">
        <v>528</v>
      </c>
      <c r="H74" s="323"/>
      <c r="I74" s="323"/>
      <c r="J74" s="324"/>
      <c r="K74" s="238">
        <v>1</v>
      </c>
      <c r="L74" s="238">
        <v>4.1666666666666664E-2</v>
      </c>
      <c r="M74" s="236" t="s">
        <v>9</v>
      </c>
      <c r="N74" s="237">
        <f t="shared" si="2"/>
        <v>4.166666666666663E-2</v>
      </c>
      <c r="O74" s="134"/>
      <c r="P74" s="12"/>
      <c r="Q74" s="12"/>
      <c r="R74" s="12"/>
    </row>
    <row r="75" spans="1:18" ht="20.100000000000001" customHeight="1" x14ac:dyDescent="0.2">
      <c r="A75" s="12"/>
      <c r="B75" s="236" t="s">
        <v>14</v>
      </c>
      <c r="C75" s="236" t="s">
        <v>28</v>
      </c>
      <c r="D75" s="236" t="s">
        <v>23</v>
      </c>
      <c r="E75" s="322"/>
      <c r="F75" s="324"/>
      <c r="G75" s="322" t="s">
        <v>529</v>
      </c>
      <c r="H75" s="323"/>
      <c r="I75" s="323"/>
      <c r="J75" s="324"/>
      <c r="K75" s="239">
        <v>7.6388888888888895E-2</v>
      </c>
      <c r="L75" s="239">
        <v>0.10416666666666667</v>
      </c>
      <c r="M75" s="236" t="s">
        <v>9</v>
      </c>
      <c r="N75" s="237">
        <f t="shared" si="2"/>
        <v>2.7777777777777776E-2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322"/>
      <c r="F76" s="324"/>
      <c r="G76" s="322"/>
      <c r="H76" s="323"/>
      <c r="I76" s="323"/>
      <c r="J76" s="324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322"/>
      <c r="F77" s="324"/>
      <c r="G77" s="322"/>
      <c r="H77" s="323"/>
      <c r="I77" s="323"/>
      <c r="J77" s="324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/>
      <c r="H78" s="323"/>
      <c r="I78" s="323"/>
      <c r="J78" s="324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322"/>
      <c r="F79" s="324"/>
      <c r="G79" s="322"/>
      <c r="H79" s="323"/>
      <c r="I79" s="323"/>
      <c r="J79" s="324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322"/>
      <c r="F80" s="324"/>
      <c r="G80" s="322"/>
      <c r="H80" s="323"/>
      <c r="I80" s="323"/>
      <c r="J80" s="324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322"/>
      <c r="F81" s="324"/>
      <c r="G81" s="322"/>
      <c r="H81" s="323"/>
      <c r="I81" s="323"/>
      <c r="J81" s="324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322"/>
      <c r="F83" s="324"/>
      <c r="G83" s="322"/>
      <c r="H83" s="323"/>
      <c r="I83" s="323"/>
      <c r="J83" s="324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 t="s">
        <v>530</v>
      </c>
      <c r="D136" s="481"/>
      <c r="E136" s="463" t="s">
        <v>531</v>
      </c>
      <c r="F136" s="464"/>
      <c r="G136" s="452" t="s">
        <v>344</v>
      </c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532</v>
      </c>
      <c r="D137" s="479"/>
      <c r="E137" s="463"/>
      <c r="F137" s="464"/>
      <c r="G137" s="452"/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 t="s">
        <v>255</v>
      </c>
      <c r="C143" s="215">
        <v>3</v>
      </c>
      <c r="D143" s="335" t="s">
        <v>533</v>
      </c>
      <c r="E143" s="335"/>
      <c r="F143" s="335"/>
      <c r="G143" s="336" t="s">
        <v>357</v>
      </c>
      <c r="H143" s="336"/>
      <c r="I143" s="336"/>
      <c r="J143" s="336" t="s">
        <v>534</v>
      </c>
      <c r="K143" s="336"/>
      <c r="L143" s="335" t="s">
        <v>355</v>
      </c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/>
      <c r="C144" s="215">
        <v>9</v>
      </c>
      <c r="D144" s="335" t="s">
        <v>533</v>
      </c>
      <c r="E144" s="335"/>
      <c r="F144" s="335"/>
      <c r="G144" s="336" t="s">
        <v>367</v>
      </c>
      <c r="H144" s="336"/>
      <c r="I144" s="336"/>
      <c r="J144" s="336">
        <v>42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13</v>
      </c>
      <c r="D145" s="335" t="s">
        <v>535</v>
      </c>
      <c r="E145" s="335"/>
      <c r="F145" s="335"/>
      <c r="G145" s="336" t="s">
        <v>510</v>
      </c>
      <c r="H145" s="336"/>
      <c r="I145" s="336"/>
      <c r="J145" s="336" t="s">
        <v>536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18</v>
      </c>
      <c r="D146" s="335" t="s">
        <v>537</v>
      </c>
      <c r="E146" s="335"/>
      <c r="F146" s="335"/>
      <c r="G146" s="336" t="s">
        <v>538</v>
      </c>
      <c r="H146" s="336"/>
      <c r="I146" s="336"/>
      <c r="J146" s="336">
        <v>22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/>
      <c r="D147" s="335" t="s">
        <v>539</v>
      </c>
      <c r="E147" s="335"/>
      <c r="F147" s="335"/>
      <c r="G147" s="336" t="s">
        <v>540</v>
      </c>
      <c r="H147" s="336"/>
      <c r="I147" s="336"/>
      <c r="J147" s="336" t="s">
        <v>541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/>
      <c r="D148" s="335" t="s">
        <v>542</v>
      </c>
      <c r="E148" s="335"/>
      <c r="F148" s="335"/>
      <c r="G148" s="336" t="s">
        <v>365</v>
      </c>
      <c r="H148" s="336"/>
      <c r="I148" s="336"/>
      <c r="J148" s="336">
        <v>3560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14</v>
      </c>
      <c r="D149" s="335" t="s">
        <v>543</v>
      </c>
      <c r="E149" s="335"/>
      <c r="F149" s="335"/>
      <c r="G149" s="336" t="s">
        <v>544</v>
      </c>
      <c r="H149" s="336"/>
      <c r="I149" s="336"/>
      <c r="J149" s="336">
        <v>23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17</v>
      </c>
      <c r="D150" s="335" t="s">
        <v>537</v>
      </c>
      <c r="E150" s="335"/>
      <c r="F150" s="335"/>
      <c r="G150" s="336" t="s">
        <v>545</v>
      </c>
      <c r="H150" s="336"/>
      <c r="I150" s="336"/>
      <c r="J150" s="336">
        <v>21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35" t="s">
        <v>539</v>
      </c>
      <c r="E151" s="335"/>
      <c r="F151" s="335"/>
      <c r="G151" s="336" t="s">
        <v>546</v>
      </c>
      <c r="H151" s="336"/>
      <c r="I151" s="336"/>
      <c r="J151" s="336" t="s">
        <v>536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13</v>
      </c>
      <c r="D152" s="335" t="s">
        <v>535</v>
      </c>
      <c r="E152" s="335"/>
      <c r="F152" s="335"/>
      <c r="G152" s="336" t="s">
        <v>510</v>
      </c>
      <c r="H152" s="336"/>
      <c r="I152" s="336"/>
      <c r="J152" s="336" t="s">
        <v>547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35"/>
      <c r="E153" s="335"/>
      <c r="F153" s="335"/>
      <c r="G153" s="336"/>
      <c r="H153" s="336"/>
      <c r="I153" s="336"/>
      <c r="J153" s="336"/>
      <c r="K153" s="336"/>
      <c r="L153" s="335"/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 t="s">
        <v>261</v>
      </c>
      <c r="C154" s="215">
        <v>3</v>
      </c>
      <c r="D154" s="335" t="s">
        <v>548</v>
      </c>
      <c r="E154" s="335"/>
      <c r="F154" s="335"/>
      <c r="G154" s="336" t="s">
        <v>357</v>
      </c>
      <c r="H154" s="336"/>
      <c r="I154" s="336"/>
      <c r="J154" s="336">
        <v>59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9</v>
      </c>
      <c r="D155" s="335" t="s">
        <v>549</v>
      </c>
      <c r="E155" s="335"/>
      <c r="F155" s="335"/>
      <c r="G155" s="336" t="s">
        <v>367</v>
      </c>
      <c r="H155" s="336"/>
      <c r="I155" s="336"/>
      <c r="J155" s="336">
        <v>38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12</v>
      </c>
      <c r="D156" s="335" t="s">
        <v>550</v>
      </c>
      <c r="E156" s="335"/>
      <c r="F156" s="335"/>
      <c r="G156" s="336" t="s">
        <v>372</v>
      </c>
      <c r="H156" s="336"/>
      <c r="I156" s="336"/>
      <c r="J156" s="336">
        <v>48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13</v>
      </c>
      <c r="D157" s="335" t="s">
        <v>551</v>
      </c>
      <c r="E157" s="335"/>
      <c r="F157" s="335"/>
      <c r="G157" s="336" t="s">
        <v>510</v>
      </c>
      <c r="H157" s="336"/>
      <c r="I157" s="336"/>
      <c r="J157" s="336">
        <v>41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14</v>
      </c>
      <c r="D158" s="335" t="s">
        <v>552</v>
      </c>
      <c r="E158" s="335"/>
      <c r="F158" s="335"/>
      <c r="G158" s="336" t="s">
        <v>544</v>
      </c>
      <c r="H158" s="336"/>
      <c r="I158" s="336"/>
      <c r="J158" s="336">
        <v>27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13</v>
      </c>
      <c r="D159" s="335" t="s">
        <v>553</v>
      </c>
      <c r="E159" s="335"/>
      <c r="F159" s="335"/>
      <c r="G159" s="336" t="s">
        <v>546</v>
      </c>
      <c r="H159" s="336"/>
      <c r="I159" s="336"/>
      <c r="J159" s="336">
        <v>53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18</v>
      </c>
      <c r="D160" s="335" t="s">
        <v>554</v>
      </c>
      <c r="E160" s="335"/>
      <c r="F160" s="335"/>
      <c r="G160" s="336" t="s">
        <v>538</v>
      </c>
      <c r="H160" s="336"/>
      <c r="I160" s="336"/>
      <c r="J160" s="336">
        <v>19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23</v>
      </c>
      <c r="D161" s="335" t="s">
        <v>555</v>
      </c>
      <c r="E161" s="335"/>
      <c r="F161" s="335"/>
      <c r="G161" s="336" t="s">
        <v>403</v>
      </c>
      <c r="H161" s="336"/>
      <c r="I161" s="336"/>
      <c r="J161" s="336">
        <v>414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3</v>
      </c>
      <c r="D162" s="335" t="s">
        <v>548</v>
      </c>
      <c r="E162" s="335"/>
      <c r="F162" s="335"/>
      <c r="G162" s="336" t="s">
        <v>357</v>
      </c>
      <c r="H162" s="336"/>
      <c r="I162" s="336"/>
      <c r="J162" s="336">
        <v>59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5</v>
      </c>
      <c r="D163" s="335" t="s">
        <v>548</v>
      </c>
      <c r="E163" s="335"/>
      <c r="F163" s="335"/>
      <c r="G163" s="336" t="s">
        <v>367</v>
      </c>
      <c r="H163" s="336"/>
      <c r="I163" s="336"/>
      <c r="J163" s="336">
        <v>39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19</v>
      </c>
      <c r="D164" s="335" t="s">
        <v>556</v>
      </c>
      <c r="E164" s="335"/>
      <c r="F164" s="335"/>
      <c r="G164" s="336" t="s">
        <v>557</v>
      </c>
      <c r="H164" s="336"/>
      <c r="I164" s="336"/>
      <c r="J164" s="336">
        <v>18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35"/>
      <c r="E165" s="335"/>
      <c r="F165" s="335"/>
      <c r="G165" s="336"/>
      <c r="H165" s="336"/>
      <c r="I165" s="336"/>
      <c r="J165" s="336"/>
      <c r="K165" s="336"/>
      <c r="L165" s="335"/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35"/>
      <c r="E166" s="335"/>
      <c r="F166" s="335"/>
      <c r="G166" s="336"/>
      <c r="H166" s="336"/>
      <c r="I166" s="336"/>
      <c r="J166" s="336"/>
      <c r="K166" s="336"/>
      <c r="L166" s="335"/>
      <c r="M166" s="335"/>
      <c r="N166" s="288"/>
      <c r="O166" s="12"/>
      <c r="P166" s="12"/>
      <c r="Q166" s="12"/>
      <c r="R166" s="12"/>
    </row>
    <row r="167" spans="1:18" ht="14.25" x14ac:dyDescent="0.2">
      <c r="B167" s="216" t="s">
        <v>267</v>
      </c>
      <c r="C167" s="215">
        <v>9</v>
      </c>
      <c r="D167" s="335" t="s">
        <v>558</v>
      </c>
      <c r="E167" s="335"/>
      <c r="F167" s="335"/>
      <c r="G167" s="336" t="s">
        <v>367</v>
      </c>
      <c r="H167" s="336"/>
      <c r="I167" s="336"/>
      <c r="J167" s="336">
        <v>47</v>
      </c>
      <c r="K167" s="336"/>
      <c r="L167" s="335" t="s">
        <v>355</v>
      </c>
      <c r="M167" s="335"/>
    </row>
    <row r="168" spans="1:18" ht="14.25" x14ac:dyDescent="0.2">
      <c r="B168" s="216"/>
      <c r="C168" s="215">
        <v>5</v>
      </c>
      <c r="D168" s="335" t="s">
        <v>559</v>
      </c>
      <c r="E168" s="335"/>
      <c r="F168" s="335"/>
      <c r="G168" s="336" t="s">
        <v>367</v>
      </c>
      <c r="H168" s="336"/>
      <c r="I168" s="336"/>
      <c r="J168" s="336">
        <v>46</v>
      </c>
      <c r="K168" s="336"/>
      <c r="L168" s="335" t="s">
        <v>355</v>
      </c>
      <c r="M168" s="335"/>
    </row>
    <row r="169" spans="1:18" ht="14.25" x14ac:dyDescent="0.2">
      <c r="B169" s="216"/>
      <c r="C169" s="215">
        <v>13</v>
      </c>
      <c r="D169" s="335" t="s">
        <v>560</v>
      </c>
      <c r="E169" s="335"/>
      <c r="F169" s="335"/>
      <c r="G169" s="336" t="s">
        <v>510</v>
      </c>
      <c r="H169" s="336"/>
      <c r="I169" s="336"/>
      <c r="J169" s="336">
        <v>39</v>
      </c>
      <c r="K169" s="336"/>
      <c r="L169" s="335" t="s">
        <v>355</v>
      </c>
      <c r="M169" s="335"/>
    </row>
    <row r="170" spans="1:18" ht="14.25" x14ac:dyDescent="0.2">
      <c r="B170" s="216"/>
      <c r="C170" s="215">
        <v>18</v>
      </c>
      <c r="D170" s="335" t="s">
        <v>561</v>
      </c>
      <c r="E170" s="335"/>
      <c r="F170" s="335"/>
      <c r="G170" s="336" t="s">
        <v>538</v>
      </c>
      <c r="H170" s="336"/>
      <c r="I170" s="336"/>
      <c r="J170" s="336">
        <v>22</v>
      </c>
      <c r="K170" s="336"/>
      <c r="L170" s="335" t="s">
        <v>355</v>
      </c>
      <c r="M170" s="335"/>
    </row>
    <row r="171" spans="1:18" ht="14.25" x14ac:dyDescent="0.2">
      <c r="B171" s="216"/>
      <c r="C171" s="215">
        <v>12</v>
      </c>
      <c r="D171" s="337" t="s">
        <v>562</v>
      </c>
      <c r="E171" s="338"/>
      <c r="F171" s="339"/>
      <c r="G171" s="336" t="s">
        <v>372</v>
      </c>
      <c r="H171" s="336"/>
      <c r="I171" s="336"/>
      <c r="J171" s="336">
        <v>40</v>
      </c>
      <c r="K171" s="336"/>
      <c r="L171" s="335" t="s">
        <v>355</v>
      </c>
      <c r="M171" s="335"/>
    </row>
    <row r="172" spans="1:18" ht="14.25" x14ac:dyDescent="0.2">
      <c r="B172" s="216"/>
      <c r="C172" s="215">
        <v>19</v>
      </c>
      <c r="D172" s="335" t="s">
        <v>563</v>
      </c>
      <c r="E172" s="335"/>
      <c r="F172" s="335"/>
      <c r="G172" s="336" t="s">
        <v>557</v>
      </c>
      <c r="H172" s="336"/>
      <c r="I172" s="336"/>
      <c r="J172" s="336">
        <v>16</v>
      </c>
      <c r="K172" s="336"/>
      <c r="L172" s="335" t="s">
        <v>355</v>
      </c>
      <c r="M172" s="335"/>
    </row>
    <row r="173" spans="1:18" ht="14.25" x14ac:dyDescent="0.2">
      <c r="B173" s="216"/>
      <c r="C173" s="215">
        <v>13</v>
      </c>
      <c r="D173" s="335" t="s">
        <v>564</v>
      </c>
      <c r="E173" s="335"/>
      <c r="F173" s="335"/>
      <c r="G173" s="336" t="s">
        <v>565</v>
      </c>
      <c r="H173" s="336"/>
      <c r="I173" s="336"/>
      <c r="J173" s="336" t="s">
        <v>541</v>
      </c>
      <c r="K173" s="336"/>
      <c r="L173" s="335" t="s">
        <v>355</v>
      </c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BEAF838F-D3C5-4849-BC6C-86499BA3436C}">
      <formula1>INDIRECT(D63)</formula1>
    </dataValidation>
  </dataValidations>
  <hyperlinks>
    <hyperlink ref="J14:L15" location="Summary!A1" display="MTD Summary " xr:uid="{FA488A38-2992-4F75-B1C6-C7E318365122}"/>
    <hyperlink ref="J16:L17" location="Graph!A1" display="MTD Trendings" xr:uid="{8229881D-E84D-4B4D-ABC1-0976EC225303}"/>
  </hyperlinks>
  <printOptions horizontalCentered="1" verticalCentered="1"/>
  <pageMargins left="0.19685039370078741" right="0.19685039370078741" top="0" bottom="0" header="0.31496062992125984" footer="0.31496062992125984"/>
  <pageSetup paperSize="9" scale="35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DBF7FF4-2826-4654-814E-03BE71D70D0C}">
          <x14:formula1>
            <xm:f>Sheet3!$B$3:$B$5</xm:f>
          </x14:formula1>
          <xm:sqref>B143:B165 B132</xm:sqref>
        </x14:dataValidation>
        <x14:dataValidation type="list" allowBlank="1" showInputMessage="1" xr:uid="{83341934-22E7-4042-8C69-01A1BB46B146}">
          <x14:formula1>
            <xm:f>Sheet3!$D$3:$D$11</xm:f>
          </x14:formula1>
          <xm:sqref>C132</xm:sqref>
        </x14:dataValidation>
        <x14:dataValidation type="list" allowBlank="1" showInputMessage="1" showErrorMessage="1" xr:uid="{7D661A2A-6645-4F9C-B1D1-3CBC635D4468}">
          <x14:formula1>
            <xm:f>Sheet3!$C$3:$C$4</xm:f>
          </x14:formula1>
          <xm:sqref>M63:M132</xm:sqref>
        </x14:dataValidation>
        <x14:dataValidation type="list" allowBlank="1" showInputMessage="1" showErrorMessage="1" xr:uid="{4D48B110-5AB6-4813-99D0-043191D6A701}">
          <x14:formula1>
            <xm:f>List!$B$5:$B$8</xm:f>
          </x14:formula1>
          <xm:sqref>B63:B131</xm:sqref>
        </x14:dataValidation>
        <x14:dataValidation type="list" allowBlank="1" showInputMessage="1" showErrorMessage="1" xr:uid="{EF5CF8A2-0196-49D9-AE74-ACC2D4E80742}">
          <x14:formula1>
            <xm:f>List!$B$10:$B$12</xm:f>
          </x14:formula1>
          <xm:sqref>C63:C131</xm:sqref>
        </x14:dataValidation>
        <x14:dataValidation type="list" allowBlank="1" showInputMessage="1" showErrorMessage="1" xr:uid="{7B1E63A9-273C-42F6-A855-9640BFD4214C}">
          <x14:formula1>
            <xm:f>List!$C$5:$C$14</xm:f>
          </x14:formula1>
          <xm:sqref>D63:D131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D8A0-523F-4714-8221-CFB7EFFA0100}">
  <dimension ref="A1"/>
  <sheetViews>
    <sheetView zoomScaleNormal="60" zoomScaleSheetLayoutView="100" workbookViewId="0"/>
  </sheetViews>
  <sheetFormatPr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91C8-34AB-471C-BDCC-E227C401BAAD}">
  <sheetPr>
    <pageSetUpPr fitToPage="1"/>
  </sheetPr>
  <dimension ref="A1:R188"/>
  <sheetViews>
    <sheetView showGridLines="0" view="pageBreakPreview" topLeftCell="A61" zoomScale="80" zoomScaleNormal="90" zoomScaleSheetLayoutView="80" zoomScalePageLayoutView="80" workbookViewId="0">
      <selection activeCell="J14" sqref="J14:L15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6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1480.49</v>
      </c>
      <c r="K6" s="420"/>
      <c r="L6" s="420">
        <f ca="1">Summary!G13</f>
        <v>1578.76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100</v>
      </c>
      <c r="E7" s="84">
        <v>60</v>
      </c>
      <c r="F7" s="395">
        <v>60</v>
      </c>
      <c r="G7" s="396"/>
      <c r="H7" s="374">
        <f>SUM(D7:D10)</f>
        <v>490.27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130</v>
      </c>
      <c r="E8" s="86">
        <v>60</v>
      </c>
      <c r="F8" s="397">
        <v>60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140</v>
      </c>
      <c r="E9" s="86">
        <v>60</v>
      </c>
      <c r="F9" s="397">
        <v>60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120.27</v>
      </c>
      <c r="E10" s="88">
        <v>60</v>
      </c>
      <c r="F10" s="399">
        <v>60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100</v>
      </c>
      <c r="E11" s="90">
        <v>60</v>
      </c>
      <c r="F11" s="386">
        <v>60</v>
      </c>
      <c r="G11" s="387"/>
      <c r="H11" s="388">
        <f>SUM(D11:D14)</f>
        <v>490.22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130</v>
      </c>
      <c r="E12" s="92">
        <v>60</v>
      </c>
      <c r="F12" s="391">
        <v>60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140</v>
      </c>
      <c r="E13" s="92">
        <v>60</v>
      </c>
      <c r="F13" s="391">
        <v>60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120.22</v>
      </c>
      <c r="E14" s="94">
        <v>60</v>
      </c>
      <c r="F14" s="393">
        <v>60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120</v>
      </c>
      <c r="E15" s="96">
        <v>50</v>
      </c>
      <c r="F15" s="372">
        <v>50</v>
      </c>
      <c r="G15" s="373"/>
      <c r="H15" s="374">
        <f>SUM(D15:D18)</f>
        <v>500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130</v>
      </c>
      <c r="E16" s="98">
        <v>60</v>
      </c>
      <c r="F16" s="401">
        <v>50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110</v>
      </c>
      <c r="E17" s="98">
        <v>60</v>
      </c>
      <c r="F17" s="401">
        <v>60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140</v>
      </c>
      <c r="E18" s="100">
        <v>60</v>
      </c>
      <c r="F18" s="404">
        <v>60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1480.49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8</v>
      </c>
      <c r="D25" s="102">
        <v>170</v>
      </c>
      <c r="E25" s="56">
        <v>6</v>
      </c>
      <c r="F25" s="107">
        <v>142</v>
      </c>
      <c r="G25" s="410">
        <v>6</v>
      </c>
      <c r="H25" s="411"/>
      <c r="I25" s="111">
        <v>168</v>
      </c>
      <c r="J25" s="38">
        <f t="shared" ref="J25:J40" si="0">C25+E25+G25</f>
        <v>20</v>
      </c>
      <c r="K25" s="412">
        <f>D25+F25+I25</f>
        <v>480</v>
      </c>
      <c r="L25" s="413"/>
      <c r="M25" s="2"/>
    </row>
    <row r="26" spans="2:14" ht="14.1" customHeight="1" x14ac:dyDescent="0.2">
      <c r="B26" s="80" t="s">
        <v>281</v>
      </c>
      <c r="C26" s="45">
        <v>6</v>
      </c>
      <c r="D26" s="103">
        <v>148</v>
      </c>
      <c r="E26" s="57">
        <v>6</v>
      </c>
      <c r="F26" s="108">
        <v>150</v>
      </c>
      <c r="G26" s="406">
        <v>6</v>
      </c>
      <c r="H26" s="407"/>
      <c r="I26" s="112">
        <v>174.45</v>
      </c>
      <c r="J26" s="25">
        <f t="shared" si="0"/>
        <v>18</v>
      </c>
      <c r="K26" s="408">
        <f t="shared" ref="K26:K39" si="1">D26+F26+I26</f>
        <v>472.45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60</v>
      </c>
      <c r="E27" s="57"/>
      <c r="F27" s="108">
        <v>98</v>
      </c>
      <c r="G27" s="406"/>
      <c r="H27" s="407"/>
      <c r="I27" s="112">
        <v>87.35</v>
      </c>
      <c r="J27" s="25">
        <f t="shared" si="0"/>
        <v>0</v>
      </c>
      <c r="K27" s="408">
        <f t="shared" si="1"/>
        <v>245.35</v>
      </c>
      <c r="L27" s="409"/>
      <c r="M27" s="2"/>
    </row>
    <row r="28" spans="2:14" ht="14.1" customHeight="1" x14ac:dyDescent="0.2">
      <c r="B28" s="80" t="s">
        <v>283</v>
      </c>
      <c r="C28" s="45">
        <v>6</v>
      </c>
      <c r="D28" s="103"/>
      <c r="E28" s="57">
        <v>6</v>
      </c>
      <c r="F28" s="108"/>
      <c r="G28" s="406">
        <v>6</v>
      </c>
      <c r="H28" s="407"/>
      <c r="I28" s="112"/>
      <c r="J28" s="25">
        <f t="shared" si="0"/>
        <v>18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4</v>
      </c>
      <c r="D29" s="103"/>
      <c r="E29" s="57">
        <v>4</v>
      </c>
      <c r="F29" s="108"/>
      <c r="G29" s="406">
        <v>5</v>
      </c>
      <c r="H29" s="407"/>
      <c r="I29" s="112"/>
      <c r="J29" s="25">
        <f t="shared" si="0"/>
        <v>13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/>
      <c r="D30" s="103">
        <v>24</v>
      </c>
      <c r="E30" s="57">
        <v>1</v>
      </c>
      <c r="F30" s="108"/>
      <c r="G30" s="406"/>
      <c r="H30" s="407"/>
      <c r="I30" s="112"/>
      <c r="J30" s="25">
        <f t="shared" si="0"/>
        <v>1</v>
      </c>
      <c r="K30" s="408">
        <f t="shared" si="1"/>
        <v>24</v>
      </c>
      <c r="L30" s="409"/>
    </row>
    <row r="31" spans="2:14" ht="14.1" customHeight="1" x14ac:dyDescent="0.2">
      <c r="B31" s="80" t="s">
        <v>286</v>
      </c>
      <c r="C31" s="45">
        <v>3</v>
      </c>
      <c r="D31" s="103"/>
      <c r="E31" s="57">
        <v>2</v>
      </c>
      <c r="F31" s="108"/>
      <c r="G31" s="406">
        <v>3</v>
      </c>
      <c r="H31" s="407"/>
      <c r="I31" s="112"/>
      <c r="J31" s="25">
        <f t="shared" si="0"/>
        <v>8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1</v>
      </c>
      <c r="F32" s="108"/>
      <c r="G32" s="406">
        <v>2</v>
      </c>
      <c r="H32" s="407"/>
      <c r="I32" s="112"/>
      <c r="J32" s="25">
        <f t="shared" si="0"/>
        <v>4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/>
      <c r="G33" s="406">
        <v>1</v>
      </c>
      <c r="H33" s="407"/>
      <c r="I33" s="112"/>
      <c r="J33" s="25">
        <f t="shared" si="0"/>
        <v>1</v>
      </c>
      <c r="K33" s="408">
        <f t="shared" si="1"/>
        <v>0</v>
      </c>
      <c r="L33" s="409"/>
    </row>
    <row r="34" spans="1:16" ht="14.1" customHeight="1" x14ac:dyDescent="0.2">
      <c r="B34" s="80" t="s">
        <v>289</v>
      </c>
      <c r="C34" s="45"/>
      <c r="D34" s="103"/>
      <c r="E34" s="57"/>
      <c r="F34" s="108"/>
      <c r="G34" s="406">
        <v>1</v>
      </c>
      <c r="H34" s="407"/>
      <c r="I34" s="112"/>
      <c r="J34" s="25">
        <f t="shared" si="0"/>
        <v>1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/>
      <c r="E36" s="58"/>
      <c r="F36" s="109">
        <v>27</v>
      </c>
      <c r="G36" s="406"/>
      <c r="H36" s="407"/>
      <c r="I36" s="113"/>
      <c r="J36" s="25">
        <f t="shared" si="0"/>
        <v>0</v>
      </c>
      <c r="K36" s="408">
        <f t="shared" si="1"/>
        <v>27</v>
      </c>
      <c r="L36" s="409"/>
    </row>
    <row r="37" spans="1:16" ht="14.1" customHeight="1" x14ac:dyDescent="0.2">
      <c r="B37" s="37" t="s">
        <v>292</v>
      </c>
      <c r="C37" s="55"/>
      <c r="D37" s="104">
        <v>1.98</v>
      </c>
      <c r="E37" s="58"/>
      <c r="F37" s="109">
        <v>2.97</v>
      </c>
      <c r="G37" s="406"/>
      <c r="H37" s="407"/>
      <c r="I37" s="113">
        <v>2.97</v>
      </c>
      <c r="J37" s="25">
        <f t="shared" si="0"/>
        <v>0</v>
      </c>
      <c r="K37" s="408">
        <f t="shared" si="1"/>
        <v>7.92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v>30</v>
      </c>
      <c r="J38" s="25">
        <f t="shared" si="0"/>
        <v>0</v>
      </c>
      <c r="K38" s="408">
        <f t="shared" si="1"/>
        <v>30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180</v>
      </c>
      <c r="J39" s="25">
        <f t="shared" si="0"/>
        <v>0</v>
      </c>
      <c r="K39" s="408">
        <f t="shared" si="1"/>
        <v>180</v>
      </c>
      <c r="L39" s="409"/>
    </row>
    <row r="40" spans="1:16" ht="14.1" customHeight="1" thickBot="1" x14ac:dyDescent="0.25">
      <c r="B40" s="81" t="s">
        <v>295</v>
      </c>
      <c r="C40" s="47"/>
      <c r="D40" s="105">
        <v>109.2</v>
      </c>
      <c r="E40" s="59"/>
      <c r="F40" s="110">
        <v>117.84</v>
      </c>
      <c r="G40" s="473"/>
      <c r="H40" s="474"/>
      <c r="I40" s="114"/>
      <c r="J40" s="26">
        <f t="shared" si="0"/>
        <v>0</v>
      </c>
      <c r="K40" s="475">
        <f>D40+F40+I40</f>
        <v>227.04000000000002</v>
      </c>
      <c r="L40" s="476"/>
    </row>
    <row r="41" spans="1:16" ht="17.25" customHeight="1" x14ac:dyDescent="0.2">
      <c r="B41" s="15" t="s">
        <v>273</v>
      </c>
      <c r="C41" s="16">
        <f>SUM(C25:C40)</f>
        <v>28</v>
      </c>
      <c r="D41" s="106">
        <f>SUM(D25:D40)</f>
        <v>513.18000000000006</v>
      </c>
      <c r="E41" s="16">
        <f>SUM(E25:E40)</f>
        <v>26</v>
      </c>
      <c r="F41" s="106">
        <f>SUM(F25:F40)</f>
        <v>537.81000000000006</v>
      </c>
      <c r="G41" s="430">
        <f>SUM(G25:H40)</f>
        <v>30</v>
      </c>
      <c r="H41" s="430"/>
      <c r="I41" s="106">
        <f>SUM(I25:I40)</f>
        <v>642.77</v>
      </c>
      <c r="J41" s="16">
        <f>SUM(J25:J40)</f>
        <v>84</v>
      </c>
      <c r="K41" s="477">
        <f>SUM(K25:L40)</f>
        <v>1693.76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/>
      <c r="D45" s="210"/>
      <c r="E45" s="209"/>
      <c r="F45" s="210"/>
      <c r="G45" s="471"/>
      <c r="H45" s="472"/>
      <c r="I45" s="209">
        <v>0.1</v>
      </c>
      <c r="J45" s="209">
        <v>0.3</v>
      </c>
      <c r="K45" s="209">
        <v>0.1</v>
      </c>
      <c r="L45" s="210"/>
      <c r="M45" s="211"/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38">
        <f>G45*50</f>
        <v>0</v>
      </c>
      <c r="H46" s="439"/>
      <c r="I46" s="40">
        <f>I45*65</f>
        <v>6.5</v>
      </c>
      <c r="J46" s="40">
        <f>J45*50</f>
        <v>15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/>
      <c r="D48" s="209"/>
      <c r="E48" s="209"/>
      <c r="F48" s="209">
        <v>1</v>
      </c>
      <c r="G48" s="442">
        <v>0.2</v>
      </c>
      <c r="H48" s="443"/>
      <c r="I48" s="209">
        <v>0.7</v>
      </c>
      <c r="J48" s="209">
        <v>0</v>
      </c>
      <c r="K48" s="209">
        <v>0</v>
      </c>
      <c r="L48" s="209">
        <v>0.3</v>
      </c>
      <c r="M48" s="211">
        <v>0.8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160</v>
      </c>
      <c r="G49" s="438">
        <f>G48*100</f>
        <v>20</v>
      </c>
      <c r="H49" s="439"/>
      <c r="I49" s="40">
        <f>I48*100</f>
        <v>70</v>
      </c>
      <c r="J49" s="40">
        <f>J48*150</f>
        <v>0</v>
      </c>
      <c r="K49" s="40">
        <f>K48*70</f>
        <v>0</v>
      </c>
      <c r="L49" s="40">
        <f>L48*70</f>
        <v>21</v>
      </c>
      <c r="M49" s="79">
        <f>M48*70</f>
        <v>56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0.2</v>
      </c>
      <c r="D51" s="213">
        <v>0</v>
      </c>
      <c r="E51" s="213">
        <v>0</v>
      </c>
      <c r="F51" s="209"/>
      <c r="G51" s="442"/>
      <c r="H51" s="443"/>
      <c r="I51" s="209">
        <v>0</v>
      </c>
      <c r="J51" s="209">
        <v>0</v>
      </c>
      <c r="K51" s="209">
        <v>0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14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367.5</v>
      </c>
      <c r="F54" s="39" t="s">
        <v>309</v>
      </c>
      <c r="G54" s="188"/>
      <c r="H54" s="188"/>
      <c r="I54" s="30">
        <f>'5'!D54</f>
        <v>313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>
        <v>174000</v>
      </c>
      <c r="D58" s="60">
        <v>18000</v>
      </c>
      <c r="E58" s="124">
        <f>SUM(C58:D58)</f>
        <v>192000</v>
      </c>
      <c r="F58" s="425"/>
      <c r="G58" s="426"/>
      <c r="H58" s="60">
        <v>3725</v>
      </c>
      <c r="I58" s="61">
        <v>2561</v>
      </c>
      <c r="J58" s="422"/>
      <c r="K58" s="428"/>
      <c r="L58" s="60">
        <v>6736.23</v>
      </c>
      <c r="M58" s="61">
        <f>L58/3</f>
        <v>2245.41</v>
      </c>
      <c r="N58" s="288">
        <v>4.55</v>
      </c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129.68679288613905</v>
      </c>
      <c r="D59" s="432"/>
      <c r="E59" s="433"/>
      <c r="F59" s="434" t="s">
        <v>321</v>
      </c>
      <c r="G59" s="435"/>
      <c r="H59" s="436">
        <f>IF(ISERROR(SUM(H58:I58)/$H$19),"",(SUM(H58:I58)/$H$19))</f>
        <v>4.2458915629284899</v>
      </c>
      <c r="I59" s="437"/>
      <c r="J59" s="434" t="s">
        <v>322</v>
      </c>
      <c r="K59" s="435"/>
      <c r="L59" s="115">
        <f>IF(ISERROR(L58/$H$19),"",(L58/$H$19))</f>
        <v>4.550000337726023</v>
      </c>
      <c r="M59" s="116">
        <f>IF(ISERROR(M58/$H$19),"",(M58/$H$19))</f>
        <v>1.5166667792420077</v>
      </c>
      <c r="N59" s="194">
        <f>N58*H19</f>
        <v>6736.2294999999995</v>
      </c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1.2361111111111112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6</v>
      </c>
      <c r="C63" s="236" t="s">
        <v>22</v>
      </c>
      <c r="D63" s="236" t="s">
        <v>20</v>
      </c>
      <c r="E63" s="322"/>
      <c r="F63" s="324"/>
      <c r="G63" s="322" t="s">
        <v>566</v>
      </c>
      <c r="H63" s="323"/>
      <c r="I63" s="323"/>
      <c r="J63" s="324"/>
      <c r="K63" s="238">
        <v>0.375</v>
      </c>
      <c r="L63" s="238">
        <v>0.39583333333333331</v>
      </c>
      <c r="M63" s="236" t="s">
        <v>9</v>
      </c>
      <c r="N63" s="237">
        <f t="shared" ref="N63:N126" si="2">IF(M63="No","",IF(M63="Yes",(L63-K63+(L63&lt;K63)),""))</f>
        <v>2.0833333333333315E-2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23</v>
      </c>
      <c r="E64" s="322"/>
      <c r="F64" s="324"/>
      <c r="G64" s="322" t="s">
        <v>566</v>
      </c>
      <c r="H64" s="323"/>
      <c r="I64" s="323"/>
      <c r="J64" s="324"/>
      <c r="K64" s="238">
        <v>0.3611111111111111</v>
      </c>
      <c r="L64" s="238">
        <v>0.38194444444444442</v>
      </c>
      <c r="M64" s="236" t="s">
        <v>9</v>
      </c>
      <c r="N64" s="237">
        <f t="shared" si="2"/>
        <v>2.0833333333333315E-2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26</v>
      </c>
      <c r="E65" s="322"/>
      <c r="F65" s="324"/>
      <c r="G65" s="322" t="s">
        <v>566</v>
      </c>
      <c r="H65" s="323"/>
      <c r="I65" s="323"/>
      <c r="J65" s="324"/>
      <c r="K65" s="239">
        <v>0.35416666666666669</v>
      </c>
      <c r="L65" s="239">
        <v>0.36805555555555558</v>
      </c>
      <c r="M65" s="236" t="s">
        <v>9</v>
      </c>
      <c r="N65" s="237">
        <f t="shared" si="2"/>
        <v>1.3888888888888895E-2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20</v>
      </c>
      <c r="E66" s="322" t="s">
        <v>108</v>
      </c>
      <c r="F66" s="324"/>
      <c r="G66" s="322" t="s">
        <v>567</v>
      </c>
      <c r="H66" s="323"/>
      <c r="I66" s="323"/>
      <c r="J66" s="324"/>
      <c r="K66" s="239">
        <v>0.40277777777777773</v>
      </c>
      <c r="L66" s="239">
        <v>0.45833333333333331</v>
      </c>
      <c r="M66" s="236" t="s">
        <v>9</v>
      </c>
      <c r="N66" s="237">
        <f t="shared" si="2"/>
        <v>5.555555555555558E-2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15</v>
      </c>
      <c r="E67" s="322" t="s">
        <v>62</v>
      </c>
      <c r="F67" s="324"/>
      <c r="G67" s="322" t="s">
        <v>568</v>
      </c>
      <c r="H67" s="323"/>
      <c r="I67" s="323"/>
      <c r="J67" s="324"/>
      <c r="K67" s="238">
        <v>0.34722222222222227</v>
      </c>
      <c r="L67" s="238">
        <v>0.59027777777777779</v>
      </c>
      <c r="M67" s="236" t="s">
        <v>9</v>
      </c>
      <c r="N67" s="237">
        <f t="shared" si="2"/>
        <v>0.24305555555555552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322"/>
      <c r="F68" s="324"/>
      <c r="G68" s="322"/>
      <c r="H68" s="323"/>
      <c r="I68" s="323"/>
      <c r="J68" s="324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 t="s">
        <v>10</v>
      </c>
      <c r="C69" s="236" t="s">
        <v>25</v>
      </c>
      <c r="D69" s="236"/>
      <c r="E69" s="322"/>
      <c r="F69" s="324"/>
      <c r="G69" s="322"/>
      <c r="H69" s="323"/>
      <c r="I69" s="323"/>
      <c r="J69" s="324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322"/>
      <c r="F70" s="324"/>
      <c r="H70" s="272"/>
      <c r="I70" s="272"/>
      <c r="J70" s="272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322"/>
      <c r="F71" s="324"/>
      <c r="G71" s="281"/>
      <c r="H71" s="282"/>
      <c r="I71" s="282"/>
      <c r="J71" s="283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322"/>
      <c r="F72" s="324"/>
      <c r="G72" s="322"/>
      <c r="H72" s="323"/>
      <c r="I72" s="323"/>
      <c r="J72" s="324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 t="s">
        <v>14</v>
      </c>
      <c r="C73" s="236" t="s">
        <v>28</v>
      </c>
      <c r="D73" s="236" t="s">
        <v>26</v>
      </c>
      <c r="E73" s="322" t="s">
        <v>97</v>
      </c>
      <c r="F73" s="324"/>
      <c r="G73" s="322" t="s">
        <v>569</v>
      </c>
      <c r="H73" s="323"/>
      <c r="I73" s="323"/>
      <c r="J73" s="324"/>
      <c r="K73" s="239">
        <v>0.16666666666666666</v>
      </c>
      <c r="L73" s="239"/>
      <c r="M73" s="236" t="s">
        <v>9</v>
      </c>
      <c r="N73" s="237">
        <f t="shared" si="2"/>
        <v>0.83333333333333337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20</v>
      </c>
      <c r="E74" s="322" t="s">
        <v>106</v>
      </c>
      <c r="F74" s="324"/>
      <c r="G74" s="322" t="s">
        <v>528</v>
      </c>
      <c r="H74" s="323"/>
      <c r="I74" s="323"/>
      <c r="J74" s="324"/>
      <c r="K74" s="238">
        <v>0.97222222222222221</v>
      </c>
      <c r="L74" s="238">
        <v>1.0208333333333333</v>
      </c>
      <c r="M74" s="236" t="s">
        <v>9</v>
      </c>
      <c r="N74" s="237">
        <f t="shared" si="2"/>
        <v>4.8611111111111049E-2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322"/>
      <c r="F75" s="324"/>
      <c r="G75" s="322"/>
      <c r="H75" s="323"/>
      <c r="I75" s="323"/>
      <c r="J75" s="324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322"/>
      <c r="F76" s="324"/>
      <c r="G76" s="322"/>
      <c r="H76" s="323"/>
      <c r="I76" s="323"/>
      <c r="J76" s="324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322"/>
      <c r="F77" s="324"/>
      <c r="G77" s="322"/>
      <c r="H77" s="323"/>
      <c r="I77" s="323"/>
      <c r="J77" s="324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/>
      <c r="H78" s="323"/>
      <c r="I78" s="323"/>
      <c r="J78" s="324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322"/>
      <c r="F79" s="324"/>
      <c r="G79" s="322"/>
      <c r="H79" s="323"/>
      <c r="I79" s="323"/>
      <c r="J79" s="324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322"/>
      <c r="F80" s="324"/>
      <c r="G80" s="322"/>
      <c r="H80" s="323"/>
      <c r="I80" s="323"/>
      <c r="J80" s="324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322"/>
      <c r="F81" s="324"/>
      <c r="G81" s="322"/>
      <c r="H81" s="323"/>
      <c r="I81" s="323"/>
      <c r="J81" s="324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322"/>
      <c r="F83" s="324"/>
      <c r="G83" s="322"/>
      <c r="H83" s="323"/>
      <c r="I83" s="323"/>
      <c r="J83" s="324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15.75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/>
      <c r="D136" s="481"/>
      <c r="E136" s="463" t="s">
        <v>570</v>
      </c>
      <c r="F136" s="464"/>
      <c r="G136" s="452" t="s">
        <v>344</v>
      </c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395</v>
      </c>
      <c r="D137" s="479"/>
      <c r="E137" s="463"/>
      <c r="F137" s="464"/>
      <c r="G137" s="452"/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35"/>
      <c r="E143" s="335"/>
      <c r="F143" s="335"/>
      <c r="G143" s="336"/>
      <c r="H143" s="336"/>
      <c r="I143" s="336"/>
      <c r="J143" s="336"/>
      <c r="K143" s="336"/>
      <c r="L143" s="335"/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 t="s">
        <v>255</v>
      </c>
      <c r="C144" s="215">
        <v>18</v>
      </c>
      <c r="D144" s="335" t="s">
        <v>571</v>
      </c>
      <c r="E144" s="335"/>
      <c r="F144" s="335"/>
      <c r="G144" s="336" t="s">
        <v>538</v>
      </c>
      <c r="H144" s="336"/>
      <c r="I144" s="336"/>
      <c r="J144" s="336">
        <v>15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12</v>
      </c>
      <c r="D145" s="335" t="s">
        <v>572</v>
      </c>
      <c r="E145" s="335"/>
      <c r="F145" s="335"/>
      <c r="G145" s="336" t="s">
        <v>372</v>
      </c>
      <c r="H145" s="336"/>
      <c r="I145" s="336"/>
      <c r="J145" s="336">
        <v>58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 t="s">
        <v>573</v>
      </c>
      <c r="D146" s="335" t="s">
        <v>574</v>
      </c>
      <c r="E146" s="335"/>
      <c r="F146" s="335"/>
      <c r="G146" s="336" t="s">
        <v>367</v>
      </c>
      <c r="H146" s="336"/>
      <c r="I146" s="336"/>
      <c r="J146" s="336">
        <v>60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9</v>
      </c>
      <c r="D147" s="335" t="s">
        <v>575</v>
      </c>
      <c r="E147" s="335"/>
      <c r="F147" s="335"/>
      <c r="G147" s="336" t="s">
        <v>367</v>
      </c>
      <c r="H147" s="336"/>
      <c r="I147" s="336"/>
      <c r="J147" s="336">
        <v>42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13</v>
      </c>
      <c r="D148" s="335" t="s">
        <v>576</v>
      </c>
      <c r="E148" s="335"/>
      <c r="F148" s="335"/>
      <c r="G148" s="336" t="s">
        <v>540</v>
      </c>
      <c r="H148" s="336"/>
      <c r="I148" s="336"/>
      <c r="J148" s="336">
        <v>45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13</v>
      </c>
      <c r="D149" s="335" t="s">
        <v>577</v>
      </c>
      <c r="E149" s="335"/>
      <c r="F149" s="335"/>
      <c r="G149" s="336" t="s">
        <v>359</v>
      </c>
      <c r="H149" s="336"/>
      <c r="I149" s="336"/>
      <c r="J149" s="336">
        <v>50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19</v>
      </c>
      <c r="D150" s="335" t="s">
        <v>578</v>
      </c>
      <c r="E150" s="335"/>
      <c r="F150" s="335"/>
      <c r="G150" s="336" t="s">
        <v>361</v>
      </c>
      <c r="H150" s="336"/>
      <c r="I150" s="336"/>
      <c r="J150" s="336">
        <v>10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23</v>
      </c>
      <c r="D151" s="335" t="s">
        <v>579</v>
      </c>
      <c r="E151" s="335"/>
      <c r="F151" s="335"/>
      <c r="G151" s="336" t="s">
        <v>403</v>
      </c>
      <c r="H151" s="336"/>
      <c r="I151" s="336"/>
      <c r="J151" s="336">
        <v>350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12</v>
      </c>
      <c r="D152" s="335" t="s">
        <v>572</v>
      </c>
      <c r="E152" s="335"/>
      <c r="F152" s="335"/>
      <c r="G152" s="336" t="s">
        <v>372</v>
      </c>
      <c r="H152" s="336"/>
      <c r="I152" s="336"/>
      <c r="J152" s="336">
        <v>59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 t="s">
        <v>573</v>
      </c>
      <c r="D153" s="335" t="s">
        <v>574</v>
      </c>
      <c r="E153" s="335"/>
      <c r="F153" s="335"/>
      <c r="G153" s="336" t="s">
        <v>367</v>
      </c>
      <c r="H153" s="336"/>
      <c r="I153" s="336"/>
      <c r="J153" s="336">
        <v>62</v>
      </c>
      <c r="K153" s="336"/>
      <c r="L153" s="335" t="s">
        <v>355</v>
      </c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35"/>
      <c r="E154" s="335"/>
      <c r="F154" s="335"/>
      <c r="G154" s="336"/>
      <c r="H154" s="336"/>
      <c r="I154" s="336"/>
      <c r="J154" s="336"/>
      <c r="K154" s="336"/>
      <c r="L154" s="335"/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 t="s">
        <v>261</v>
      </c>
      <c r="C155" s="215">
        <v>13</v>
      </c>
      <c r="D155" s="335" t="s">
        <v>580</v>
      </c>
      <c r="E155" s="335"/>
      <c r="F155" s="335"/>
      <c r="G155" s="336" t="s">
        <v>382</v>
      </c>
      <c r="H155" s="336"/>
      <c r="I155" s="336"/>
      <c r="J155" s="336">
        <v>43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 t="s">
        <v>376</v>
      </c>
      <c r="D156" s="335" t="s">
        <v>581</v>
      </c>
      <c r="E156" s="335"/>
      <c r="F156" s="335"/>
      <c r="G156" s="336" t="s">
        <v>357</v>
      </c>
      <c r="H156" s="336"/>
      <c r="I156" s="336"/>
      <c r="J156" s="336" t="s">
        <v>582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 t="s">
        <v>378</v>
      </c>
      <c r="D157" s="335" t="s">
        <v>583</v>
      </c>
      <c r="E157" s="335"/>
      <c r="F157" s="335"/>
      <c r="G157" s="336" t="s">
        <v>367</v>
      </c>
      <c r="H157" s="336"/>
      <c r="I157" s="336"/>
      <c r="J157" s="336">
        <v>50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12</v>
      </c>
      <c r="D158" s="335" t="s">
        <v>584</v>
      </c>
      <c r="E158" s="335"/>
      <c r="F158" s="335"/>
      <c r="G158" s="336" t="s">
        <v>372</v>
      </c>
      <c r="H158" s="336"/>
      <c r="I158" s="336"/>
      <c r="J158" s="336">
        <v>25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18</v>
      </c>
      <c r="D159" s="335" t="s">
        <v>585</v>
      </c>
      <c r="E159" s="335"/>
      <c r="F159" s="335"/>
      <c r="G159" s="336" t="s">
        <v>538</v>
      </c>
      <c r="H159" s="336"/>
      <c r="I159" s="336"/>
      <c r="J159" s="336">
        <v>12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14</v>
      </c>
      <c r="D160" s="335" t="s">
        <v>583</v>
      </c>
      <c r="E160" s="335"/>
      <c r="F160" s="335"/>
      <c r="G160" s="336" t="s">
        <v>447</v>
      </c>
      <c r="H160" s="336"/>
      <c r="I160" s="336"/>
      <c r="J160" s="336">
        <v>22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19</v>
      </c>
      <c r="D161" s="335" t="s">
        <v>586</v>
      </c>
      <c r="E161" s="335"/>
      <c r="F161" s="335"/>
      <c r="G161" s="336" t="s">
        <v>587</v>
      </c>
      <c r="H161" s="336"/>
      <c r="I161" s="336"/>
      <c r="J161" s="336">
        <v>10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35"/>
      <c r="E162" s="335"/>
      <c r="F162" s="335"/>
      <c r="G162" s="336"/>
      <c r="H162" s="336"/>
      <c r="I162" s="336"/>
      <c r="J162" s="336"/>
      <c r="K162" s="336"/>
      <c r="L162" s="335"/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 t="s">
        <v>267</v>
      </c>
      <c r="C163" s="215">
        <v>18</v>
      </c>
      <c r="D163" s="335" t="s">
        <v>588</v>
      </c>
      <c r="E163" s="335"/>
      <c r="F163" s="335"/>
      <c r="G163" s="336" t="s">
        <v>538</v>
      </c>
      <c r="H163" s="336"/>
      <c r="I163" s="336"/>
      <c r="J163" s="336">
        <v>16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13</v>
      </c>
      <c r="D164" s="335" t="s">
        <v>589</v>
      </c>
      <c r="E164" s="335"/>
      <c r="F164" s="335"/>
      <c r="G164" s="336" t="s">
        <v>510</v>
      </c>
      <c r="H164" s="336"/>
      <c r="I164" s="336"/>
      <c r="J164" s="336">
        <v>44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19</v>
      </c>
      <c r="D165" s="335" t="s">
        <v>590</v>
      </c>
      <c r="E165" s="335"/>
      <c r="F165" s="335"/>
      <c r="G165" s="336" t="s">
        <v>557</v>
      </c>
      <c r="H165" s="336"/>
      <c r="I165" s="336"/>
      <c r="J165" s="336">
        <v>13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9</v>
      </c>
      <c r="D166" s="335" t="s">
        <v>591</v>
      </c>
      <c r="E166" s="335"/>
      <c r="F166" s="335"/>
      <c r="G166" s="336" t="s">
        <v>367</v>
      </c>
      <c r="H166" s="336"/>
      <c r="I166" s="336"/>
      <c r="J166" s="336">
        <v>42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>
        <v>1</v>
      </c>
      <c r="D167" s="335" t="s">
        <v>592</v>
      </c>
      <c r="E167" s="335"/>
      <c r="F167" s="335"/>
      <c r="G167" s="336" t="s">
        <v>357</v>
      </c>
      <c r="H167" s="336"/>
      <c r="I167" s="336"/>
      <c r="J167" s="336">
        <v>23</v>
      </c>
      <c r="K167" s="336"/>
      <c r="L167" s="335" t="s">
        <v>355</v>
      </c>
      <c r="M167" s="335"/>
    </row>
    <row r="168" spans="1:18" ht="14.25" x14ac:dyDescent="0.2">
      <c r="B168" s="216"/>
      <c r="C168" s="215"/>
      <c r="D168" s="335"/>
      <c r="E168" s="335"/>
      <c r="F168" s="335"/>
      <c r="G168" s="336"/>
      <c r="H168" s="336"/>
      <c r="I168" s="336"/>
      <c r="J168" s="336"/>
      <c r="K168" s="336"/>
      <c r="L168" s="335"/>
      <c r="M168" s="335"/>
    </row>
    <row r="169" spans="1:18" ht="14.25" x14ac:dyDescent="0.2">
      <c r="B169" s="216"/>
      <c r="C169" s="215"/>
      <c r="D169" s="335"/>
      <c r="E169" s="335"/>
      <c r="F169" s="335"/>
      <c r="G169" s="336"/>
      <c r="H169" s="336"/>
      <c r="I169" s="336"/>
      <c r="J169" s="336"/>
      <c r="K169" s="336"/>
      <c r="L169" s="335"/>
      <c r="M169" s="335"/>
    </row>
    <row r="170" spans="1:18" ht="14.25" x14ac:dyDescent="0.2">
      <c r="B170" s="216"/>
      <c r="C170" s="215"/>
      <c r="D170" s="335"/>
      <c r="E170" s="335"/>
      <c r="F170" s="335"/>
      <c r="G170" s="336"/>
      <c r="H170" s="336"/>
      <c r="I170" s="336"/>
      <c r="J170" s="336"/>
      <c r="K170" s="336"/>
      <c r="L170" s="335"/>
      <c r="M170" s="335"/>
    </row>
    <row r="171" spans="1:18" ht="14.25" x14ac:dyDescent="0.2">
      <c r="B171" s="216"/>
      <c r="C171" s="215"/>
      <c r="D171" s="337"/>
      <c r="E171" s="338"/>
      <c r="F171" s="339"/>
      <c r="G171" s="336"/>
      <c r="H171" s="336"/>
      <c r="I171" s="336"/>
      <c r="J171" s="336"/>
      <c r="K171" s="336"/>
      <c r="L171" s="335"/>
      <c r="M171" s="335"/>
    </row>
    <row r="172" spans="1:18" ht="14.25" x14ac:dyDescent="0.2">
      <c r="B172" s="216"/>
      <c r="C172" s="215"/>
      <c r="D172" s="335"/>
      <c r="E172" s="335"/>
      <c r="F172" s="335"/>
      <c r="G172" s="336"/>
      <c r="H172" s="336"/>
      <c r="I172" s="336"/>
      <c r="J172" s="336"/>
      <c r="K172" s="336"/>
      <c r="L172" s="335"/>
      <c r="M172" s="335"/>
    </row>
    <row r="173" spans="1:18" ht="14.25" x14ac:dyDescent="0.2">
      <c r="B173" s="216"/>
      <c r="C173" s="215"/>
      <c r="D173" s="335"/>
      <c r="E173" s="335"/>
      <c r="F173" s="335"/>
      <c r="G173" s="336"/>
      <c r="H173" s="336"/>
      <c r="I173" s="336"/>
      <c r="J173" s="336"/>
      <c r="K173" s="336"/>
      <c r="L173" s="335"/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4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EC57ED6D-E7B9-4FE4-928F-17AEA01BEDEF}">
      <formula1>INDIRECT(D63)</formula1>
    </dataValidation>
  </dataValidations>
  <hyperlinks>
    <hyperlink ref="J14:L15" location="Summary!A1" display="MTD Summary " xr:uid="{3B9FD8D9-8FB1-4F2C-897F-89E87E8DDF08}"/>
    <hyperlink ref="J16:L17" location="Graph!A1" display="MTD Trendings" xr:uid="{0668B9A1-BF4F-488C-B76B-3831D3FEFDB9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40CED6D-62D2-4779-A0C6-47FDD5046B53}">
          <x14:formula1>
            <xm:f>List!$C$5:$C$14</xm:f>
          </x14:formula1>
          <xm:sqref>D63:D131</xm:sqref>
        </x14:dataValidation>
        <x14:dataValidation type="list" allowBlank="1" showInputMessage="1" showErrorMessage="1" xr:uid="{AC795FCA-F783-4BE9-A786-4725C84FC57C}">
          <x14:formula1>
            <xm:f>List!$B$10:$B$12</xm:f>
          </x14:formula1>
          <xm:sqref>C63:C131</xm:sqref>
        </x14:dataValidation>
        <x14:dataValidation type="list" allowBlank="1" showInputMessage="1" showErrorMessage="1" xr:uid="{E5AF17C5-F14D-4284-A90E-913999031443}">
          <x14:formula1>
            <xm:f>List!$B$5:$B$8</xm:f>
          </x14:formula1>
          <xm:sqref>B63:B131</xm:sqref>
        </x14:dataValidation>
        <x14:dataValidation type="list" allowBlank="1" showInputMessage="1" showErrorMessage="1" xr:uid="{0D4A4089-E964-4973-8082-DD698B8BDAF7}">
          <x14:formula1>
            <xm:f>Sheet3!$C$3:$C$4</xm:f>
          </x14:formula1>
          <xm:sqref>M63:M132</xm:sqref>
        </x14:dataValidation>
        <x14:dataValidation type="list" allowBlank="1" showInputMessage="1" xr:uid="{7350213E-4B48-41F9-96C4-D862A444F0CC}">
          <x14:formula1>
            <xm:f>Sheet3!$D$3:$D$11</xm:f>
          </x14:formula1>
          <xm:sqref>C132</xm:sqref>
        </x14:dataValidation>
        <x14:dataValidation type="list" allowBlank="1" showInputMessage="1" showErrorMessage="1" xr:uid="{E24A5BF0-E474-4307-A20A-E001F417B373}">
          <x14:formula1>
            <xm:f>Sheet3!$B$3:$B$5</xm:f>
          </x14:formula1>
          <xm:sqref>B143:B165 B132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A10F-9872-4268-BD80-5D339D4EEF6A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I17" sqref="I17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7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1700.8200000000002</v>
      </c>
      <c r="K6" s="420"/>
      <c r="L6" s="420">
        <f ca="1">Summary!G14</f>
        <v>1279.24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100</v>
      </c>
      <c r="E7" s="84">
        <v>60</v>
      </c>
      <c r="F7" s="395">
        <v>60</v>
      </c>
      <c r="G7" s="396"/>
      <c r="H7" s="374">
        <f>SUM(D7:D10)</f>
        <v>530.27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130</v>
      </c>
      <c r="E8" s="86">
        <v>60</v>
      </c>
      <c r="F8" s="397">
        <v>60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140</v>
      </c>
      <c r="E9" s="86">
        <v>60</v>
      </c>
      <c r="F9" s="397">
        <v>60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160.27000000000001</v>
      </c>
      <c r="E10" s="88">
        <v>60</v>
      </c>
      <c r="F10" s="399">
        <v>60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140</v>
      </c>
      <c r="E11" s="90">
        <v>60</v>
      </c>
      <c r="F11" s="386">
        <v>60</v>
      </c>
      <c r="G11" s="387"/>
      <c r="H11" s="388">
        <f>SUM(D11:D14)</f>
        <v>630.22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160</v>
      </c>
      <c r="E12" s="92">
        <v>60</v>
      </c>
      <c r="F12" s="391">
        <v>60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160</v>
      </c>
      <c r="E13" s="92">
        <v>60</v>
      </c>
      <c r="F13" s="391">
        <v>60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170.22</v>
      </c>
      <c r="E14" s="94">
        <v>60</v>
      </c>
      <c r="F14" s="393">
        <v>60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130</v>
      </c>
      <c r="E15" s="96">
        <v>60</v>
      </c>
      <c r="F15" s="372">
        <v>60</v>
      </c>
      <c r="G15" s="373"/>
      <c r="H15" s="374">
        <f>SUM(D15:D18)</f>
        <v>540.33000000000004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160</v>
      </c>
      <c r="E16" s="98">
        <v>60</v>
      </c>
      <c r="F16" s="401">
        <v>60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150</v>
      </c>
      <c r="E17" s="98">
        <v>60</v>
      </c>
      <c r="F17" s="401">
        <v>60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100.33</v>
      </c>
      <c r="E18" s="100">
        <v>60</v>
      </c>
      <c r="F18" s="404">
        <v>60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1700.8200000000002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6</v>
      </c>
      <c r="D25" s="102">
        <v>60</v>
      </c>
      <c r="E25" s="56">
        <v>6</v>
      </c>
      <c r="F25" s="107">
        <v>74</v>
      </c>
      <c r="G25" s="410">
        <v>8</v>
      </c>
      <c r="H25" s="411"/>
      <c r="I25" s="111">
        <v>80</v>
      </c>
      <c r="J25" s="38">
        <f t="shared" ref="J25:J40" si="0">C25+E25+G25</f>
        <v>20</v>
      </c>
      <c r="K25" s="412">
        <f>D25+F25+I25</f>
        <v>214</v>
      </c>
      <c r="L25" s="413"/>
      <c r="M25" s="2"/>
    </row>
    <row r="26" spans="2:14" ht="14.1" customHeight="1" x14ac:dyDescent="0.2">
      <c r="B26" s="80" t="s">
        <v>281</v>
      </c>
      <c r="C26" s="45">
        <v>4</v>
      </c>
      <c r="D26" s="103">
        <v>100</v>
      </c>
      <c r="E26" s="57">
        <v>6</v>
      </c>
      <c r="F26" s="108">
        <v>176</v>
      </c>
      <c r="G26" s="406">
        <v>5</v>
      </c>
      <c r="H26" s="407"/>
      <c r="I26" s="112">
        <v>118</v>
      </c>
      <c r="J26" s="25">
        <f t="shared" si="0"/>
        <v>15</v>
      </c>
      <c r="K26" s="408">
        <f t="shared" ref="K26:K39" si="1">D26+F26+I26</f>
        <v>394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161</v>
      </c>
      <c r="E27" s="57"/>
      <c r="F27" s="108">
        <v>52</v>
      </c>
      <c r="G27" s="406"/>
      <c r="H27" s="407"/>
      <c r="I27" s="112">
        <v>134</v>
      </c>
      <c r="J27" s="25">
        <f t="shared" si="0"/>
        <v>0</v>
      </c>
      <c r="K27" s="408">
        <f t="shared" si="1"/>
        <v>347</v>
      </c>
      <c r="L27" s="409"/>
      <c r="M27" s="2"/>
    </row>
    <row r="28" spans="2:14" ht="14.1" customHeight="1" x14ac:dyDescent="0.2">
      <c r="B28" s="80" t="s">
        <v>283</v>
      </c>
      <c r="C28" s="45">
        <v>5</v>
      </c>
      <c r="D28" s="103"/>
      <c r="E28" s="57">
        <v>4</v>
      </c>
      <c r="F28" s="108"/>
      <c r="G28" s="406">
        <v>5</v>
      </c>
      <c r="H28" s="407"/>
      <c r="I28" s="112"/>
      <c r="J28" s="25">
        <f t="shared" si="0"/>
        <v>14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3</v>
      </c>
      <c r="D29" s="103"/>
      <c r="E29" s="57">
        <v>3</v>
      </c>
      <c r="F29" s="108"/>
      <c r="G29" s="406">
        <v>3</v>
      </c>
      <c r="H29" s="407"/>
      <c r="I29" s="112"/>
      <c r="J29" s="25">
        <f t="shared" si="0"/>
        <v>9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>
        <v>1</v>
      </c>
      <c r="D30" s="103">
        <v>24.25</v>
      </c>
      <c r="E30" s="57">
        <v>1</v>
      </c>
      <c r="F30" s="108">
        <v>21.4</v>
      </c>
      <c r="G30" s="406">
        <v>3</v>
      </c>
      <c r="H30" s="407"/>
      <c r="I30" s="112">
        <v>30</v>
      </c>
      <c r="J30" s="25">
        <f t="shared" si="0"/>
        <v>5</v>
      </c>
      <c r="K30" s="408">
        <f t="shared" si="1"/>
        <v>75.650000000000006</v>
      </c>
      <c r="L30" s="409"/>
    </row>
    <row r="31" spans="2:14" ht="14.1" customHeight="1" x14ac:dyDescent="0.2">
      <c r="B31" s="80" t="s">
        <v>286</v>
      </c>
      <c r="C31" s="45">
        <v>2</v>
      </c>
      <c r="D31" s="103"/>
      <c r="E31" s="57">
        <v>3</v>
      </c>
      <c r="F31" s="108"/>
      <c r="G31" s="406">
        <v>2</v>
      </c>
      <c r="H31" s="407"/>
      <c r="I31" s="112"/>
      <c r="J31" s="25">
        <f t="shared" si="0"/>
        <v>7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1</v>
      </c>
      <c r="F32" s="108"/>
      <c r="G32" s="406">
        <v>1</v>
      </c>
      <c r="H32" s="407"/>
      <c r="I32" s="112"/>
      <c r="J32" s="25">
        <f t="shared" si="0"/>
        <v>3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/>
      <c r="G33" s="406"/>
      <c r="H33" s="407"/>
      <c r="I33" s="112"/>
      <c r="J33" s="25">
        <f t="shared" si="0"/>
        <v>0</v>
      </c>
      <c r="K33" s="408">
        <f t="shared" si="1"/>
        <v>0</v>
      </c>
      <c r="L33" s="409"/>
    </row>
    <row r="34" spans="1:16" ht="14.1" customHeight="1" x14ac:dyDescent="0.2">
      <c r="B34" s="80" t="s">
        <v>289</v>
      </c>
      <c r="C34" s="45"/>
      <c r="D34" s="103"/>
      <c r="E34" s="57">
        <v>1</v>
      </c>
      <c r="F34" s="108"/>
      <c r="G34" s="406"/>
      <c r="H34" s="407"/>
      <c r="I34" s="112"/>
      <c r="J34" s="25">
        <f t="shared" si="0"/>
        <v>1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>
        <v>22.85</v>
      </c>
      <c r="G35" s="406"/>
      <c r="H35" s="407"/>
      <c r="I35" s="112"/>
      <c r="J35" s="25">
        <f t="shared" si="0"/>
        <v>0</v>
      </c>
      <c r="K35" s="408">
        <f t="shared" si="1"/>
        <v>22.85</v>
      </c>
      <c r="L35" s="409"/>
    </row>
    <row r="36" spans="1:16" ht="14.1" customHeight="1" x14ac:dyDescent="0.2">
      <c r="B36" s="37" t="s">
        <v>291</v>
      </c>
      <c r="C36" s="55"/>
      <c r="D36" s="104">
        <v>30</v>
      </c>
      <c r="E36" s="58"/>
      <c r="F36" s="109"/>
      <c r="G36" s="406"/>
      <c r="H36" s="407"/>
      <c r="I36" s="113"/>
      <c r="J36" s="25">
        <f t="shared" si="0"/>
        <v>0</v>
      </c>
      <c r="K36" s="408">
        <f t="shared" si="1"/>
        <v>30</v>
      </c>
      <c r="L36" s="409"/>
    </row>
    <row r="37" spans="1:16" ht="14.1" customHeight="1" x14ac:dyDescent="0.2">
      <c r="B37" s="37" t="s">
        <v>292</v>
      </c>
      <c r="C37" s="55"/>
      <c r="D37" s="104">
        <v>6</v>
      </c>
      <c r="E37" s="58"/>
      <c r="F37" s="109"/>
      <c r="G37" s="406"/>
      <c r="H37" s="407"/>
      <c r="I37" s="113">
        <v>1.98</v>
      </c>
      <c r="J37" s="25">
        <f t="shared" si="0"/>
        <v>0</v>
      </c>
      <c r="K37" s="408">
        <f t="shared" si="1"/>
        <v>7.98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/>
      <c r="J38" s="25">
        <f t="shared" si="0"/>
        <v>0</v>
      </c>
      <c r="K38" s="408">
        <f t="shared" si="1"/>
        <v>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/>
      <c r="J39" s="25">
        <f t="shared" si="0"/>
        <v>0</v>
      </c>
      <c r="K39" s="408">
        <f t="shared" si="1"/>
        <v>0</v>
      </c>
      <c r="L39" s="409"/>
    </row>
    <row r="40" spans="1:16" ht="14.1" customHeight="1" thickBot="1" x14ac:dyDescent="0.25">
      <c r="B40" s="81" t="s">
        <v>295</v>
      </c>
      <c r="C40" s="47"/>
      <c r="D40" s="105">
        <v>100.92</v>
      </c>
      <c r="E40" s="59"/>
      <c r="F40" s="110">
        <v>70.2</v>
      </c>
      <c r="G40" s="473"/>
      <c r="H40" s="474"/>
      <c r="I40" s="114">
        <v>80.64</v>
      </c>
      <c r="J40" s="26">
        <f t="shared" si="0"/>
        <v>0</v>
      </c>
      <c r="K40" s="475">
        <f>D40+F40+I40</f>
        <v>251.76</v>
      </c>
      <c r="L40" s="476"/>
    </row>
    <row r="41" spans="1:16" ht="17.25" customHeight="1" x14ac:dyDescent="0.2">
      <c r="B41" s="15" t="s">
        <v>273</v>
      </c>
      <c r="C41" s="16">
        <f>SUM(C25:C40)</f>
        <v>22</v>
      </c>
      <c r="D41" s="106">
        <f>SUM(D25:D40)</f>
        <v>482.17</v>
      </c>
      <c r="E41" s="16">
        <f>SUM(E25:E40)</f>
        <v>25</v>
      </c>
      <c r="F41" s="106">
        <f>SUM(F25:F40)</f>
        <v>416.45</v>
      </c>
      <c r="G41" s="430">
        <f>SUM(G25:H40)</f>
        <v>27</v>
      </c>
      <c r="H41" s="430"/>
      <c r="I41" s="106">
        <f>SUM(I25:I40)</f>
        <v>444.62</v>
      </c>
      <c r="J41" s="16">
        <f>SUM(J25:J40)</f>
        <v>74</v>
      </c>
      <c r="K41" s="477">
        <f>SUM(K25:L40)</f>
        <v>1343.24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/>
      <c r="D45" s="210"/>
      <c r="E45" s="209"/>
      <c r="F45" s="210"/>
      <c r="G45" s="471"/>
      <c r="H45" s="472"/>
      <c r="I45" s="210"/>
      <c r="J45" s="209">
        <v>0.4</v>
      </c>
      <c r="K45" s="209">
        <v>0.3</v>
      </c>
      <c r="L45" s="210"/>
      <c r="M45" s="211"/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20</v>
      </c>
      <c r="K46" s="40">
        <f>K45*50</f>
        <v>15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/>
      <c r="D48" s="209"/>
      <c r="E48" s="209"/>
      <c r="F48" s="209">
        <v>0.3</v>
      </c>
      <c r="G48" s="442">
        <v>0.3</v>
      </c>
      <c r="H48" s="443"/>
      <c r="I48" s="209">
        <v>0.7</v>
      </c>
      <c r="J48" s="209">
        <v>0.75</v>
      </c>
      <c r="K48" s="209">
        <v>0.9</v>
      </c>
      <c r="L48" s="209">
        <v>0.9</v>
      </c>
      <c r="M48" s="211">
        <v>0.1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48</v>
      </c>
      <c r="G49" s="438">
        <f>G48*100</f>
        <v>30</v>
      </c>
      <c r="H49" s="439"/>
      <c r="I49" s="40">
        <f>I48*100</f>
        <v>70</v>
      </c>
      <c r="J49" s="40">
        <f>J48*150</f>
        <v>112.5</v>
      </c>
      <c r="K49" s="40">
        <f>K48*70</f>
        <v>63</v>
      </c>
      <c r="L49" s="40">
        <f>L48*70</f>
        <v>63</v>
      </c>
      <c r="M49" s="79">
        <f>M48*70</f>
        <v>7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0.1</v>
      </c>
      <c r="D51" s="213">
        <v>0</v>
      </c>
      <c r="E51" s="213">
        <v>0</v>
      </c>
      <c r="F51" s="209"/>
      <c r="G51" s="442"/>
      <c r="H51" s="443"/>
      <c r="I51" s="209">
        <v>0</v>
      </c>
      <c r="J51" s="209">
        <v>0.02</v>
      </c>
      <c r="K51" s="209">
        <v>0.04</v>
      </c>
      <c r="L51" s="209">
        <v>0.03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7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5</v>
      </c>
      <c r="K52" s="41">
        <f>K51*250</f>
        <v>10</v>
      </c>
      <c r="L52" s="41">
        <f>L51*250</f>
        <v>7.5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458</v>
      </c>
      <c r="F54" s="39" t="s">
        <v>309</v>
      </c>
      <c r="G54" s="188"/>
      <c r="H54" s="188"/>
      <c r="I54" s="30">
        <f>'6'!D54</f>
        <v>367.5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>
        <v>176000</v>
      </c>
      <c r="D58" s="60">
        <v>19720</v>
      </c>
      <c r="E58" s="124">
        <f>SUM(C58:D58)</f>
        <v>195720</v>
      </c>
      <c r="F58" s="425"/>
      <c r="G58" s="426"/>
      <c r="H58" s="60">
        <v>4020</v>
      </c>
      <c r="I58" s="61">
        <v>2660</v>
      </c>
      <c r="J58" s="422"/>
      <c r="K58" s="428"/>
      <c r="L58" s="273">
        <f>4.7*H19</f>
        <v>7993.8540000000012</v>
      </c>
      <c r="M58" s="61">
        <f>L58/3</f>
        <v>2664.6180000000004</v>
      </c>
      <c r="N58" s="288"/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115.07390552792181</v>
      </c>
      <c r="D59" s="432"/>
      <c r="E59" s="433"/>
      <c r="F59" s="434" t="s">
        <v>321</v>
      </c>
      <c r="G59" s="435"/>
      <c r="H59" s="436">
        <f>IF(ISERROR(SUM(H58:I58)/$H$19),"",(SUM(H58:I58)/$H$19))</f>
        <v>3.9275173151773846</v>
      </c>
      <c r="I59" s="437"/>
      <c r="J59" s="434" t="s">
        <v>322</v>
      </c>
      <c r="K59" s="435"/>
      <c r="L59" s="115">
        <f>IF(ISERROR(L58/$H$19),"",(L58/$H$19))</f>
        <v>4.7</v>
      </c>
      <c r="M59" s="274">
        <f>IF(ISERROR(M58/$H$19),"",(M58/$H$19))</f>
        <v>1.5666666666666667</v>
      </c>
      <c r="N59" s="288"/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0.75000000000000033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6</v>
      </c>
      <c r="C63" s="236" t="s">
        <v>22</v>
      </c>
      <c r="D63" s="236" t="s">
        <v>26</v>
      </c>
      <c r="E63" s="322" t="s">
        <v>121</v>
      </c>
      <c r="F63" s="324"/>
      <c r="G63" s="322" t="s">
        <v>593</v>
      </c>
      <c r="H63" s="323"/>
      <c r="I63" s="323"/>
      <c r="J63" s="324"/>
      <c r="K63" s="238">
        <v>0.16666666666666666</v>
      </c>
      <c r="L63" s="238">
        <v>0.2986111111111111</v>
      </c>
      <c r="M63" s="236" t="s">
        <v>9</v>
      </c>
      <c r="N63" s="237">
        <f t="shared" ref="N63:N126" si="2">IF(M63="No","",IF(M63="Yes",(L63-K63+(L63&lt;K63)),""))</f>
        <v>0.13194444444444445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26</v>
      </c>
      <c r="E64" s="322"/>
      <c r="F64" s="324"/>
      <c r="G64" s="322" t="s">
        <v>525</v>
      </c>
      <c r="H64" s="323"/>
      <c r="I64" s="323"/>
      <c r="J64" s="324"/>
      <c r="K64" s="238">
        <v>0.3888888888888889</v>
      </c>
      <c r="L64" s="238">
        <v>0.45833333333333331</v>
      </c>
      <c r="M64" s="236" t="s">
        <v>9</v>
      </c>
      <c r="N64" s="237">
        <f t="shared" si="2"/>
        <v>6.944444444444442E-2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23</v>
      </c>
      <c r="E65" s="322" t="s">
        <v>106</v>
      </c>
      <c r="F65" s="324"/>
      <c r="G65" s="322" t="s">
        <v>594</v>
      </c>
      <c r="H65" s="323"/>
      <c r="I65" s="323"/>
      <c r="J65" s="324"/>
      <c r="K65" s="239">
        <v>0.27777777777777779</v>
      </c>
      <c r="L65" s="239">
        <v>0.3125</v>
      </c>
      <c r="M65" s="236" t="s">
        <v>9</v>
      </c>
      <c r="N65" s="237">
        <f t="shared" si="2"/>
        <v>3.472222222222221E-2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26</v>
      </c>
      <c r="E66" s="322" t="s">
        <v>106</v>
      </c>
      <c r="F66" s="324"/>
      <c r="G66" s="322" t="s">
        <v>594</v>
      </c>
      <c r="H66" s="323"/>
      <c r="I66" s="323"/>
      <c r="J66" s="324"/>
      <c r="K66" s="239">
        <v>0.2986111111111111</v>
      </c>
      <c r="L66" s="239">
        <v>0.3263888888888889</v>
      </c>
      <c r="M66" s="236" t="s">
        <v>9</v>
      </c>
      <c r="N66" s="237">
        <f t="shared" si="2"/>
        <v>2.777777777777779E-2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20</v>
      </c>
      <c r="E67" s="322"/>
      <c r="F67" s="324"/>
      <c r="G67" s="322" t="s">
        <v>595</v>
      </c>
      <c r="H67" s="323"/>
      <c r="I67" s="323"/>
      <c r="J67" s="324"/>
      <c r="K67" s="238">
        <v>0.45833333333333331</v>
      </c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29</v>
      </c>
      <c r="E68" s="322" t="s">
        <v>142</v>
      </c>
      <c r="F68" s="324"/>
      <c r="G68" s="322" t="s">
        <v>596</v>
      </c>
      <c r="H68" s="323"/>
      <c r="I68" s="323"/>
      <c r="J68" s="324"/>
      <c r="K68" s="239">
        <v>0.45833333333333331</v>
      </c>
      <c r="L68" s="239">
        <v>0.4861111111111111</v>
      </c>
      <c r="M68" s="236" t="s">
        <v>9</v>
      </c>
      <c r="N68" s="237">
        <f t="shared" si="2"/>
        <v>2.777777777777779E-2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322"/>
      <c r="F69" s="324"/>
      <c r="G69" s="322"/>
      <c r="H69" s="323"/>
      <c r="I69" s="323"/>
      <c r="J69" s="324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15</v>
      </c>
      <c r="E70" s="322" t="s">
        <v>62</v>
      </c>
      <c r="F70" s="324"/>
      <c r="H70" t="s">
        <v>597</v>
      </c>
      <c r="K70" s="239">
        <v>0.40277777777777773</v>
      </c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322"/>
      <c r="F71" s="324"/>
      <c r="G71" s="322"/>
      <c r="H71" s="323"/>
      <c r="I71" s="323"/>
      <c r="J71" s="324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18</v>
      </c>
      <c r="E72" s="322" t="s">
        <v>91</v>
      </c>
      <c r="F72" s="324"/>
      <c r="G72" s="322" t="s">
        <v>598</v>
      </c>
      <c r="H72" s="323"/>
      <c r="I72" s="323"/>
      <c r="J72" s="324"/>
      <c r="K72" s="239">
        <v>0.38194444444444442</v>
      </c>
      <c r="L72" s="239">
        <v>0.44444444444444442</v>
      </c>
      <c r="M72" s="236" t="s">
        <v>9</v>
      </c>
      <c r="N72" s="237">
        <f t="shared" si="2"/>
        <v>6.25E-2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322"/>
      <c r="F73" s="324"/>
      <c r="G73" s="322" t="s">
        <v>599</v>
      </c>
      <c r="H73" s="323"/>
      <c r="I73" s="323"/>
      <c r="J73" s="324"/>
      <c r="K73" s="239">
        <v>0.44444444444444442</v>
      </c>
      <c r="L73" s="239">
        <v>0.5</v>
      </c>
      <c r="M73" s="236" t="s">
        <v>9</v>
      </c>
      <c r="N73" s="237">
        <f t="shared" si="2"/>
        <v>5.555555555555558E-2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322"/>
      <c r="F74" s="324"/>
      <c r="G74" s="322" t="s">
        <v>600</v>
      </c>
      <c r="H74" s="323"/>
      <c r="I74" s="323"/>
      <c r="J74" s="324"/>
      <c r="K74" s="238">
        <v>0.5</v>
      </c>
      <c r="L74" s="238">
        <v>0.54861111111111105</v>
      </c>
      <c r="M74" s="236" t="s">
        <v>9</v>
      </c>
      <c r="N74" s="237">
        <f t="shared" si="2"/>
        <v>4.8611111111111049E-2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322"/>
      <c r="F75" s="324"/>
      <c r="G75" s="322" t="s">
        <v>601</v>
      </c>
      <c r="H75" s="323"/>
      <c r="I75" s="323"/>
      <c r="J75" s="324"/>
      <c r="K75" s="239">
        <v>0.54861111111111105</v>
      </c>
      <c r="L75" s="239">
        <v>0.58333333333333337</v>
      </c>
      <c r="M75" s="236" t="s">
        <v>9</v>
      </c>
      <c r="N75" s="237">
        <f t="shared" si="2"/>
        <v>3.4722222222222321E-2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322"/>
      <c r="F76" s="324"/>
      <c r="G76" s="322" t="s">
        <v>602</v>
      </c>
      <c r="H76" s="323"/>
      <c r="I76" s="323"/>
      <c r="J76" s="324"/>
      <c r="K76" s="239">
        <v>0.58333333333333337</v>
      </c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322"/>
      <c r="F77" s="324"/>
      <c r="G77" s="322"/>
      <c r="H77" s="323"/>
      <c r="I77" s="323"/>
      <c r="J77" s="324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 t="s">
        <v>10</v>
      </c>
      <c r="C78" s="236" t="s">
        <v>25</v>
      </c>
      <c r="D78" s="236" t="s">
        <v>11</v>
      </c>
      <c r="E78" s="322" t="s">
        <v>43</v>
      </c>
      <c r="F78" s="324"/>
      <c r="G78" s="322" t="s">
        <v>603</v>
      </c>
      <c r="H78" s="323"/>
      <c r="I78" s="323"/>
      <c r="J78" s="324"/>
      <c r="K78" s="239">
        <v>0.66666666666666663</v>
      </c>
      <c r="L78" s="239">
        <v>0.83333333333333337</v>
      </c>
      <c r="M78" s="236" t="s">
        <v>9</v>
      </c>
      <c r="N78" s="237">
        <f t="shared" si="2"/>
        <v>0.16666666666666674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11</v>
      </c>
      <c r="E79" s="322" t="s">
        <v>43</v>
      </c>
      <c r="F79" s="324"/>
      <c r="G79" s="322" t="s">
        <v>604</v>
      </c>
      <c r="H79" s="323"/>
      <c r="I79" s="323"/>
      <c r="J79" s="324"/>
      <c r="K79" s="239">
        <v>0.70833333333333337</v>
      </c>
      <c r="L79" s="239">
        <v>0.75694444444444453</v>
      </c>
      <c r="M79" s="236" t="s">
        <v>9</v>
      </c>
      <c r="N79" s="237">
        <f t="shared" si="2"/>
        <v>4.861111111111116E-2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322"/>
      <c r="F80" s="324"/>
      <c r="G80" s="322"/>
      <c r="H80" s="323"/>
      <c r="I80" s="323"/>
      <c r="J80" s="324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 t="s">
        <v>17</v>
      </c>
      <c r="C81" s="236" t="s">
        <v>28</v>
      </c>
      <c r="D81" s="236" t="s">
        <v>23</v>
      </c>
      <c r="E81" s="322"/>
      <c r="F81" s="324"/>
      <c r="G81" s="322" t="s">
        <v>605</v>
      </c>
      <c r="H81" s="323"/>
      <c r="I81" s="323"/>
      <c r="J81" s="324"/>
      <c r="K81" s="239">
        <v>0.93055555555555547</v>
      </c>
      <c r="L81" s="239">
        <v>0.95833333333333337</v>
      </c>
      <c r="M81" s="236" t="s">
        <v>9</v>
      </c>
      <c r="N81" s="237">
        <f t="shared" si="2"/>
        <v>2.7777777777777901E-2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 t="s">
        <v>20</v>
      </c>
      <c r="E82" s="322" t="s">
        <v>108</v>
      </c>
      <c r="F82" s="324"/>
      <c r="G82" s="322" t="s">
        <v>606</v>
      </c>
      <c r="H82" s="323"/>
      <c r="I82" s="323"/>
      <c r="J82" s="324"/>
      <c r="K82" s="239">
        <v>0.20138888888888887</v>
      </c>
      <c r="L82" s="239">
        <v>0.21527777777777779</v>
      </c>
      <c r="M82" s="236" t="s">
        <v>9</v>
      </c>
      <c r="N82" s="237">
        <f t="shared" si="2"/>
        <v>1.3888888888888923E-2</v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322"/>
      <c r="F83" s="324"/>
      <c r="G83" s="322"/>
      <c r="H83" s="323"/>
      <c r="I83" s="323"/>
      <c r="J83" s="324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/>
      <c r="D136" s="481"/>
      <c r="E136" s="463"/>
      <c r="F136" s="464"/>
      <c r="G136" s="452"/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395</v>
      </c>
      <c r="D137" s="479"/>
      <c r="E137" s="463" t="s">
        <v>607</v>
      </c>
      <c r="F137" s="464"/>
      <c r="G137" s="452" t="s">
        <v>489</v>
      </c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35"/>
      <c r="E143" s="335"/>
      <c r="F143" s="335"/>
      <c r="G143" s="336"/>
      <c r="H143" s="336"/>
      <c r="I143" s="336"/>
      <c r="J143" s="336"/>
      <c r="K143" s="336"/>
      <c r="L143" s="335"/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 t="s">
        <v>255</v>
      </c>
      <c r="C144" s="215">
        <v>12</v>
      </c>
      <c r="D144" s="335" t="s">
        <v>608</v>
      </c>
      <c r="E144" s="335"/>
      <c r="F144" s="335"/>
      <c r="G144" s="336" t="s">
        <v>372</v>
      </c>
      <c r="H144" s="336"/>
      <c r="I144" s="336"/>
      <c r="J144" s="336">
        <v>50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3</v>
      </c>
      <c r="D145" s="335" t="s">
        <v>609</v>
      </c>
      <c r="E145" s="335"/>
      <c r="F145" s="335"/>
      <c r="G145" s="336" t="s">
        <v>357</v>
      </c>
      <c r="H145" s="336"/>
      <c r="I145" s="336"/>
      <c r="J145" s="336">
        <v>35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 t="s">
        <v>378</v>
      </c>
      <c r="D146" s="335" t="s">
        <v>610</v>
      </c>
      <c r="E146" s="335"/>
      <c r="F146" s="335"/>
      <c r="G146" s="336" t="s">
        <v>367</v>
      </c>
      <c r="H146" s="336"/>
      <c r="I146" s="336"/>
      <c r="J146" s="336">
        <v>39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18</v>
      </c>
      <c r="D147" s="335" t="s">
        <v>611</v>
      </c>
      <c r="E147" s="335"/>
      <c r="F147" s="335"/>
      <c r="G147" s="336" t="s">
        <v>357</v>
      </c>
      <c r="H147" s="336"/>
      <c r="I147" s="336"/>
      <c r="J147" s="336">
        <v>22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13</v>
      </c>
      <c r="D148" s="335" t="s">
        <v>612</v>
      </c>
      <c r="E148" s="335"/>
      <c r="F148" s="335"/>
      <c r="G148" s="336" t="s">
        <v>613</v>
      </c>
      <c r="H148" s="336"/>
      <c r="I148" s="336"/>
      <c r="J148" s="336">
        <v>47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13</v>
      </c>
      <c r="D149" s="335" t="s">
        <v>614</v>
      </c>
      <c r="E149" s="335"/>
      <c r="F149" s="335"/>
      <c r="G149" s="336" t="s">
        <v>359</v>
      </c>
      <c r="H149" s="336"/>
      <c r="I149" s="336"/>
      <c r="J149" s="336">
        <v>47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19</v>
      </c>
      <c r="D150" s="335" t="s">
        <v>615</v>
      </c>
      <c r="E150" s="335"/>
      <c r="F150" s="335"/>
      <c r="G150" s="336" t="s">
        <v>361</v>
      </c>
      <c r="H150" s="336"/>
      <c r="I150" s="336"/>
      <c r="J150" s="336">
        <v>18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14</v>
      </c>
      <c r="D151" s="335" t="s">
        <v>616</v>
      </c>
      <c r="E151" s="335"/>
      <c r="F151" s="335"/>
      <c r="G151" s="336" t="s">
        <v>456</v>
      </c>
      <c r="H151" s="336"/>
      <c r="I151" s="336"/>
      <c r="J151" s="336">
        <v>31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13</v>
      </c>
      <c r="D152" s="335" t="s">
        <v>539</v>
      </c>
      <c r="E152" s="335"/>
      <c r="F152" s="335"/>
      <c r="G152" s="336" t="s">
        <v>540</v>
      </c>
      <c r="H152" s="336"/>
      <c r="I152" s="336"/>
      <c r="J152" s="336">
        <v>59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3</v>
      </c>
      <c r="D153" s="335" t="s">
        <v>617</v>
      </c>
      <c r="E153" s="335"/>
      <c r="F153" s="335"/>
      <c r="G153" s="336" t="s">
        <v>357</v>
      </c>
      <c r="H153" s="336"/>
      <c r="I153" s="336"/>
      <c r="J153" s="336">
        <v>38</v>
      </c>
      <c r="K153" s="336"/>
      <c r="L153" s="335" t="s">
        <v>355</v>
      </c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3</v>
      </c>
      <c r="D154" s="335" t="s">
        <v>548</v>
      </c>
      <c r="E154" s="335"/>
      <c r="F154" s="335"/>
      <c r="G154" s="336" t="s">
        <v>357</v>
      </c>
      <c r="H154" s="336"/>
      <c r="I154" s="336"/>
      <c r="J154" s="336">
        <v>62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</v>
      </c>
      <c r="D155" s="335" t="s">
        <v>559</v>
      </c>
      <c r="E155" s="335"/>
      <c r="F155" s="335"/>
      <c r="G155" s="336" t="s">
        <v>357</v>
      </c>
      <c r="H155" s="336"/>
      <c r="I155" s="336"/>
      <c r="J155" s="336">
        <v>80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 t="s">
        <v>573</v>
      </c>
      <c r="D156" s="335" t="s">
        <v>574</v>
      </c>
      <c r="E156" s="335"/>
      <c r="F156" s="335"/>
      <c r="G156" s="336" t="s">
        <v>367</v>
      </c>
      <c r="H156" s="336"/>
      <c r="I156" s="336"/>
      <c r="J156" s="336">
        <v>65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335" t="s">
        <v>618</v>
      </c>
      <c r="E157" s="335"/>
      <c r="F157" s="335"/>
      <c r="G157" s="336" t="s">
        <v>365</v>
      </c>
      <c r="H157" s="336"/>
      <c r="I157" s="336"/>
      <c r="J157" s="336">
        <v>3651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35"/>
      <c r="E158" s="335"/>
      <c r="F158" s="335"/>
      <c r="G158" s="336"/>
      <c r="H158" s="336"/>
      <c r="I158" s="336"/>
      <c r="J158" s="336"/>
      <c r="K158" s="336"/>
      <c r="L158" s="335"/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 t="s">
        <v>261</v>
      </c>
      <c r="C159" s="215" t="s">
        <v>376</v>
      </c>
      <c r="D159" s="335" t="s">
        <v>619</v>
      </c>
      <c r="E159" s="335"/>
      <c r="F159" s="335"/>
      <c r="G159" s="336" t="s">
        <v>357</v>
      </c>
      <c r="H159" s="336"/>
      <c r="I159" s="336"/>
      <c r="J159" s="336">
        <v>33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 t="s">
        <v>378</v>
      </c>
      <c r="D160" s="335" t="s">
        <v>620</v>
      </c>
      <c r="E160" s="335"/>
      <c r="F160" s="335"/>
      <c r="G160" s="336" t="s">
        <v>367</v>
      </c>
      <c r="H160" s="336"/>
      <c r="I160" s="336"/>
      <c r="J160" s="336">
        <v>40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12</v>
      </c>
      <c r="D161" s="335" t="s">
        <v>621</v>
      </c>
      <c r="E161" s="335"/>
      <c r="F161" s="335"/>
      <c r="G161" s="336" t="s">
        <v>372</v>
      </c>
      <c r="H161" s="336"/>
      <c r="I161" s="336"/>
      <c r="J161" s="336">
        <v>63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24</v>
      </c>
      <c r="D162" s="335" t="s">
        <v>622</v>
      </c>
      <c r="E162" s="335"/>
      <c r="F162" s="335"/>
      <c r="G162" s="336" t="s">
        <v>403</v>
      </c>
      <c r="H162" s="336"/>
      <c r="I162" s="336"/>
      <c r="J162" s="336">
        <v>324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15</v>
      </c>
      <c r="D163" s="335" t="s">
        <v>623</v>
      </c>
      <c r="E163" s="335"/>
      <c r="F163" s="335"/>
      <c r="G163" s="336" t="s">
        <v>624</v>
      </c>
      <c r="H163" s="336"/>
      <c r="I163" s="336"/>
      <c r="J163" s="336">
        <v>39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18</v>
      </c>
      <c r="D164" s="335" t="s">
        <v>625</v>
      </c>
      <c r="E164" s="335"/>
      <c r="F164" s="335"/>
      <c r="G164" s="336" t="s">
        <v>626</v>
      </c>
      <c r="H164" s="336"/>
      <c r="I164" s="336"/>
      <c r="J164" s="336">
        <v>19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19</v>
      </c>
      <c r="D165" s="335" t="s">
        <v>627</v>
      </c>
      <c r="E165" s="335"/>
      <c r="F165" s="335"/>
      <c r="G165" s="336" t="s">
        <v>628</v>
      </c>
      <c r="H165" s="336"/>
      <c r="I165" s="336"/>
      <c r="J165" s="336">
        <v>15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22</v>
      </c>
      <c r="D166" s="335" t="s">
        <v>629</v>
      </c>
      <c r="E166" s="335"/>
      <c r="F166" s="335"/>
      <c r="G166" s="336" t="s">
        <v>630</v>
      </c>
      <c r="H166" s="336"/>
      <c r="I166" s="336"/>
      <c r="J166" s="336">
        <v>980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>
        <v>13</v>
      </c>
      <c r="D167" s="335" t="s">
        <v>631</v>
      </c>
      <c r="E167" s="335"/>
      <c r="F167" s="335"/>
      <c r="G167" s="336" t="s">
        <v>632</v>
      </c>
      <c r="H167" s="336"/>
      <c r="I167" s="336"/>
      <c r="J167" s="336">
        <v>49</v>
      </c>
      <c r="K167" s="336"/>
      <c r="L167" s="335" t="s">
        <v>355</v>
      </c>
      <c r="M167" s="335"/>
    </row>
    <row r="168" spans="1:18" ht="14.25" x14ac:dyDescent="0.2">
      <c r="B168" s="216"/>
      <c r="C168" s="215">
        <v>12</v>
      </c>
      <c r="D168" s="335" t="s">
        <v>621</v>
      </c>
      <c r="E168" s="335"/>
      <c r="F168" s="335"/>
      <c r="G168" s="336" t="s">
        <v>372</v>
      </c>
      <c r="H168" s="336"/>
      <c r="I168" s="336"/>
      <c r="J168" s="336">
        <v>64</v>
      </c>
      <c r="K168" s="336"/>
      <c r="L168" s="335" t="s">
        <v>355</v>
      </c>
      <c r="M168" s="335"/>
    </row>
    <row r="169" spans="1:18" ht="14.25" x14ac:dyDescent="0.2">
      <c r="B169" s="216"/>
      <c r="C169" s="215"/>
      <c r="D169" s="335"/>
      <c r="E169" s="335"/>
      <c r="F169" s="335"/>
      <c r="G169" s="336"/>
      <c r="H169" s="336"/>
      <c r="I169" s="336"/>
      <c r="J169" s="336"/>
      <c r="K169" s="336"/>
      <c r="L169" s="335"/>
      <c r="M169" s="335"/>
    </row>
    <row r="170" spans="1:18" ht="14.25" x14ac:dyDescent="0.2">
      <c r="B170" s="216" t="s">
        <v>633</v>
      </c>
      <c r="C170" s="215">
        <v>3</v>
      </c>
      <c r="D170" s="335" t="s">
        <v>634</v>
      </c>
      <c r="E170" s="335"/>
      <c r="F170" s="335"/>
      <c r="G170" s="336" t="s">
        <v>357</v>
      </c>
      <c r="H170" s="336"/>
      <c r="I170" s="336"/>
      <c r="J170" s="336">
        <v>45</v>
      </c>
      <c r="K170" s="336"/>
      <c r="L170" s="335" t="s">
        <v>355</v>
      </c>
      <c r="M170" s="335"/>
    </row>
    <row r="171" spans="1:18" ht="14.25" x14ac:dyDescent="0.2">
      <c r="B171" s="216"/>
      <c r="C171" s="215">
        <v>9</v>
      </c>
      <c r="D171" s="337" t="s">
        <v>635</v>
      </c>
      <c r="E171" s="338"/>
      <c r="F171" s="339"/>
      <c r="G171" s="336" t="s">
        <v>367</v>
      </c>
      <c r="H171" s="336"/>
      <c r="I171" s="336"/>
      <c r="J171" s="336">
        <v>31</v>
      </c>
      <c r="K171" s="336"/>
      <c r="L171" s="335" t="s">
        <v>355</v>
      </c>
      <c r="M171" s="335"/>
    </row>
    <row r="172" spans="1:18" ht="14.25" x14ac:dyDescent="0.2">
      <c r="B172" s="216"/>
      <c r="C172" s="215" t="s">
        <v>300</v>
      </c>
      <c r="D172" s="335" t="s">
        <v>635</v>
      </c>
      <c r="E172" s="335"/>
      <c r="F172" s="335"/>
      <c r="G172" s="336" t="s">
        <v>403</v>
      </c>
      <c r="H172" s="336"/>
      <c r="I172" s="336"/>
      <c r="J172" s="336">
        <v>470</v>
      </c>
      <c r="K172" s="336"/>
      <c r="L172" s="335" t="s">
        <v>355</v>
      </c>
      <c r="M172" s="335"/>
    </row>
    <row r="173" spans="1:18" ht="14.25" x14ac:dyDescent="0.2">
      <c r="B173" s="216"/>
      <c r="C173" s="215">
        <v>17</v>
      </c>
      <c r="D173" s="335" t="s">
        <v>636</v>
      </c>
      <c r="E173" s="335"/>
      <c r="F173" s="335"/>
      <c r="G173" s="336" t="s">
        <v>361</v>
      </c>
      <c r="H173" s="336"/>
      <c r="I173" s="336"/>
      <c r="J173" s="336">
        <v>16</v>
      </c>
      <c r="K173" s="336"/>
      <c r="L173" s="335" t="s">
        <v>355</v>
      </c>
      <c r="M173" s="335"/>
    </row>
    <row r="174" spans="1:18" ht="14.25" x14ac:dyDescent="0.2">
      <c r="B174" s="216"/>
      <c r="C174" s="215">
        <v>13</v>
      </c>
      <c r="D174" s="335" t="s">
        <v>637</v>
      </c>
      <c r="E174" s="335"/>
      <c r="F174" s="335"/>
      <c r="G174" s="336" t="s">
        <v>359</v>
      </c>
      <c r="H174" s="336"/>
      <c r="I174" s="336"/>
      <c r="J174" s="336">
        <v>35</v>
      </c>
      <c r="K174" s="336"/>
      <c r="L174" s="335" t="s">
        <v>355</v>
      </c>
      <c r="M174" s="335"/>
    </row>
    <row r="175" spans="1:18" ht="14.25" x14ac:dyDescent="0.2">
      <c r="B175" s="216"/>
      <c r="C175" s="215">
        <v>18</v>
      </c>
      <c r="D175" s="335" t="s">
        <v>638</v>
      </c>
      <c r="E175" s="335"/>
      <c r="F175" s="335"/>
      <c r="G175" s="336" t="s">
        <v>357</v>
      </c>
      <c r="H175" s="336"/>
      <c r="I175" s="336"/>
      <c r="J175" s="336">
        <v>12</v>
      </c>
      <c r="K175" s="336"/>
      <c r="L175" s="335" t="s">
        <v>355</v>
      </c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ABBD44BD-6016-4637-9793-4D494244FE9C}">
      <formula1>INDIRECT(D63)</formula1>
    </dataValidation>
  </dataValidations>
  <hyperlinks>
    <hyperlink ref="J14:L15" location="Summary!A1" display="MTD Summary " xr:uid="{1F01AD84-E113-45CC-9428-1D646C544C28}"/>
    <hyperlink ref="J16:L17" location="Graph!A1" display="MTD Trendings" xr:uid="{D38720D1-DDC4-4EA3-8705-89A80B03F02C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C3A2B49-2B07-4CDF-880F-CBFB20FDD789}">
          <x14:formula1>
            <xm:f>Sheet3!$B$3:$B$5</xm:f>
          </x14:formula1>
          <xm:sqref>B143:B165 B132</xm:sqref>
        </x14:dataValidation>
        <x14:dataValidation type="list" allowBlank="1" showInputMessage="1" xr:uid="{0268DF17-3742-4560-A456-F8BEB4A0FE86}">
          <x14:formula1>
            <xm:f>Sheet3!$D$3:$D$11</xm:f>
          </x14:formula1>
          <xm:sqref>C132</xm:sqref>
        </x14:dataValidation>
        <x14:dataValidation type="list" allowBlank="1" showInputMessage="1" showErrorMessage="1" xr:uid="{3116E0D1-4B21-408A-ABC6-E7648035D150}">
          <x14:formula1>
            <xm:f>Sheet3!$C$3:$C$4</xm:f>
          </x14:formula1>
          <xm:sqref>M63:M132</xm:sqref>
        </x14:dataValidation>
        <x14:dataValidation type="list" allowBlank="1" showInputMessage="1" showErrorMessage="1" xr:uid="{F05609E1-9079-4890-92A8-6C03068D92E9}">
          <x14:formula1>
            <xm:f>List!$B$5:$B$8</xm:f>
          </x14:formula1>
          <xm:sqref>B63:B131</xm:sqref>
        </x14:dataValidation>
        <x14:dataValidation type="list" allowBlank="1" showInputMessage="1" showErrorMessage="1" xr:uid="{259C6FD5-4028-497B-92F8-9C10B30FF2FD}">
          <x14:formula1>
            <xm:f>List!$B$10:$B$12</xm:f>
          </x14:formula1>
          <xm:sqref>C63:C131</xm:sqref>
        </x14:dataValidation>
        <x14:dataValidation type="list" allowBlank="1" showInputMessage="1" showErrorMessage="1" xr:uid="{98A11B53-611D-495F-9C4A-8DF1884F4A49}">
          <x14:formula1>
            <xm:f>List!$C$5:$C$14</xm:f>
          </x14:formula1>
          <xm:sqref>D63:D131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A590-07D8-4C31-AA77-7B2C8793758F}">
  <sheetPr>
    <pageSetUpPr fitToPage="1"/>
  </sheetPr>
  <dimension ref="A1:R188"/>
  <sheetViews>
    <sheetView showGridLines="0" view="pageBreakPreview" topLeftCell="A45" zoomScale="80" zoomScaleNormal="90" zoomScaleSheetLayoutView="80" zoomScalePageLayoutView="80" workbookViewId="0">
      <selection activeCell="G87" sqref="G87:J87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8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1130.33</v>
      </c>
      <c r="K6" s="420"/>
      <c r="L6" s="420">
        <f ca="1">Summary!G15</f>
        <v>1085.7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0</v>
      </c>
      <c r="E7" s="84">
        <v>0</v>
      </c>
      <c r="F7" s="395">
        <v>0</v>
      </c>
      <c r="G7" s="396"/>
      <c r="H7" s="374">
        <f>SUM(D7:D10)</f>
        <v>0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0</v>
      </c>
      <c r="E8" s="86">
        <v>0</v>
      </c>
      <c r="F8" s="397">
        <v>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0</v>
      </c>
      <c r="E9" s="86">
        <v>0</v>
      </c>
      <c r="F9" s="397">
        <v>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/>
      <c r="E10" s="88">
        <v>0</v>
      </c>
      <c r="F10" s="399">
        <v>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130</v>
      </c>
      <c r="E11" s="90">
        <v>50</v>
      </c>
      <c r="F11" s="386">
        <v>40</v>
      </c>
      <c r="G11" s="387"/>
      <c r="H11" s="388">
        <f>SUM(D11:D14)</f>
        <v>610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150</v>
      </c>
      <c r="E12" s="92">
        <v>50</v>
      </c>
      <c r="F12" s="391">
        <v>50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160</v>
      </c>
      <c r="E13" s="92">
        <v>60</v>
      </c>
      <c r="F13" s="391">
        <v>60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170</v>
      </c>
      <c r="E14" s="94">
        <v>60</v>
      </c>
      <c r="F14" s="393">
        <v>60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110</v>
      </c>
      <c r="E15" s="96">
        <v>60</v>
      </c>
      <c r="F15" s="372">
        <v>50</v>
      </c>
      <c r="G15" s="373"/>
      <c r="H15" s="374">
        <f>SUM(D15:D18)</f>
        <v>520.33000000000004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130</v>
      </c>
      <c r="E16" s="98">
        <v>60</v>
      </c>
      <c r="F16" s="401">
        <v>60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150</v>
      </c>
      <c r="E17" s="98">
        <v>60</v>
      </c>
      <c r="F17" s="401">
        <v>60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130.33000000000001</v>
      </c>
      <c r="E18" s="100">
        <v>60</v>
      </c>
      <c r="F18" s="404">
        <v>60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1130.33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3</v>
      </c>
      <c r="D25" s="102">
        <v>140</v>
      </c>
      <c r="E25" s="56">
        <v>3</v>
      </c>
      <c r="F25" s="107">
        <v>94</v>
      </c>
      <c r="G25" s="410">
        <v>6</v>
      </c>
      <c r="H25" s="411"/>
      <c r="I25" s="111">
        <v>10</v>
      </c>
      <c r="J25" s="38">
        <f t="shared" ref="J25:J40" si="0">C25+E25+G25</f>
        <v>12</v>
      </c>
      <c r="K25" s="412">
        <f>D25+F25+I25</f>
        <v>244</v>
      </c>
      <c r="L25" s="413"/>
      <c r="M25" s="2"/>
    </row>
    <row r="26" spans="2:14" ht="14.1" customHeight="1" x14ac:dyDescent="0.2">
      <c r="B26" s="80" t="s">
        <v>281</v>
      </c>
      <c r="C26" s="45">
        <v>2</v>
      </c>
      <c r="D26" s="103">
        <v>64</v>
      </c>
      <c r="E26" s="57">
        <v>3</v>
      </c>
      <c r="F26" s="108">
        <v>84</v>
      </c>
      <c r="G26" s="406">
        <v>6</v>
      </c>
      <c r="H26" s="407"/>
      <c r="I26" s="112">
        <v>192</v>
      </c>
      <c r="J26" s="25">
        <f t="shared" si="0"/>
        <v>11</v>
      </c>
      <c r="K26" s="408">
        <f t="shared" ref="K26:K39" si="1">D26+F26+I26</f>
        <v>340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116</v>
      </c>
      <c r="E27" s="57"/>
      <c r="F27" s="108">
        <v>52</v>
      </c>
      <c r="G27" s="406"/>
      <c r="H27" s="407"/>
      <c r="I27" s="112">
        <v>126</v>
      </c>
      <c r="J27" s="25">
        <f t="shared" si="0"/>
        <v>0</v>
      </c>
      <c r="K27" s="408">
        <f t="shared" si="1"/>
        <v>294</v>
      </c>
      <c r="L27" s="409"/>
      <c r="M27" s="2"/>
    </row>
    <row r="28" spans="2:14" ht="14.1" customHeight="1" x14ac:dyDescent="0.2">
      <c r="B28" s="80" t="s">
        <v>283</v>
      </c>
      <c r="C28" s="45">
        <v>2</v>
      </c>
      <c r="D28" s="103"/>
      <c r="E28" s="57">
        <v>5</v>
      </c>
      <c r="F28" s="108"/>
      <c r="G28" s="406">
        <v>5</v>
      </c>
      <c r="H28" s="407"/>
      <c r="I28" s="112"/>
      <c r="J28" s="25">
        <f t="shared" si="0"/>
        <v>12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2</v>
      </c>
      <c r="D29" s="103"/>
      <c r="E29" s="57">
        <v>2</v>
      </c>
      <c r="F29" s="108"/>
      <c r="G29" s="406">
        <v>4</v>
      </c>
      <c r="H29" s="407"/>
      <c r="I29" s="112"/>
      <c r="J29" s="25">
        <f t="shared" si="0"/>
        <v>8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/>
      <c r="D30" s="103"/>
      <c r="E30" s="57">
        <v>1</v>
      </c>
      <c r="F30" s="108">
        <v>28.5</v>
      </c>
      <c r="G30" s="406"/>
      <c r="H30" s="407"/>
      <c r="I30" s="112"/>
      <c r="J30" s="25">
        <f t="shared" si="0"/>
        <v>1</v>
      </c>
      <c r="K30" s="408">
        <f t="shared" si="1"/>
        <v>28.5</v>
      </c>
      <c r="L30" s="409"/>
    </row>
    <row r="31" spans="2:14" ht="14.1" hidden="1" customHeight="1" x14ac:dyDescent="0.2">
      <c r="B31" s="80" t="s">
        <v>286</v>
      </c>
      <c r="C31" s="45"/>
      <c r="D31" s="103"/>
      <c r="E31" s="57">
        <v>1</v>
      </c>
      <c r="F31" s="108"/>
      <c r="G31" s="406">
        <v>2</v>
      </c>
      <c r="H31" s="407"/>
      <c r="I31" s="112"/>
      <c r="J31" s="25">
        <f t="shared" si="0"/>
        <v>3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/>
      <c r="D32" s="103"/>
      <c r="E32" s="57">
        <v>1</v>
      </c>
      <c r="F32" s="108"/>
      <c r="G32" s="406">
        <v>1</v>
      </c>
      <c r="H32" s="407"/>
      <c r="I32" s="112"/>
      <c r="J32" s="25">
        <f t="shared" si="0"/>
        <v>2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/>
      <c r="G33" s="406">
        <v>1</v>
      </c>
      <c r="H33" s="407"/>
      <c r="I33" s="112"/>
      <c r="J33" s="25">
        <f t="shared" si="0"/>
        <v>1</v>
      </c>
      <c r="K33" s="408">
        <f t="shared" si="1"/>
        <v>0</v>
      </c>
      <c r="L33" s="409"/>
    </row>
    <row r="34" spans="1:16" ht="14.1" customHeight="1" x14ac:dyDescent="0.2">
      <c r="B34" s="80" t="s">
        <v>289</v>
      </c>
      <c r="C34" s="45"/>
      <c r="D34" s="103"/>
      <c r="E34" s="57"/>
      <c r="F34" s="108"/>
      <c r="G34" s="406"/>
      <c r="H34" s="407"/>
      <c r="I34" s="112"/>
      <c r="J34" s="25">
        <f t="shared" si="0"/>
        <v>0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>
        <v>26</v>
      </c>
      <c r="E36" s="58"/>
      <c r="F36" s="109"/>
      <c r="G36" s="406"/>
      <c r="H36" s="407"/>
      <c r="I36" s="113"/>
      <c r="J36" s="25">
        <f t="shared" si="0"/>
        <v>0</v>
      </c>
      <c r="K36" s="408">
        <f t="shared" si="1"/>
        <v>26</v>
      </c>
      <c r="L36" s="409"/>
    </row>
    <row r="37" spans="1:16" ht="14.1" customHeight="1" x14ac:dyDescent="0.2">
      <c r="B37" s="37" t="s">
        <v>292</v>
      </c>
      <c r="C37" s="55"/>
      <c r="D37" s="104">
        <v>5</v>
      </c>
      <c r="E37" s="58"/>
      <c r="F37" s="109">
        <v>2</v>
      </c>
      <c r="G37" s="406"/>
      <c r="H37" s="407"/>
      <c r="I37" s="113">
        <v>6</v>
      </c>
      <c r="J37" s="25">
        <f t="shared" si="0"/>
        <v>0</v>
      </c>
      <c r="K37" s="408">
        <f t="shared" si="1"/>
        <v>13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/>
      <c r="J38" s="25">
        <f t="shared" si="0"/>
        <v>0</v>
      </c>
      <c r="K38" s="408">
        <f t="shared" si="1"/>
        <v>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120</v>
      </c>
      <c r="J39" s="25">
        <f t="shared" si="0"/>
        <v>0</v>
      </c>
      <c r="K39" s="408">
        <f t="shared" si="1"/>
        <v>120</v>
      </c>
      <c r="L39" s="409"/>
    </row>
    <row r="40" spans="1:16" ht="14.1" customHeight="1" thickBot="1" x14ac:dyDescent="0.25">
      <c r="B40" s="81" t="s">
        <v>295</v>
      </c>
      <c r="C40" s="47"/>
      <c r="D40" s="105">
        <v>12.6</v>
      </c>
      <c r="E40" s="59"/>
      <c r="F40" s="110">
        <v>52.8</v>
      </c>
      <c r="G40" s="473"/>
      <c r="H40" s="474"/>
      <c r="I40" s="114">
        <v>28.8</v>
      </c>
      <c r="J40" s="26">
        <f t="shared" si="0"/>
        <v>0</v>
      </c>
      <c r="K40" s="475">
        <f>D40+F40+I40</f>
        <v>94.199999999999989</v>
      </c>
      <c r="L40" s="476"/>
    </row>
    <row r="41" spans="1:16" ht="17.25" customHeight="1" x14ac:dyDescent="0.2">
      <c r="B41" s="15" t="s">
        <v>273</v>
      </c>
      <c r="C41" s="16">
        <f>SUM(C25:C40)</f>
        <v>9</v>
      </c>
      <c r="D41" s="106">
        <f>SUM(D25:D40)</f>
        <v>363.6</v>
      </c>
      <c r="E41" s="16">
        <f>SUM(E25:E40)</f>
        <v>16</v>
      </c>
      <c r="F41" s="106">
        <f>SUM(F25:F40)</f>
        <v>313.3</v>
      </c>
      <c r="G41" s="430">
        <f>SUM(G25:H40)</f>
        <v>25</v>
      </c>
      <c r="H41" s="430"/>
      <c r="I41" s="106">
        <f>SUM(I25:I40)</f>
        <v>482.8</v>
      </c>
      <c r="J41" s="16">
        <f>SUM(J25:J40)</f>
        <v>50</v>
      </c>
      <c r="K41" s="477">
        <f>SUM(K25:L40)</f>
        <v>1159.7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/>
      <c r="D45" s="210"/>
      <c r="E45" s="209"/>
      <c r="F45" s="210"/>
      <c r="G45" s="471"/>
      <c r="H45" s="472"/>
      <c r="I45" s="210"/>
      <c r="J45" s="209">
        <v>0.4</v>
      </c>
      <c r="K45" s="209">
        <v>0.3</v>
      </c>
      <c r="L45" s="210"/>
      <c r="M45" s="211"/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20</v>
      </c>
      <c r="K46" s="40">
        <f>K45*50</f>
        <v>15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/>
      <c r="D48" s="209"/>
      <c r="E48" s="209"/>
      <c r="F48" s="209">
        <v>0.6</v>
      </c>
      <c r="G48" s="442">
        <v>0.3</v>
      </c>
      <c r="H48" s="443"/>
      <c r="I48" s="209">
        <v>0.4</v>
      </c>
      <c r="J48" s="209">
        <v>0.2</v>
      </c>
      <c r="K48" s="209">
        <v>0</v>
      </c>
      <c r="L48" s="209">
        <v>0.3</v>
      </c>
      <c r="M48" s="211">
        <v>0.1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96</v>
      </c>
      <c r="G49" s="438">
        <f>G48*100</f>
        <v>30</v>
      </c>
      <c r="H49" s="439"/>
      <c r="I49" s="40">
        <f>I48*100</f>
        <v>40</v>
      </c>
      <c r="J49" s="40">
        <f>J48*150</f>
        <v>30</v>
      </c>
      <c r="K49" s="40">
        <f>K48*70</f>
        <v>0</v>
      </c>
      <c r="L49" s="40">
        <f>L48*70</f>
        <v>21</v>
      </c>
      <c r="M49" s="79">
        <f>M48*70</f>
        <v>7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0.9</v>
      </c>
      <c r="D51" s="213">
        <v>0</v>
      </c>
      <c r="E51" s="213">
        <v>0</v>
      </c>
      <c r="F51" s="209"/>
      <c r="G51" s="442"/>
      <c r="H51" s="443"/>
      <c r="I51" s="209">
        <v>0</v>
      </c>
      <c r="J51" s="209">
        <v>0.02</v>
      </c>
      <c r="K51" s="209">
        <v>0.04</v>
      </c>
      <c r="L51" s="209">
        <v>0.03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63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5</v>
      </c>
      <c r="K52" s="41">
        <f>K51*250</f>
        <v>10</v>
      </c>
      <c r="L52" s="41">
        <f>L51*250</f>
        <v>7.5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344.5</v>
      </c>
      <c r="F54" s="39" t="s">
        <v>309</v>
      </c>
      <c r="G54" s="188"/>
      <c r="H54" s="188"/>
      <c r="I54" s="30">
        <f>'7'!D54</f>
        <v>458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>
        <v>166000</v>
      </c>
      <c r="D58" s="60">
        <v>18920</v>
      </c>
      <c r="E58" s="124">
        <f>SUM(C58:D58)</f>
        <v>184920</v>
      </c>
      <c r="F58" s="425"/>
      <c r="G58" s="426"/>
      <c r="H58" s="60"/>
      <c r="I58" s="61"/>
      <c r="J58" s="422"/>
      <c r="K58" s="428"/>
      <c r="L58" s="60">
        <f>5.68*H19</f>
        <v>6420.2743999999993</v>
      </c>
      <c r="M58" s="61">
        <f>L58/3</f>
        <v>2140.0914666666663</v>
      </c>
      <c r="N58" s="288"/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163.59824122159017</v>
      </c>
      <c r="D59" s="432"/>
      <c r="E59" s="433"/>
      <c r="F59" s="434" t="s">
        <v>321</v>
      </c>
      <c r="G59" s="435"/>
      <c r="H59" s="436">
        <f>IF(ISERROR(SUM(H58:I58)/$H$19),"",(SUM(H58:I58)/$H$19))</f>
        <v>0</v>
      </c>
      <c r="I59" s="437"/>
      <c r="J59" s="434" t="s">
        <v>322</v>
      </c>
      <c r="K59" s="435"/>
      <c r="L59" s="115">
        <f>IF(ISERROR(L58/$H$19),"",(L58/$H$19))</f>
        <v>5.68</v>
      </c>
      <c r="M59" s="116">
        <f>IF(ISERROR(M58/$H$19),"",(M58/$H$19))</f>
        <v>1.8933333333333331</v>
      </c>
      <c r="N59" s="288"/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102.7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1.8819444444444442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6</v>
      </c>
      <c r="C63" s="236" t="s">
        <v>22</v>
      </c>
      <c r="D63" s="236"/>
      <c r="E63" s="322" t="s">
        <v>639</v>
      </c>
      <c r="F63" s="324"/>
      <c r="G63" s="322"/>
      <c r="H63" s="323"/>
      <c r="I63" s="323"/>
      <c r="J63" s="324"/>
      <c r="K63" s="238">
        <v>0.29166666666666669</v>
      </c>
      <c r="L63" s="238">
        <v>0.58333333333333337</v>
      </c>
      <c r="M63" s="236" t="s">
        <v>9</v>
      </c>
      <c r="N63" s="237">
        <f t="shared" ref="N63:N126" si="2">IF(M63="No","",IF(M63="Yes",(L63-K63+(L63&lt;K63)),""))</f>
        <v>0.29166666666666669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11</v>
      </c>
      <c r="E64" s="322"/>
      <c r="F64" s="324"/>
      <c r="G64" s="322" t="s">
        <v>640</v>
      </c>
      <c r="H64" s="323"/>
      <c r="I64" s="323"/>
      <c r="J64" s="324"/>
      <c r="K64" s="238">
        <v>0.29166666666666669</v>
      </c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11</v>
      </c>
      <c r="E65" s="322" t="s">
        <v>38</v>
      </c>
      <c r="F65" s="324"/>
      <c r="G65" s="322" t="s">
        <v>641</v>
      </c>
      <c r="H65" s="323"/>
      <c r="I65" s="323"/>
      <c r="J65" s="324"/>
      <c r="K65" s="239">
        <v>0.35416666666666669</v>
      </c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11</v>
      </c>
      <c r="E66" s="322" t="s">
        <v>42</v>
      </c>
      <c r="F66" s="324"/>
      <c r="G66" s="322" t="s">
        <v>642</v>
      </c>
      <c r="H66" s="323"/>
      <c r="I66" s="323"/>
      <c r="J66" s="324"/>
      <c r="K66" s="239">
        <v>0.33333333333333331</v>
      </c>
      <c r="L66" s="239">
        <v>0.375</v>
      </c>
      <c r="M66" s="236" t="s">
        <v>9</v>
      </c>
      <c r="N66" s="237">
        <f t="shared" si="2"/>
        <v>4.1666666666666685E-2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11</v>
      </c>
      <c r="E67" s="322" t="s">
        <v>41</v>
      </c>
      <c r="F67" s="324"/>
      <c r="G67" s="322" t="s">
        <v>643</v>
      </c>
      <c r="H67" s="323"/>
      <c r="I67" s="323"/>
      <c r="J67" s="324"/>
      <c r="K67" s="238">
        <v>0.33333333333333331</v>
      </c>
      <c r="L67" s="238">
        <v>0.40277777777777773</v>
      </c>
      <c r="M67" s="236" t="s">
        <v>9</v>
      </c>
      <c r="N67" s="237">
        <f t="shared" si="2"/>
        <v>6.944444444444442E-2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11</v>
      </c>
      <c r="E68" s="322" t="s">
        <v>36</v>
      </c>
      <c r="F68" s="324"/>
      <c r="G68" s="322" t="s">
        <v>644</v>
      </c>
      <c r="H68" s="323"/>
      <c r="I68" s="323"/>
      <c r="J68" s="324"/>
      <c r="K68" s="239">
        <v>0.33333333333333331</v>
      </c>
      <c r="L68" s="239">
        <v>0.54166666666666663</v>
      </c>
      <c r="M68" s="236" t="s">
        <v>9</v>
      </c>
      <c r="N68" s="237">
        <f t="shared" si="2"/>
        <v>0.20833333333333331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20</v>
      </c>
      <c r="E69" s="322"/>
      <c r="F69" s="324"/>
      <c r="G69" s="322" t="s">
        <v>334</v>
      </c>
      <c r="H69" s="323"/>
      <c r="I69" s="323"/>
      <c r="J69" s="324"/>
      <c r="K69" s="239">
        <v>0.33333333333333331</v>
      </c>
      <c r="L69" s="239">
        <v>0.54166666666666663</v>
      </c>
      <c r="M69" s="236" t="s">
        <v>9</v>
      </c>
      <c r="N69" s="237">
        <f t="shared" si="2"/>
        <v>0.20833333333333331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23</v>
      </c>
      <c r="E70" s="322"/>
      <c r="F70" s="324"/>
      <c r="G70" s="322" t="s">
        <v>334</v>
      </c>
      <c r="H70" s="323"/>
      <c r="I70" s="323"/>
      <c r="J70" s="324"/>
      <c r="K70" s="239">
        <v>0.33333333333333331</v>
      </c>
      <c r="L70" s="239">
        <v>0.54166666666666663</v>
      </c>
      <c r="M70" s="236" t="s">
        <v>9</v>
      </c>
      <c r="N70" s="237">
        <f t="shared" si="2"/>
        <v>0.20833333333333331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26</v>
      </c>
      <c r="E71" s="322"/>
      <c r="F71" s="324"/>
      <c r="G71" s="322" t="s">
        <v>334</v>
      </c>
      <c r="H71" s="323"/>
      <c r="I71" s="323"/>
      <c r="J71" s="324"/>
      <c r="K71" s="239">
        <v>0.33333333333333331</v>
      </c>
      <c r="L71" s="239">
        <v>0.54166666666666663</v>
      </c>
      <c r="M71" s="236" t="s">
        <v>9</v>
      </c>
      <c r="N71" s="237">
        <f t="shared" si="2"/>
        <v>0.20833333333333331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29</v>
      </c>
      <c r="E72" s="322"/>
      <c r="F72" s="324"/>
      <c r="G72" s="322" t="s">
        <v>334</v>
      </c>
      <c r="H72" s="323"/>
      <c r="I72" s="323"/>
      <c r="J72" s="324"/>
      <c r="K72" s="239">
        <v>0.33333333333333331</v>
      </c>
      <c r="L72" s="239">
        <v>0.54166666666666663</v>
      </c>
      <c r="M72" s="236" t="s">
        <v>9</v>
      </c>
      <c r="N72" s="237">
        <f t="shared" si="2"/>
        <v>0.20833333333333331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18</v>
      </c>
      <c r="E73" s="322"/>
      <c r="F73" s="324"/>
      <c r="G73" s="322" t="s">
        <v>645</v>
      </c>
      <c r="H73" s="323"/>
      <c r="I73" s="323"/>
      <c r="J73" s="324"/>
      <c r="K73" s="239">
        <v>0.33333333333333331</v>
      </c>
      <c r="L73" s="239">
        <v>0.54166666666666663</v>
      </c>
      <c r="M73" s="236" t="s">
        <v>9</v>
      </c>
      <c r="N73" s="237">
        <f t="shared" si="2"/>
        <v>0.20833333333333331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322"/>
      <c r="F74" s="324"/>
      <c r="G74" s="322"/>
      <c r="H74" s="323"/>
      <c r="I74" s="323"/>
      <c r="J74" s="324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 t="s">
        <v>14</v>
      </c>
      <c r="C75" s="236" t="s">
        <v>25</v>
      </c>
      <c r="D75" s="236" t="s">
        <v>26</v>
      </c>
      <c r="E75" s="322"/>
      <c r="F75" s="324"/>
      <c r="G75" s="322" t="s">
        <v>331</v>
      </c>
      <c r="H75" s="323"/>
      <c r="I75" s="323"/>
      <c r="J75" s="324"/>
      <c r="K75" s="239">
        <v>0.77083333333333337</v>
      </c>
      <c r="L75" s="239">
        <v>0.84722222222222221</v>
      </c>
      <c r="M75" s="236" t="s">
        <v>9</v>
      </c>
      <c r="N75" s="237">
        <f t="shared" si="2"/>
        <v>7.638888888888884E-2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29</v>
      </c>
      <c r="E76" s="322" t="s">
        <v>108</v>
      </c>
      <c r="F76" s="324"/>
      <c r="G76" s="322" t="s">
        <v>331</v>
      </c>
      <c r="H76" s="323"/>
      <c r="I76" s="323"/>
      <c r="J76" s="324"/>
      <c r="K76" s="239">
        <v>0.70138888888888884</v>
      </c>
      <c r="L76" s="239">
        <v>0.85416666666666663</v>
      </c>
      <c r="M76" s="236" t="s">
        <v>9</v>
      </c>
      <c r="N76" s="237">
        <f t="shared" si="2"/>
        <v>0.15277777777777779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29</v>
      </c>
      <c r="E77" s="322"/>
      <c r="F77" s="324"/>
      <c r="G77" s="322" t="s">
        <v>646</v>
      </c>
      <c r="H77" s="323"/>
      <c r="I77" s="323"/>
      <c r="J77" s="324"/>
      <c r="K77" s="238">
        <v>0.70833333333333337</v>
      </c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/>
      <c r="H78" s="323"/>
      <c r="I78" s="323"/>
      <c r="J78" s="324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 t="s">
        <v>17</v>
      </c>
      <c r="C79" s="236" t="s">
        <v>28</v>
      </c>
      <c r="D79" s="236" t="s">
        <v>26</v>
      </c>
      <c r="E79" s="322"/>
      <c r="F79" s="324"/>
      <c r="G79" s="322" t="s">
        <v>525</v>
      </c>
      <c r="H79" s="323"/>
      <c r="I79" s="323"/>
      <c r="J79" s="324"/>
      <c r="K79" s="239">
        <v>4.1666666666666664E-2</v>
      </c>
      <c r="L79" s="239">
        <v>8.3333333333333329E-2</v>
      </c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 t="s">
        <v>29</v>
      </c>
      <c r="E80" s="322" t="s">
        <v>109</v>
      </c>
      <c r="F80" s="324" t="s">
        <v>109</v>
      </c>
      <c r="G80" s="322" t="s">
        <v>528</v>
      </c>
      <c r="H80" s="323"/>
      <c r="I80" s="323"/>
      <c r="J80" s="324"/>
      <c r="K80" s="239">
        <v>8.3333333333333329E-2</v>
      </c>
      <c r="L80" s="239">
        <v>0.11805555555555557</v>
      </c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 t="s">
        <v>15</v>
      </c>
      <c r="E81" s="322"/>
      <c r="F81" s="324"/>
      <c r="G81" s="322" t="s">
        <v>647</v>
      </c>
      <c r="H81" s="323"/>
      <c r="I81" s="323"/>
      <c r="J81" s="324"/>
      <c r="K81" s="239">
        <v>0.20833333333333334</v>
      </c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 t="s">
        <v>15</v>
      </c>
      <c r="E82" s="322"/>
      <c r="F82" s="324"/>
      <c r="G82" s="322" t="s">
        <v>648</v>
      </c>
      <c r="H82" s="323"/>
      <c r="I82" s="323"/>
      <c r="J82" s="324"/>
      <c r="K82" s="239">
        <v>0.20833333333333334</v>
      </c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 t="s">
        <v>15</v>
      </c>
      <c r="E83" s="322"/>
      <c r="F83" s="324"/>
      <c r="G83" s="322" t="s">
        <v>649</v>
      </c>
      <c r="H83" s="323"/>
      <c r="I83" s="323"/>
      <c r="J83" s="324"/>
      <c r="K83" s="239">
        <v>0.22916666666666666</v>
      </c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 t="s">
        <v>11</v>
      </c>
      <c r="E84" s="322"/>
      <c r="F84" s="324"/>
      <c r="G84" s="322" t="s">
        <v>650</v>
      </c>
      <c r="H84" s="323"/>
      <c r="I84" s="323"/>
      <c r="J84" s="324"/>
      <c r="K84" s="239">
        <v>0.27083333333333331</v>
      </c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/>
      <c r="D136" s="481"/>
      <c r="E136" s="463" t="s">
        <v>651</v>
      </c>
      <c r="F136" s="464"/>
      <c r="G136" s="452"/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652</v>
      </c>
      <c r="D137" s="479"/>
      <c r="E137" s="463" t="s">
        <v>347</v>
      </c>
      <c r="F137" s="464"/>
      <c r="G137" s="452" t="s">
        <v>489</v>
      </c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35"/>
      <c r="E143" s="335"/>
      <c r="F143" s="335"/>
      <c r="G143" s="336"/>
      <c r="H143" s="336"/>
      <c r="I143" s="336"/>
      <c r="J143" s="336"/>
      <c r="K143" s="336"/>
      <c r="L143" s="335"/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 t="s">
        <v>255</v>
      </c>
      <c r="C144" s="215">
        <v>18</v>
      </c>
      <c r="D144" s="335" t="s">
        <v>653</v>
      </c>
      <c r="E144" s="335"/>
      <c r="F144" s="335"/>
      <c r="G144" s="336" t="s">
        <v>374</v>
      </c>
      <c r="H144" s="336"/>
      <c r="I144" s="336"/>
      <c r="J144" s="336">
        <v>14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 t="s">
        <v>378</v>
      </c>
      <c r="D145" s="335" t="s">
        <v>654</v>
      </c>
      <c r="E145" s="335"/>
      <c r="F145" s="335"/>
      <c r="G145" s="336" t="s">
        <v>367</v>
      </c>
      <c r="H145" s="336"/>
      <c r="I145" s="336"/>
      <c r="J145" s="336">
        <v>28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14</v>
      </c>
      <c r="D146" s="335" t="s">
        <v>655</v>
      </c>
      <c r="E146" s="335"/>
      <c r="F146" s="335"/>
      <c r="G146" s="336" t="s">
        <v>656</v>
      </c>
      <c r="H146" s="336"/>
      <c r="I146" s="336"/>
      <c r="J146" s="336">
        <v>19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18</v>
      </c>
      <c r="D147" s="335" t="s">
        <v>657</v>
      </c>
      <c r="E147" s="335"/>
      <c r="F147" s="335"/>
      <c r="G147" s="336" t="s">
        <v>538</v>
      </c>
      <c r="H147" s="336"/>
      <c r="I147" s="336"/>
      <c r="J147" s="336">
        <v>16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13</v>
      </c>
      <c r="D148" s="335" t="s">
        <v>658</v>
      </c>
      <c r="E148" s="335"/>
      <c r="F148" s="335"/>
      <c r="G148" s="336" t="s">
        <v>659</v>
      </c>
      <c r="H148" s="336"/>
      <c r="I148" s="336"/>
      <c r="J148" s="336">
        <v>24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8</v>
      </c>
      <c r="D149" s="335" t="s">
        <v>660</v>
      </c>
      <c r="E149" s="335"/>
      <c r="F149" s="335"/>
      <c r="G149" s="336" t="s">
        <v>661</v>
      </c>
      <c r="H149" s="336"/>
      <c r="I149" s="336"/>
      <c r="J149" s="336">
        <v>75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13</v>
      </c>
      <c r="D150" s="335" t="s">
        <v>654</v>
      </c>
      <c r="E150" s="335"/>
      <c r="F150" s="335"/>
      <c r="G150" s="336" t="s">
        <v>662</v>
      </c>
      <c r="H150" s="336"/>
      <c r="I150" s="336"/>
      <c r="J150" s="336">
        <v>38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19</v>
      </c>
      <c r="D151" s="335" t="s">
        <v>663</v>
      </c>
      <c r="E151" s="335"/>
      <c r="F151" s="335"/>
      <c r="G151" s="336" t="s">
        <v>415</v>
      </c>
      <c r="H151" s="336"/>
      <c r="I151" s="336"/>
      <c r="J151" s="336">
        <v>13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 t="s">
        <v>376</v>
      </c>
      <c r="D152" s="335" t="s">
        <v>660</v>
      </c>
      <c r="E152" s="335"/>
      <c r="F152" s="335"/>
      <c r="G152" s="336" t="s">
        <v>357</v>
      </c>
      <c r="H152" s="336"/>
      <c r="I152" s="336"/>
      <c r="J152" s="336">
        <v>32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35"/>
      <c r="E153" s="335"/>
      <c r="F153" s="335"/>
      <c r="G153" s="336"/>
      <c r="H153" s="336"/>
      <c r="I153" s="336"/>
      <c r="J153" s="336"/>
      <c r="K153" s="336"/>
      <c r="L153" s="335"/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35"/>
      <c r="E154" s="335"/>
      <c r="F154" s="335"/>
      <c r="G154" s="336"/>
      <c r="H154" s="336"/>
      <c r="I154" s="336"/>
      <c r="J154" s="336"/>
      <c r="K154" s="336"/>
      <c r="L154" s="335"/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 t="s">
        <v>261</v>
      </c>
      <c r="C155" s="215">
        <v>18</v>
      </c>
      <c r="D155" s="335" t="s">
        <v>664</v>
      </c>
      <c r="E155" s="335"/>
      <c r="F155" s="335"/>
      <c r="G155" s="336" t="s">
        <v>538</v>
      </c>
      <c r="H155" s="336"/>
      <c r="I155" s="336"/>
      <c r="J155" s="336">
        <v>15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24</v>
      </c>
      <c r="D156" s="335" t="s">
        <v>665</v>
      </c>
      <c r="E156" s="335"/>
      <c r="F156" s="335"/>
      <c r="G156" s="336" t="s">
        <v>403</v>
      </c>
      <c r="H156" s="336"/>
      <c r="I156" s="336"/>
      <c r="J156" s="336">
        <v>368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13</v>
      </c>
      <c r="D157" s="335" t="s">
        <v>666</v>
      </c>
      <c r="E157" s="335"/>
      <c r="F157" s="335"/>
      <c r="G157" s="336" t="s">
        <v>359</v>
      </c>
      <c r="H157" s="336"/>
      <c r="I157" s="336"/>
      <c r="J157" s="336">
        <v>70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19</v>
      </c>
      <c r="D158" s="335" t="s">
        <v>667</v>
      </c>
      <c r="E158" s="335"/>
      <c r="F158" s="335"/>
      <c r="G158" s="336" t="s">
        <v>361</v>
      </c>
      <c r="H158" s="336"/>
      <c r="I158" s="336"/>
      <c r="J158" s="336">
        <v>15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12</v>
      </c>
      <c r="D159" s="335" t="s">
        <v>668</v>
      </c>
      <c r="E159" s="335"/>
      <c r="F159" s="335"/>
      <c r="G159" s="336" t="s">
        <v>372</v>
      </c>
      <c r="H159" s="336"/>
      <c r="I159" s="336"/>
      <c r="J159" s="336">
        <v>22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9</v>
      </c>
      <c r="D160" s="335" t="s">
        <v>666</v>
      </c>
      <c r="E160" s="335"/>
      <c r="F160" s="335"/>
      <c r="G160" s="336" t="s">
        <v>367</v>
      </c>
      <c r="H160" s="336"/>
      <c r="I160" s="336"/>
      <c r="J160" s="336">
        <v>50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11</v>
      </c>
      <c r="D161" s="335" t="s">
        <v>666</v>
      </c>
      <c r="E161" s="335"/>
      <c r="F161" s="335"/>
      <c r="G161" s="336" t="s">
        <v>403</v>
      </c>
      <c r="H161" s="336"/>
      <c r="I161" s="336"/>
      <c r="J161" s="336">
        <v>372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15</v>
      </c>
      <c r="D162" s="335" t="s">
        <v>669</v>
      </c>
      <c r="E162" s="335"/>
      <c r="F162" s="335"/>
      <c r="G162" s="336" t="s">
        <v>670</v>
      </c>
      <c r="H162" s="336"/>
      <c r="I162" s="336"/>
      <c r="J162" s="336">
        <v>36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13</v>
      </c>
      <c r="D163" s="335" t="s">
        <v>671</v>
      </c>
      <c r="E163" s="335"/>
      <c r="F163" s="335"/>
      <c r="G163" s="336" t="s">
        <v>359</v>
      </c>
      <c r="H163" s="336"/>
      <c r="I163" s="336"/>
      <c r="J163" s="336">
        <v>36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35"/>
      <c r="E164" s="335"/>
      <c r="F164" s="335"/>
      <c r="G164" s="336"/>
      <c r="H164" s="336"/>
      <c r="I164" s="336"/>
      <c r="J164" s="336"/>
      <c r="K164" s="336"/>
      <c r="L164" s="335"/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 t="s">
        <v>267</v>
      </c>
      <c r="C165" s="215">
        <v>9</v>
      </c>
      <c r="D165" s="335" t="s">
        <v>672</v>
      </c>
      <c r="E165" s="335"/>
      <c r="F165" s="335"/>
      <c r="G165" s="336" t="s">
        <v>673</v>
      </c>
      <c r="H165" s="336"/>
      <c r="I165" s="336"/>
      <c r="J165" s="336">
        <v>81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3</v>
      </c>
      <c r="D166" s="335" t="s">
        <v>674</v>
      </c>
      <c r="E166" s="335"/>
      <c r="F166" s="335"/>
      <c r="G166" s="336" t="s">
        <v>673</v>
      </c>
      <c r="H166" s="336"/>
      <c r="I166" s="336"/>
      <c r="J166" s="336">
        <v>72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>
        <v>18</v>
      </c>
      <c r="D167" s="335" t="s">
        <v>675</v>
      </c>
      <c r="E167" s="335"/>
      <c r="F167" s="335"/>
      <c r="G167" s="336" t="s">
        <v>538</v>
      </c>
      <c r="H167" s="336"/>
      <c r="I167" s="336"/>
      <c r="J167" s="336" t="s">
        <v>676</v>
      </c>
      <c r="K167" s="336"/>
      <c r="L167" s="335" t="s">
        <v>355</v>
      </c>
      <c r="M167" s="335"/>
    </row>
    <row r="168" spans="1:18" ht="14.25" x14ac:dyDescent="0.2">
      <c r="B168" s="216"/>
      <c r="C168" s="215">
        <v>17</v>
      </c>
      <c r="D168" s="335" t="s">
        <v>677</v>
      </c>
      <c r="E168" s="335"/>
      <c r="F168" s="335"/>
      <c r="G168" s="336" t="s">
        <v>446</v>
      </c>
      <c r="H168" s="336"/>
      <c r="I168" s="336"/>
      <c r="J168" s="336" t="s">
        <v>678</v>
      </c>
      <c r="K168" s="336"/>
      <c r="L168" s="335" t="s">
        <v>355</v>
      </c>
      <c r="M168" s="335"/>
    </row>
    <row r="169" spans="1:18" ht="14.25" x14ac:dyDescent="0.2">
      <c r="B169" s="216"/>
      <c r="C169" s="215">
        <v>12</v>
      </c>
      <c r="D169" s="335" t="s">
        <v>672</v>
      </c>
      <c r="E169" s="335"/>
      <c r="F169" s="335"/>
      <c r="G169" s="336" t="s">
        <v>679</v>
      </c>
      <c r="H169" s="336"/>
      <c r="I169" s="336"/>
      <c r="J169" s="336">
        <v>93</v>
      </c>
      <c r="K169" s="336"/>
      <c r="L169" s="335" t="s">
        <v>355</v>
      </c>
      <c r="M169" s="335"/>
    </row>
    <row r="170" spans="1:18" ht="14.25" x14ac:dyDescent="0.2">
      <c r="B170" s="216"/>
      <c r="C170" s="215">
        <v>18</v>
      </c>
      <c r="D170" s="335" t="s">
        <v>675</v>
      </c>
      <c r="E170" s="335"/>
      <c r="F170" s="335"/>
      <c r="G170" s="336" t="s">
        <v>538</v>
      </c>
      <c r="H170" s="336"/>
      <c r="I170" s="336"/>
      <c r="J170" s="336" t="s">
        <v>676</v>
      </c>
      <c r="K170" s="336"/>
      <c r="L170" s="335" t="s">
        <v>355</v>
      </c>
      <c r="M170" s="335"/>
    </row>
    <row r="171" spans="1:18" ht="14.25" x14ac:dyDescent="0.2">
      <c r="B171" s="216"/>
      <c r="C171" s="215">
        <v>18</v>
      </c>
      <c r="D171" s="337" t="s">
        <v>675</v>
      </c>
      <c r="E171" s="338"/>
      <c r="F171" s="339"/>
      <c r="G171" s="336" t="s">
        <v>357</v>
      </c>
      <c r="H171" s="336"/>
      <c r="I171" s="336"/>
      <c r="J171" s="336">
        <v>47</v>
      </c>
      <c r="K171" s="336"/>
      <c r="L171" s="335" t="s">
        <v>355</v>
      </c>
      <c r="M171" s="335"/>
    </row>
    <row r="172" spans="1:18" ht="14.25" x14ac:dyDescent="0.2">
      <c r="B172" s="216"/>
      <c r="C172" s="215">
        <v>17</v>
      </c>
      <c r="D172" s="335" t="s">
        <v>675</v>
      </c>
      <c r="E172" s="335"/>
      <c r="F172" s="335"/>
      <c r="G172" s="336" t="s">
        <v>367</v>
      </c>
      <c r="H172" s="336"/>
      <c r="I172" s="336"/>
      <c r="J172" s="336">
        <v>40</v>
      </c>
      <c r="K172" s="336"/>
      <c r="L172" s="335" t="s">
        <v>355</v>
      </c>
      <c r="M172" s="335"/>
    </row>
    <row r="173" spans="1:18" ht="14.25" x14ac:dyDescent="0.2">
      <c r="B173" s="216"/>
      <c r="C173" s="215">
        <v>18</v>
      </c>
      <c r="D173" s="335" t="s">
        <v>680</v>
      </c>
      <c r="E173" s="335"/>
      <c r="F173" s="335"/>
      <c r="G173" s="336" t="s">
        <v>359</v>
      </c>
      <c r="H173" s="336"/>
      <c r="I173" s="336"/>
      <c r="J173" s="336">
        <v>28</v>
      </c>
      <c r="K173" s="336"/>
      <c r="L173" s="335" t="s">
        <v>355</v>
      </c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 topLeftCell="A10">
      <selection activeCell="E29" sqref="E29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6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G70:J70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02F609E6-9CB7-4DA3-84B1-7E33537AE3C3}">
      <formula1>INDIRECT(D63)</formula1>
    </dataValidation>
  </dataValidations>
  <hyperlinks>
    <hyperlink ref="J14:L15" location="Summary!A1" display="MTD Summary " xr:uid="{881E223D-1327-46FF-8785-56AE53BE5AC8}"/>
    <hyperlink ref="J16:L17" location="Graph!A1" display="MTD Trendings" xr:uid="{42509C14-1F11-4F13-9074-179020CBCCE7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E58C5D7-2DC3-4EBA-BFE7-3ACD857928C0}">
          <x14:formula1>
            <xm:f>List!$C$5:$C$14</xm:f>
          </x14:formula1>
          <xm:sqref>D63:D131</xm:sqref>
        </x14:dataValidation>
        <x14:dataValidation type="list" allowBlank="1" showInputMessage="1" showErrorMessage="1" xr:uid="{6ED32DD8-84E4-4654-854C-599888143D49}">
          <x14:formula1>
            <xm:f>List!$B$10:$B$12</xm:f>
          </x14:formula1>
          <xm:sqref>C63:C131</xm:sqref>
        </x14:dataValidation>
        <x14:dataValidation type="list" allowBlank="1" showInputMessage="1" showErrorMessage="1" xr:uid="{C7CB21F8-2757-42C2-B674-11A279765066}">
          <x14:formula1>
            <xm:f>List!$B$5:$B$8</xm:f>
          </x14:formula1>
          <xm:sqref>B63:B131</xm:sqref>
        </x14:dataValidation>
        <x14:dataValidation type="list" allowBlank="1" showInputMessage="1" showErrorMessage="1" xr:uid="{1F74C3CE-CC3F-4A78-BC0A-669516107CE5}">
          <x14:formula1>
            <xm:f>Sheet3!$C$3:$C$4</xm:f>
          </x14:formula1>
          <xm:sqref>M63:M132</xm:sqref>
        </x14:dataValidation>
        <x14:dataValidation type="list" allowBlank="1" showInputMessage="1" xr:uid="{D7C34C29-926E-48F5-B9FC-A5CA945A675E}">
          <x14:formula1>
            <xm:f>Sheet3!$D$3:$D$11</xm:f>
          </x14:formula1>
          <xm:sqref>C132</xm:sqref>
        </x14:dataValidation>
        <x14:dataValidation type="list" allowBlank="1" showInputMessage="1" showErrorMessage="1" xr:uid="{B63FC8C3-4B95-4C30-80A4-8EAAE1DE6321}">
          <x14:formula1>
            <xm:f>Sheet3!$B$3:$B$5</xm:f>
          </x14:formula1>
          <xm:sqref>B143:B165 B132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2206-B050-4942-A69E-DC0CE0D9DB90}">
  <sheetPr>
    <pageSetUpPr fitToPage="1"/>
  </sheetPr>
  <dimension ref="A1:R188"/>
  <sheetViews>
    <sheetView showGridLines="0" view="pageBreakPreview" topLeftCell="A64" zoomScale="80" zoomScaleNormal="90" zoomScaleSheetLayoutView="80" zoomScalePageLayoutView="80" workbookViewId="0">
      <selection activeCell="I40" sqref="I40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9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" x14ac:dyDescent="0.2">
      <c r="B6" s="342"/>
      <c r="C6" s="287" t="s">
        <v>252</v>
      </c>
      <c r="D6" s="289" t="s">
        <v>253</v>
      </c>
      <c r="E6" s="290" t="s">
        <v>681</v>
      </c>
      <c r="F6" s="418" t="s">
        <v>254</v>
      </c>
      <c r="G6" s="419"/>
      <c r="H6" s="414"/>
      <c r="I6" s="68"/>
      <c r="J6" s="420">
        <f>H19</f>
        <v>1660.5500000000002</v>
      </c>
      <c r="K6" s="420"/>
      <c r="L6" s="420">
        <f ca="1">Summary!G16</f>
        <v>1737.94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110</v>
      </c>
      <c r="E7" s="84">
        <v>60</v>
      </c>
      <c r="F7" s="395">
        <v>60</v>
      </c>
      <c r="G7" s="396"/>
      <c r="H7" s="374">
        <f>SUM(D7:D10)</f>
        <v>500.22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130</v>
      </c>
      <c r="E8" s="86">
        <v>60</v>
      </c>
      <c r="F8" s="397">
        <v>60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120</v>
      </c>
      <c r="E9" s="86">
        <v>60</v>
      </c>
      <c r="F9" s="397">
        <v>60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140.22</v>
      </c>
      <c r="E10" s="88">
        <v>60</v>
      </c>
      <c r="F10" s="399">
        <v>60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140</v>
      </c>
      <c r="E11" s="90">
        <v>60</v>
      </c>
      <c r="F11" s="386">
        <v>60</v>
      </c>
      <c r="G11" s="387"/>
      <c r="H11" s="388">
        <f>SUM(D11:D14)</f>
        <v>590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160</v>
      </c>
      <c r="E12" s="92">
        <v>60</v>
      </c>
      <c r="F12" s="391">
        <v>60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150</v>
      </c>
      <c r="E13" s="92">
        <v>60</v>
      </c>
      <c r="F13" s="391">
        <v>60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140</v>
      </c>
      <c r="E14" s="94">
        <v>60</v>
      </c>
      <c r="F14" s="393">
        <v>60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140</v>
      </c>
      <c r="E15" s="96">
        <v>60</v>
      </c>
      <c r="F15" s="372">
        <v>60</v>
      </c>
      <c r="G15" s="373"/>
      <c r="H15" s="374">
        <f>SUM(D15:D18)</f>
        <v>570.33000000000004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150</v>
      </c>
      <c r="E16" s="98">
        <v>60</v>
      </c>
      <c r="F16" s="401">
        <v>60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140</v>
      </c>
      <c r="E17" s="98">
        <v>60</v>
      </c>
      <c r="F17" s="401">
        <v>60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140.33000000000001</v>
      </c>
      <c r="E18" s="100">
        <v>60</v>
      </c>
      <c r="F18" s="404">
        <v>60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1660.5500000000002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7</v>
      </c>
      <c r="D25" s="102">
        <v>130</v>
      </c>
      <c r="E25" s="56">
        <v>6</v>
      </c>
      <c r="F25" s="107">
        <v>60</v>
      </c>
      <c r="G25" s="410">
        <v>7</v>
      </c>
      <c r="H25" s="411"/>
      <c r="I25" s="111">
        <v>198</v>
      </c>
      <c r="J25" s="38">
        <f t="shared" ref="J25:J40" si="0">C25+E25+G25</f>
        <v>20</v>
      </c>
      <c r="K25" s="412">
        <f>D25+F25+I25</f>
        <v>388</v>
      </c>
      <c r="L25" s="413"/>
      <c r="M25" s="2"/>
    </row>
    <row r="26" spans="2:14" ht="14.1" customHeight="1" x14ac:dyDescent="0.2">
      <c r="B26" s="80" t="s">
        <v>281</v>
      </c>
      <c r="C26" s="45">
        <v>5</v>
      </c>
      <c r="D26" s="103">
        <v>86</v>
      </c>
      <c r="E26" s="57">
        <v>5</v>
      </c>
      <c r="F26" s="108">
        <v>202</v>
      </c>
      <c r="G26" s="406">
        <v>6</v>
      </c>
      <c r="H26" s="407"/>
      <c r="I26" s="112">
        <v>94</v>
      </c>
      <c r="J26" s="25">
        <f t="shared" si="0"/>
        <v>16</v>
      </c>
      <c r="K26" s="408">
        <f t="shared" ref="K26:K39" si="1">D26+F26+I26</f>
        <v>382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178</v>
      </c>
      <c r="E27" s="57"/>
      <c r="F27" s="108">
        <v>121</v>
      </c>
      <c r="G27" s="406"/>
      <c r="H27" s="407"/>
      <c r="I27" s="112">
        <v>88</v>
      </c>
      <c r="J27" s="25">
        <f t="shared" si="0"/>
        <v>0</v>
      </c>
      <c r="K27" s="408">
        <f t="shared" si="1"/>
        <v>387</v>
      </c>
      <c r="L27" s="409"/>
      <c r="M27" s="2"/>
    </row>
    <row r="28" spans="2:14" ht="14.1" customHeight="1" x14ac:dyDescent="0.2">
      <c r="B28" s="80" t="s">
        <v>283</v>
      </c>
      <c r="C28" s="45">
        <v>6</v>
      </c>
      <c r="D28" s="103"/>
      <c r="E28" s="57">
        <v>5</v>
      </c>
      <c r="F28" s="108"/>
      <c r="G28" s="406">
        <v>6</v>
      </c>
      <c r="H28" s="407"/>
      <c r="I28" s="112"/>
      <c r="J28" s="25">
        <f t="shared" si="0"/>
        <v>17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5</v>
      </c>
      <c r="D29" s="103"/>
      <c r="E29" s="57">
        <v>4</v>
      </c>
      <c r="F29" s="108"/>
      <c r="G29" s="406">
        <v>4</v>
      </c>
      <c r="H29" s="407"/>
      <c r="I29" s="112"/>
      <c r="J29" s="25">
        <f t="shared" si="0"/>
        <v>13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>
        <v>1</v>
      </c>
      <c r="D30" s="103"/>
      <c r="E30" s="57">
        <v>1</v>
      </c>
      <c r="F30" s="108">
        <v>48.45</v>
      </c>
      <c r="G30" s="406">
        <v>1</v>
      </c>
      <c r="H30" s="407"/>
      <c r="I30" s="112"/>
      <c r="J30" s="25">
        <f t="shared" si="0"/>
        <v>3</v>
      </c>
      <c r="K30" s="408">
        <f t="shared" si="1"/>
        <v>48.45</v>
      </c>
      <c r="L30" s="409"/>
    </row>
    <row r="31" spans="2:14" ht="14.1" customHeight="1" x14ac:dyDescent="0.2">
      <c r="B31" s="80" t="s">
        <v>286</v>
      </c>
      <c r="C31" s="45">
        <v>2</v>
      </c>
      <c r="D31" s="103"/>
      <c r="E31" s="57">
        <v>3</v>
      </c>
      <c r="F31" s="108"/>
      <c r="G31" s="406">
        <v>2</v>
      </c>
      <c r="H31" s="407"/>
      <c r="I31" s="112"/>
      <c r="J31" s="25">
        <f t="shared" si="0"/>
        <v>7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1</v>
      </c>
      <c r="F32" s="108"/>
      <c r="G32" s="406">
        <v>1</v>
      </c>
      <c r="H32" s="407"/>
      <c r="I32" s="112"/>
      <c r="J32" s="25">
        <f t="shared" si="0"/>
        <v>3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/>
      <c r="G33" s="406"/>
      <c r="H33" s="407"/>
      <c r="I33" s="112"/>
      <c r="J33" s="25">
        <f t="shared" si="0"/>
        <v>0</v>
      </c>
      <c r="K33" s="408">
        <f t="shared" si="1"/>
        <v>0</v>
      </c>
      <c r="L33" s="409"/>
    </row>
    <row r="34" spans="1:16" ht="14.1" customHeight="1" x14ac:dyDescent="0.2">
      <c r="B34" s="80" t="s">
        <v>289</v>
      </c>
      <c r="C34" s="45">
        <v>1</v>
      </c>
      <c r="D34" s="103"/>
      <c r="E34" s="57"/>
      <c r="F34" s="108"/>
      <c r="G34" s="406"/>
      <c r="H34" s="407"/>
      <c r="I34" s="112"/>
      <c r="J34" s="25">
        <f t="shared" si="0"/>
        <v>1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>
        <v>20.85</v>
      </c>
      <c r="G35" s="406"/>
      <c r="H35" s="407"/>
      <c r="I35" s="112"/>
      <c r="J35" s="25">
        <f t="shared" si="0"/>
        <v>0</v>
      </c>
      <c r="K35" s="408">
        <f t="shared" si="1"/>
        <v>20.85</v>
      </c>
      <c r="L35" s="409"/>
    </row>
    <row r="36" spans="1:16" ht="14.1" customHeight="1" x14ac:dyDescent="0.2">
      <c r="B36" s="37" t="s">
        <v>291</v>
      </c>
      <c r="C36" s="55"/>
      <c r="D36" s="104"/>
      <c r="E36" s="58"/>
      <c r="F36" s="109">
        <v>20</v>
      </c>
      <c r="G36" s="406"/>
      <c r="H36" s="407"/>
      <c r="I36" s="113"/>
      <c r="J36" s="25">
        <f t="shared" si="0"/>
        <v>0</v>
      </c>
      <c r="K36" s="408">
        <f t="shared" si="1"/>
        <v>20</v>
      </c>
      <c r="L36" s="409"/>
    </row>
    <row r="37" spans="1:16" ht="14.1" customHeight="1" x14ac:dyDescent="0.2">
      <c r="B37" s="37" t="s">
        <v>292</v>
      </c>
      <c r="C37" s="55"/>
      <c r="D37" s="104">
        <v>3</v>
      </c>
      <c r="E37" s="58"/>
      <c r="F37" s="109">
        <v>6</v>
      </c>
      <c r="G37" s="406"/>
      <c r="H37" s="407"/>
      <c r="I37" s="113"/>
      <c r="J37" s="25">
        <f t="shared" si="0"/>
        <v>0</v>
      </c>
      <c r="K37" s="408">
        <f t="shared" si="1"/>
        <v>9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>
        <v>5</v>
      </c>
      <c r="G38" s="406"/>
      <c r="H38" s="407"/>
      <c r="I38" s="113"/>
      <c r="J38" s="25">
        <f t="shared" si="0"/>
        <v>0</v>
      </c>
      <c r="K38" s="408">
        <f t="shared" si="1"/>
        <v>5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210</v>
      </c>
      <c r="J39" s="25">
        <f t="shared" si="0"/>
        <v>0</v>
      </c>
      <c r="K39" s="408">
        <f t="shared" si="1"/>
        <v>210</v>
      </c>
      <c r="L39" s="409"/>
    </row>
    <row r="40" spans="1:16" ht="14.1" customHeight="1" thickBot="1" x14ac:dyDescent="0.25">
      <c r="B40" s="81" t="s">
        <v>295</v>
      </c>
      <c r="C40" s="47"/>
      <c r="D40" s="105">
        <v>99.12</v>
      </c>
      <c r="E40" s="59"/>
      <c r="F40" s="110">
        <v>128.88</v>
      </c>
      <c r="G40" s="473"/>
      <c r="H40" s="474"/>
      <c r="I40" s="114">
        <v>98.64</v>
      </c>
      <c r="J40" s="26">
        <f t="shared" si="0"/>
        <v>0</v>
      </c>
      <c r="K40" s="475">
        <f>D40+F40+I40</f>
        <v>326.64</v>
      </c>
      <c r="L40" s="476"/>
    </row>
    <row r="41" spans="1:16" ht="17.25" customHeight="1" x14ac:dyDescent="0.2">
      <c r="B41" s="15" t="s">
        <v>273</v>
      </c>
      <c r="C41" s="16">
        <f>SUM(C25:C40)</f>
        <v>28</v>
      </c>
      <c r="D41" s="106">
        <f>SUM(D25:D40)</f>
        <v>496.12</v>
      </c>
      <c r="E41" s="16">
        <f>SUM(E25:E40)</f>
        <v>25</v>
      </c>
      <c r="F41" s="106">
        <f>SUM(F25:F40)</f>
        <v>612.18000000000006</v>
      </c>
      <c r="G41" s="430">
        <f>SUM(G25:H40)</f>
        <v>27</v>
      </c>
      <c r="H41" s="430"/>
      <c r="I41" s="106">
        <f>SUM(I25:I40)</f>
        <v>688.64</v>
      </c>
      <c r="J41" s="16">
        <f>SUM(J25:J40)</f>
        <v>80</v>
      </c>
      <c r="K41" s="477">
        <f>SUM(K25:L40)</f>
        <v>1796.94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/>
      <c r="D45" s="210"/>
      <c r="E45" s="209"/>
      <c r="F45" s="210"/>
      <c r="G45" s="471"/>
      <c r="H45" s="472"/>
      <c r="I45" s="210"/>
      <c r="J45" s="210">
        <v>0.3</v>
      </c>
      <c r="K45" s="209">
        <v>0.2</v>
      </c>
      <c r="L45" s="210"/>
      <c r="M45" s="211">
        <v>0.1</v>
      </c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15</v>
      </c>
      <c r="K46" s="40">
        <f>K45*50</f>
        <v>10</v>
      </c>
      <c r="L46" s="40">
        <f>L45*50</f>
        <v>0</v>
      </c>
      <c r="M46" s="79">
        <f>M45*50</f>
        <v>5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/>
      <c r="D48" s="209"/>
      <c r="E48" s="209"/>
      <c r="F48" s="209">
        <v>0.3</v>
      </c>
      <c r="G48" s="442">
        <v>0.2</v>
      </c>
      <c r="H48" s="443"/>
      <c r="I48" s="209">
        <v>0.7</v>
      </c>
      <c r="J48" s="209">
        <v>0</v>
      </c>
      <c r="K48" s="209">
        <v>0</v>
      </c>
      <c r="L48" s="209">
        <v>0.9</v>
      </c>
      <c r="M48" s="211">
        <v>0.1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48</v>
      </c>
      <c r="G49" s="438">
        <f>G48*100</f>
        <v>20</v>
      </c>
      <c r="H49" s="439"/>
      <c r="I49" s="40">
        <f>I48*100</f>
        <v>70</v>
      </c>
      <c r="J49" s="40">
        <f>J48*150</f>
        <v>0</v>
      </c>
      <c r="K49" s="40">
        <f>K48*70</f>
        <v>0</v>
      </c>
      <c r="L49" s="40">
        <f>L48*70</f>
        <v>63</v>
      </c>
      <c r="M49" s="79">
        <f>M48*70</f>
        <v>7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0.1</v>
      </c>
      <c r="D51" s="213">
        <v>0</v>
      </c>
      <c r="E51" s="214">
        <v>0</v>
      </c>
      <c r="F51" s="209"/>
      <c r="G51" s="442"/>
      <c r="H51" s="443"/>
      <c r="I51" s="209">
        <v>0</v>
      </c>
      <c r="J51" s="209">
        <v>0.02</v>
      </c>
      <c r="K51" s="209">
        <v>0.04</v>
      </c>
      <c r="L51" s="209">
        <v>0.03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7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5</v>
      </c>
      <c r="K52" s="41">
        <f>K51*250</f>
        <v>10</v>
      </c>
      <c r="L52" s="41">
        <f>L51*250</f>
        <v>7.5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267.5</v>
      </c>
      <c r="F54" s="39" t="s">
        <v>309</v>
      </c>
      <c r="G54" s="188"/>
      <c r="H54" s="188"/>
      <c r="I54" s="30">
        <f>'8'!D54</f>
        <v>344.5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>
        <v>175800</v>
      </c>
      <c r="D58" s="60">
        <v>17670</v>
      </c>
      <c r="E58" s="124">
        <f>SUM(C58:D58)</f>
        <v>193470</v>
      </c>
      <c r="F58" s="425"/>
      <c r="G58" s="426"/>
      <c r="H58" s="60"/>
      <c r="I58" s="61"/>
      <c r="J58" s="422"/>
      <c r="K58" s="428"/>
      <c r="L58" s="60">
        <f>4.27*H19</f>
        <v>7090.5484999999999</v>
      </c>
      <c r="M58" s="61">
        <f>L58/3</f>
        <v>2363.5161666666668</v>
      </c>
      <c r="N58" s="288"/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116.50959019601937</v>
      </c>
      <c r="D59" s="432"/>
      <c r="E59" s="433"/>
      <c r="F59" s="434" t="s">
        <v>321</v>
      </c>
      <c r="G59" s="435"/>
      <c r="H59" s="436">
        <f>IF(ISERROR(SUM(H58:I58)/$H$19),"",(SUM(H58:I58)/$H$19))</f>
        <v>0</v>
      </c>
      <c r="I59" s="437"/>
      <c r="J59" s="434" t="s">
        <v>322</v>
      </c>
      <c r="K59" s="435"/>
      <c r="L59" s="115">
        <f>IF(ISERROR(L58/$H$19),"",(L58/$H$19))</f>
        <v>4.2699999999999996</v>
      </c>
      <c r="M59" s="116">
        <f>IF(ISERROR(M58/$H$19),"",(M58/$H$19))</f>
        <v>1.4233333333333333</v>
      </c>
      <c r="N59" s="288"/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0.15972222222222227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322"/>
      <c r="F63" s="324"/>
      <c r="G63" s="322"/>
      <c r="H63" s="323"/>
      <c r="I63" s="323"/>
      <c r="J63" s="324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10</v>
      </c>
      <c r="C64" s="236" t="s">
        <v>22</v>
      </c>
      <c r="D64" s="236" t="s">
        <v>11</v>
      </c>
      <c r="E64" s="322"/>
      <c r="F64" s="324"/>
      <c r="G64" s="322" t="s">
        <v>682</v>
      </c>
      <c r="H64" s="323"/>
      <c r="I64" s="323"/>
      <c r="J64" s="324"/>
      <c r="K64" s="238">
        <v>0.27430555555555552</v>
      </c>
      <c r="L64" s="238">
        <v>0.31597222222222221</v>
      </c>
      <c r="M64" s="236" t="s">
        <v>339</v>
      </c>
      <c r="N64" s="237">
        <f t="shared" si="2"/>
        <v>4.1666666666666685E-2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322"/>
      <c r="F65" s="324"/>
      <c r="G65" s="322" t="s">
        <v>683</v>
      </c>
      <c r="H65" s="323"/>
      <c r="I65" s="323"/>
      <c r="J65" s="324"/>
      <c r="K65" s="239">
        <v>0.36805555555555558</v>
      </c>
      <c r="L65" s="239">
        <v>0.38194444444444442</v>
      </c>
      <c r="M65" s="236" t="s">
        <v>339</v>
      </c>
      <c r="N65" s="237">
        <f t="shared" si="2"/>
        <v>1.388888888888884E-2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26</v>
      </c>
      <c r="E66" s="322"/>
      <c r="F66" s="324"/>
      <c r="G66" s="322" t="s">
        <v>684</v>
      </c>
      <c r="H66" s="323"/>
      <c r="I66" s="323"/>
      <c r="J66" s="324"/>
      <c r="K66" s="239">
        <v>0.2986111111111111</v>
      </c>
      <c r="L66" s="239">
        <v>0.31944444444444448</v>
      </c>
      <c r="M66" s="236" t="s">
        <v>685</v>
      </c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23</v>
      </c>
      <c r="E67" s="322"/>
      <c r="F67" s="324"/>
      <c r="G67" s="322" t="s">
        <v>686</v>
      </c>
      <c r="H67" s="323"/>
      <c r="I67" s="323"/>
      <c r="J67" s="324"/>
      <c r="K67" s="238">
        <v>0.33333333333333331</v>
      </c>
      <c r="L67" s="238">
        <v>0.34722222222222227</v>
      </c>
      <c r="M67" s="236" t="s">
        <v>685</v>
      </c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29</v>
      </c>
      <c r="E68" s="322"/>
      <c r="F68" s="324"/>
      <c r="G68" s="322" t="s">
        <v>687</v>
      </c>
      <c r="H68" s="323"/>
      <c r="I68" s="323"/>
      <c r="J68" s="324"/>
      <c r="K68" s="239">
        <v>0.3611111111111111</v>
      </c>
      <c r="L68" s="239">
        <v>0.3888888888888889</v>
      </c>
      <c r="M68" s="236" t="s">
        <v>685</v>
      </c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23</v>
      </c>
      <c r="E69" s="322"/>
      <c r="F69" s="324"/>
      <c r="G69" s="322" t="s">
        <v>338</v>
      </c>
      <c r="H69" s="323"/>
      <c r="I69" s="323"/>
      <c r="J69" s="324"/>
      <c r="K69" s="239">
        <v>0.54166666666666663</v>
      </c>
      <c r="L69" s="239">
        <v>0.55555555555555558</v>
      </c>
      <c r="M69" s="236" t="s">
        <v>685</v>
      </c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26</v>
      </c>
      <c r="E70" s="322"/>
      <c r="F70" s="324"/>
      <c r="H70" t="s">
        <v>338</v>
      </c>
      <c r="I70" s="275"/>
      <c r="K70" s="239">
        <v>0.46527777777777773</v>
      </c>
      <c r="L70" s="239">
        <v>0.52083333333333337</v>
      </c>
      <c r="M70" s="236" t="s">
        <v>685</v>
      </c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18</v>
      </c>
      <c r="E71" s="322"/>
      <c r="F71" s="324"/>
      <c r="G71" s="322" t="s">
        <v>688</v>
      </c>
      <c r="H71" s="323"/>
      <c r="I71" s="323"/>
      <c r="J71" s="324"/>
      <c r="K71" s="239">
        <v>0.4375</v>
      </c>
      <c r="L71" s="239">
        <v>0.5</v>
      </c>
      <c r="M71" s="236" t="s">
        <v>685</v>
      </c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322"/>
      <c r="F72" s="324"/>
      <c r="G72" s="322"/>
      <c r="H72" s="323"/>
      <c r="I72" s="323"/>
      <c r="J72" s="324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 t="s">
        <v>14</v>
      </c>
      <c r="C73" s="236" t="s">
        <v>25</v>
      </c>
      <c r="D73" s="236" t="s">
        <v>23</v>
      </c>
      <c r="E73" s="322" t="s">
        <v>108</v>
      </c>
      <c r="F73" s="324" t="s">
        <v>108</v>
      </c>
      <c r="G73" s="322" t="s">
        <v>689</v>
      </c>
      <c r="H73" s="323"/>
      <c r="I73" s="323"/>
      <c r="J73" s="324"/>
      <c r="K73" s="239">
        <v>0.83333333333333337</v>
      </c>
      <c r="L73" s="239">
        <v>0.89583333333333337</v>
      </c>
      <c r="M73" s="236" t="s">
        <v>9</v>
      </c>
      <c r="N73" s="237">
        <f t="shared" si="2"/>
        <v>6.25E-2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322"/>
      <c r="F74" s="324"/>
      <c r="G74" s="322"/>
      <c r="H74" s="323"/>
      <c r="I74" s="323"/>
      <c r="J74" s="324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 t="s">
        <v>17</v>
      </c>
      <c r="C75" s="236" t="s">
        <v>28</v>
      </c>
      <c r="D75" s="236" t="s">
        <v>20</v>
      </c>
      <c r="E75" s="322" t="s">
        <v>109</v>
      </c>
      <c r="F75" s="324" t="s">
        <v>109</v>
      </c>
      <c r="G75" s="322" t="s">
        <v>524</v>
      </c>
      <c r="H75" s="323"/>
      <c r="I75" s="323"/>
      <c r="J75" s="324"/>
      <c r="K75" s="239">
        <v>1.0069444444444444</v>
      </c>
      <c r="L75" s="239">
        <v>4.8611111111111112E-2</v>
      </c>
      <c r="M75" s="236" t="s">
        <v>9</v>
      </c>
      <c r="N75" s="237">
        <f t="shared" si="2"/>
        <v>4.1666666666666741E-2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322"/>
      <c r="F76" s="324"/>
      <c r="G76" s="322"/>
      <c r="H76" s="323"/>
      <c r="I76" s="323"/>
      <c r="J76" s="324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322"/>
      <c r="F77" s="324"/>
      <c r="G77" s="322"/>
      <c r="H77" s="323"/>
      <c r="I77" s="323"/>
      <c r="J77" s="324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/>
      <c r="H78" s="323"/>
      <c r="I78" s="323"/>
      <c r="J78" s="324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322"/>
      <c r="F79" s="324"/>
      <c r="G79" s="322"/>
      <c r="H79" s="323"/>
      <c r="I79" s="323"/>
      <c r="J79" s="324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322"/>
      <c r="F80" s="324"/>
      <c r="G80" s="322"/>
      <c r="H80" s="323"/>
      <c r="I80" s="323"/>
      <c r="J80" s="324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322"/>
      <c r="F81" s="324"/>
      <c r="G81" s="322"/>
      <c r="H81" s="323"/>
      <c r="I81" s="323"/>
      <c r="J81" s="324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322"/>
      <c r="F83" s="324"/>
      <c r="G83" s="322"/>
      <c r="H83" s="323"/>
      <c r="I83" s="323"/>
      <c r="J83" s="324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 t="s">
        <v>690</v>
      </c>
      <c r="D136" s="481"/>
      <c r="E136" s="463" t="s">
        <v>651</v>
      </c>
      <c r="F136" s="464"/>
      <c r="G136" s="452" t="s">
        <v>691</v>
      </c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/>
      <c r="D137" s="479"/>
      <c r="E137" s="463" t="s">
        <v>347</v>
      </c>
      <c r="F137" s="464"/>
      <c r="G137" s="452" t="s">
        <v>692</v>
      </c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35"/>
      <c r="E143" s="335"/>
      <c r="F143" s="335"/>
      <c r="G143" s="336"/>
      <c r="H143" s="336"/>
      <c r="I143" s="336"/>
      <c r="J143" s="336"/>
      <c r="K143" s="336"/>
      <c r="L143" s="335"/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 t="s">
        <v>255</v>
      </c>
      <c r="C144" s="215">
        <v>3</v>
      </c>
      <c r="D144" s="335" t="s">
        <v>693</v>
      </c>
      <c r="E144" s="335"/>
      <c r="F144" s="335"/>
      <c r="G144" s="336" t="s">
        <v>357</v>
      </c>
      <c r="H144" s="336"/>
      <c r="I144" s="336"/>
      <c r="J144" s="336" t="s">
        <v>694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10</v>
      </c>
      <c r="D145" s="335" t="s">
        <v>695</v>
      </c>
      <c r="E145" s="335"/>
      <c r="F145" s="335"/>
      <c r="G145" s="336" t="s">
        <v>367</v>
      </c>
      <c r="H145" s="336"/>
      <c r="I145" s="336"/>
      <c r="J145" s="336" t="s">
        <v>696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12</v>
      </c>
      <c r="D146" s="335" t="s">
        <v>697</v>
      </c>
      <c r="E146" s="335"/>
      <c r="F146" s="335"/>
      <c r="G146" s="336" t="s">
        <v>372</v>
      </c>
      <c r="H146" s="336"/>
      <c r="I146" s="336"/>
      <c r="J146" s="336" t="s">
        <v>698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13</v>
      </c>
      <c r="D147" s="335" t="s">
        <v>699</v>
      </c>
      <c r="E147" s="335"/>
      <c r="F147" s="335"/>
      <c r="G147" s="336" t="s">
        <v>382</v>
      </c>
      <c r="H147" s="336"/>
      <c r="I147" s="336"/>
      <c r="J147" s="336">
        <v>35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13</v>
      </c>
      <c r="D148" s="335" t="s">
        <v>700</v>
      </c>
      <c r="E148" s="335"/>
      <c r="F148" s="335"/>
      <c r="G148" s="336" t="s">
        <v>701</v>
      </c>
      <c r="H148" s="336"/>
      <c r="I148" s="336"/>
      <c r="J148" s="336">
        <v>35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18</v>
      </c>
      <c r="D149" s="335" t="s">
        <v>702</v>
      </c>
      <c r="E149" s="335"/>
      <c r="F149" s="335"/>
      <c r="G149" s="336" t="s">
        <v>382</v>
      </c>
      <c r="H149" s="336"/>
      <c r="I149" s="336"/>
      <c r="J149" s="336">
        <v>19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19</v>
      </c>
      <c r="D150" s="335" t="s">
        <v>703</v>
      </c>
      <c r="E150" s="335"/>
      <c r="F150" s="335"/>
      <c r="G150" s="336" t="s">
        <v>587</v>
      </c>
      <c r="H150" s="336"/>
      <c r="I150" s="336"/>
      <c r="J150" s="336">
        <v>17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35" t="s">
        <v>704</v>
      </c>
      <c r="E151" s="335"/>
      <c r="F151" s="335"/>
      <c r="G151" s="336" t="s">
        <v>365</v>
      </c>
      <c r="H151" s="336"/>
      <c r="I151" s="336"/>
      <c r="J151" s="336" t="s">
        <v>705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215">
        <v>12</v>
      </c>
      <c r="D152" s="335" t="s">
        <v>706</v>
      </c>
      <c r="E152" s="335"/>
      <c r="F152" s="335"/>
      <c r="G152" s="336" t="s">
        <v>372</v>
      </c>
      <c r="H152" s="336"/>
      <c r="I152" s="336"/>
      <c r="J152" s="336" t="s">
        <v>707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35" t="s">
        <v>704</v>
      </c>
      <c r="E153" s="335"/>
      <c r="F153" s="335"/>
      <c r="G153" s="336" t="s">
        <v>365</v>
      </c>
      <c r="H153" s="336"/>
      <c r="I153" s="336"/>
      <c r="J153" s="336">
        <v>3041</v>
      </c>
      <c r="K153" s="336"/>
      <c r="L153" s="335" t="s">
        <v>355</v>
      </c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35" t="s">
        <v>663</v>
      </c>
      <c r="E154" s="335"/>
      <c r="F154" s="335"/>
      <c r="G154" s="336" t="s">
        <v>587</v>
      </c>
      <c r="H154" s="336"/>
      <c r="I154" s="336"/>
      <c r="J154" s="336">
        <v>37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35" t="s">
        <v>708</v>
      </c>
      <c r="E155" s="335"/>
      <c r="F155" s="335"/>
      <c r="G155" s="336" t="s">
        <v>382</v>
      </c>
      <c r="H155" s="336"/>
      <c r="I155" s="336"/>
      <c r="J155" s="336">
        <v>70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3</v>
      </c>
      <c r="D156" s="335" t="s">
        <v>693</v>
      </c>
      <c r="E156" s="335"/>
      <c r="F156" s="335"/>
      <c r="G156" s="336" t="s">
        <v>382</v>
      </c>
      <c r="H156" s="336"/>
      <c r="I156" s="336"/>
      <c r="J156" s="336" t="s">
        <v>709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10</v>
      </c>
      <c r="D157" s="335" t="s">
        <v>695</v>
      </c>
      <c r="E157" s="335"/>
      <c r="F157" s="335"/>
      <c r="G157" s="336" t="s">
        <v>367</v>
      </c>
      <c r="H157" s="336"/>
      <c r="I157" s="336"/>
      <c r="J157" s="336" t="s">
        <v>710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35"/>
      <c r="E158" s="335"/>
      <c r="F158" s="335"/>
      <c r="G158" s="336"/>
      <c r="H158" s="336"/>
      <c r="I158" s="336"/>
      <c r="J158" s="336"/>
      <c r="K158" s="336"/>
      <c r="L158" s="335"/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 t="s">
        <v>261</v>
      </c>
      <c r="C159" s="215">
        <v>19</v>
      </c>
      <c r="D159" s="335" t="s">
        <v>711</v>
      </c>
      <c r="E159" s="335"/>
      <c r="F159" s="335"/>
      <c r="G159" s="336" t="s">
        <v>502</v>
      </c>
      <c r="H159" s="336"/>
      <c r="I159" s="336"/>
      <c r="J159" s="336">
        <v>14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15</v>
      </c>
      <c r="D160" s="335" t="s">
        <v>712</v>
      </c>
      <c r="E160" s="335"/>
      <c r="F160" s="335"/>
      <c r="G160" s="336" t="s">
        <v>713</v>
      </c>
      <c r="H160" s="336"/>
      <c r="I160" s="336"/>
      <c r="J160" s="336">
        <v>33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13</v>
      </c>
      <c r="D161" s="335" t="s">
        <v>714</v>
      </c>
      <c r="E161" s="335"/>
      <c r="F161" s="335"/>
      <c r="G161" s="336" t="s">
        <v>662</v>
      </c>
      <c r="H161" s="336"/>
      <c r="I161" s="336"/>
      <c r="J161" s="336">
        <v>48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18</v>
      </c>
      <c r="D162" s="335" t="s">
        <v>711</v>
      </c>
      <c r="E162" s="335"/>
      <c r="F162" s="335"/>
      <c r="G162" s="336" t="s">
        <v>715</v>
      </c>
      <c r="H162" s="336"/>
      <c r="I162" s="336"/>
      <c r="J162" s="336">
        <v>15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24</v>
      </c>
      <c r="D163" s="335" t="s">
        <v>716</v>
      </c>
      <c r="E163" s="335"/>
      <c r="F163" s="335"/>
      <c r="G163" s="336" t="s">
        <v>403</v>
      </c>
      <c r="H163" s="336"/>
      <c r="I163" s="336"/>
      <c r="J163" s="336">
        <v>343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9</v>
      </c>
      <c r="D164" s="335" t="s">
        <v>717</v>
      </c>
      <c r="E164" s="335"/>
      <c r="F164" s="335"/>
      <c r="G164" s="336" t="s">
        <v>367</v>
      </c>
      <c r="H164" s="336"/>
      <c r="I164" s="336"/>
      <c r="J164" s="336">
        <v>50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</v>
      </c>
      <c r="D165" s="335" t="s">
        <v>718</v>
      </c>
      <c r="E165" s="335"/>
      <c r="F165" s="335"/>
      <c r="G165" s="336" t="s">
        <v>357</v>
      </c>
      <c r="H165" s="336"/>
      <c r="I165" s="336"/>
      <c r="J165" s="336">
        <v>28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12</v>
      </c>
      <c r="D166" s="335" t="s">
        <v>719</v>
      </c>
      <c r="E166" s="335"/>
      <c r="F166" s="335"/>
      <c r="G166" s="336" t="s">
        <v>372</v>
      </c>
      <c r="H166" s="336"/>
      <c r="I166" s="336"/>
      <c r="J166" s="336">
        <v>50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>
        <v>14</v>
      </c>
      <c r="D167" s="335" t="s">
        <v>717</v>
      </c>
      <c r="E167" s="335"/>
      <c r="F167" s="335"/>
      <c r="G167" s="336" t="s">
        <v>720</v>
      </c>
      <c r="H167" s="336"/>
      <c r="I167" s="336"/>
      <c r="J167" s="336">
        <v>25</v>
      </c>
      <c r="K167" s="336"/>
      <c r="L167" s="335" t="s">
        <v>355</v>
      </c>
      <c r="M167" s="335"/>
    </row>
    <row r="168" spans="1:18" ht="14.25" x14ac:dyDescent="0.2">
      <c r="B168" s="216"/>
      <c r="C168" s="215"/>
      <c r="D168" s="335"/>
      <c r="E168" s="335"/>
      <c r="F168" s="335"/>
      <c r="G168" s="336"/>
      <c r="H168" s="336"/>
      <c r="I168" s="336"/>
      <c r="J168" s="336"/>
      <c r="K168" s="336"/>
      <c r="L168" s="335"/>
      <c r="M168" s="335"/>
    </row>
    <row r="169" spans="1:18" ht="14.25" x14ac:dyDescent="0.2">
      <c r="B169" s="216" t="s">
        <v>633</v>
      </c>
      <c r="C169" s="215">
        <v>3</v>
      </c>
      <c r="D169" s="335" t="s">
        <v>721</v>
      </c>
      <c r="E169" s="335"/>
      <c r="F169" s="335"/>
      <c r="G169" s="336" t="s">
        <v>357</v>
      </c>
      <c r="H169" s="336"/>
      <c r="I169" s="336"/>
      <c r="J169" s="336">
        <v>43</v>
      </c>
      <c r="K169" s="336"/>
      <c r="L169" s="335" t="s">
        <v>355</v>
      </c>
      <c r="M169" s="335"/>
    </row>
    <row r="170" spans="1:18" ht="14.25" x14ac:dyDescent="0.2">
      <c r="B170" s="216"/>
      <c r="C170" s="215">
        <v>9</v>
      </c>
      <c r="D170" s="335" t="s">
        <v>722</v>
      </c>
      <c r="E170" s="335"/>
      <c r="F170" s="335"/>
      <c r="G170" s="336" t="s">
        <v>367</v>
      </c>
      <c r="H170" s="336"/>
      <c r="I170" s="336"/>
      <c r="J170" s="336">
        <v>58</v>
      </c>
      <c r="K170" s="336"/>
      <c r="L170" s="335" t="s">
        <v>355</v>
      </c>
      <c r="M170" s="335"/>
    </row>
    <row r="171" spans="1:18" ht="14.25" x14ac:dyDescent="0.2">
      <c r="B171" s="216"/>
      <c r="C171" s="215">
        <v>18</v>
      </c>
      <c r="D171" s="337" t="s">
        <v>723</v>
      </c>
      <c r="E171" s="338"/>
      <c r="F171" s="339"/>
      <c r="G171" s="336" t="s">
        <v>538</v>
      </c>
      <c r="H171" s="336"/>
      <c r="I171" s="336"/>
      <c r="J171" s="336">
        <v>16</v>
      </c>
      <c r="K171" s="336"/>
      <c r="L171" s="335" t="s">
        <v>355</v>
      </c>
      <c r="M171" s="335"/>
    </row>
    <row r="172" spans="1:18" ht="14.25" x14ac:dyDescent="0.2">
      <c r="B172" s="216"/>
      <c r="C172" s="215">
        <v>17</v>
      </c>
      <c r="D172" s="335" t="s">
        <v>724</v>
      </c>
      <c r="E172" s="335"/>
      <c r="F172" s="335"/>
      <c r="G172" s="336" t="s">
        <v>446</v>
      </c>
      <c r="H172" s="336"/>
      <c r="I172" s="336"/>
      <c r="J172" s="336">
        <v>10</v>
      </c>
      <c r="K172" s="336"/>
      <c r="L172" s="335" t="s">
        <v>355</v>
      </c>
      <c r="M172" s="335"/>
    </row>
    <row r="173" spans="1:18" ht="14.25" x14ac:dyDescent="0.2">
      <c r="B173" s="216"/>
      <c r="C173" s="215">
        <v>13</v>
      </c>
      <c r="D173" s="335" t="s">
        <v>725</v>
      </c>
      <c r="E173" s="335"/>
      <c r="F173" s="335"/>
      <c r="G173" s="336" t="s">
        <v>359</v>
      </c>
      <c r="H173" s="336"/>
      <c r="I173" s="336"/>
      <c r="J173" s="336">
        <v>49</v>
      </c>
      <c r="K173" s="336"/>
      <c r="L173" s="335" t="s">
        <v>355</v>
      </c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24C27E5A-EEA0-48EC-B064-EAE617B2F25A}">
      <formula1>INDIRECT(D63)</formula1>
    </dataValidation>
  </dataValidations>
  <hyperlinks>
    <hyperlink ref="J14:L15" location="Summary!A1" display="MTD Summary " xr:uid="{9979C8EE-81BD-4B5F-A459-57CF88457825}"/>
    <hyperlink ref="J16:L17" location="Graph!A1" display="MTD Trendings" xr:uid="{0153F6C1-BC29-4891-9D30-704E1A926FA9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B2BB8C9-A0AB-4156-A7A5-0B6BDC2C6E5D}">
          <x14:formula1>
            <xm:f>Sheet3!$B$3:$B$5</xm:f>
          </x14:formula1>
          <xm:sqref>B143:B165 B132</xm:sqref>
        </x14:dataValidation>
        <x14:dataValidation type="list" allowBlank="1" showInputMessage="1" xr:uid="{18CF275F-EF87-48CD-9202-FED0C5577247}">
          <x14:formula1>
            <xm:f>Sheet3!$D$3:$D$11</xm:f>
          </x14:formula1>
          <xm:sqref>C132</xm:sqref>
        </x14:dataValidation>
        <x14:dataValidation type="list" allowBlank="1" showInputMessage="1" showErrorMessage="1" xr:uid="{167866AB-DD25-4CE8-8F98-3269B0E1DD66}">
          <x14:formula1>
            <xm:f>Sheet3!$C$3:$C$4</xm:f>
          </x14:formula1>
          <xm:sqref>M63:M132</xm:sqref>
        </x14:dataValidation>
        <x14:dataValidation type="list" allowBlank="1" showInputMessage="1" showErrorMessage="1" xr:uid="{F466BD64-1B31-43AC-83DB-ADCE9D8B9C72}">
          <x14:formula1>
            <xm:f>List!$B$5:$B$8</xm:f>
          </x14:formula1>
          <xm:sqref>B63:B131</xm:sqref>
        </x14:dataValidation>
        <x14:dataValidation type="list" allowBlank="1" showInputMessage="1" showErrorMessage="1" xr:uid="{458933DE-9811-488B-8BF7-9FCB40031AC7}">
          <x14:formula1>
            <xm:f>List!$B$10:$B$12</xm:f>
          </x14:formula1>
          <xm:sqref>C63:C131</xm:sqref>
        </x14:dataValidation>
        <x14:dataValidation type="list" allowBlank="1" showInputMessage="1" showErrorMessage="1" xr:uid="{79CF0DBC-3292-4A1D-B993-24154849F611}">
          <x14:formula1>
            <xm:f>List!$C$5:$C$14</xm:f>
          </x14:formula1>
          <xm:sqref>D63:D131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AD11-CB81-4936-8280-942620E041D6}">
  <sheetPr>
    <pageSetUpPr fitToPage="1"/>
  </sheetPr>
  <dimension ref="A1:R188"/>
  <sheetViews>
    <sheetView showGridLines="0" view="pageBreakPreview" topLeftCell="B19" zoomScale="80" zoomScaleNormal="90" zoomScaleSheetLayoutView="80" zoomScalePageLayoutView="80" workbookViewId="0">
      <selection activeCell="K30" sqref="K30:L30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10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1760.49</v>
      </c>
      <c r="K6" s="420"/>
      <c r="L6" s="420">
        <f ca="1">Summary!G17</f>
        <v>1467.9099999999999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130</v>
      </c>
      <c r="E7" s="84">
        <v>60</v>
      </c>
      <c r="F7" s="395">
        <v>60</v>
      </c>
      <c r="G7" s="396"/>
      <c r="H7" s="374">
        <f>SUM(D7:D10)</f>
        <v>630.22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160</v>
      </c>
      <c r="E8" s="86">
        <v>60</v>
      </c>
      <c r="F8" s="397">
        <v>60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170</v>
      </c>
      <c r="E9" s="86">
        <v>60</v>
      </c>
      <c r="F9" s="397">
        <v>60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170.22</v>
      </c>
      <c r="E10" s="88">
        <v>60</v>
      </c>
      <c r="F10" s="399">
        <v>60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140</v>
      </c>
      <c r="E11" s="90">
        <v>60</v>
      </c>
      <c r="F11" s="386">
        <v>50</v>
      </c>
      <c r="G11" s="387"/>
      <c r="H11" s="388">
        <f>SUM(D11:D14)</f>
        <v>560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130</v>
      </c>
      <c r="E12" s="92">
        <v>60</v>
      </c>
      <c r="F12" s="391">
        <v>50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>
        <v>2100</v>
      </c>
      <c r="D13" s="91">
        <v>140</v>
      </c>
      <c r="E13" s="92">
        <v>60</v>
      </c>
      <c r="F13" s="391">
        <v>50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150</v>
      </c>
      <c r="E14" s="94">
        <v>60</v>
      </c>
      <c r="F14" s="393">
        <v>50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120</v>
      </c>
      <c r="E15" s="96">
        <v>60</v>
      </c>
      <c r="F15" s="372">
        <v>50</v>
      </c>
      <c r="G15" s="373"/>
      <c r="H15" s="374">
        <f>SUM(D15:D18)</f>
        <v>570.27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130</v>
      </c>
      <c r="E16" s="98">
        <v>60</v>
      </c>
      <c r="F16" s="401">
        <v>50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140</v>
      </c>
      <c r="E17" s="98">
        <v>60</v>
      </c>
      <c r="F17" s="401">
        <v>60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180.27</v>
      </c>
      <c r="E18" s="100">
        <v>60</v>
      </c>
      <c r="F18" s="404">
        <v>60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1760.49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7</v>
      </c>
      <c r="D25" s="102">
        <v>152</v>
      </c>
      <c r="E25" s="56">
        <v>8</v>
      </c>
      <c r="F25" s="107">
        <v>62</v>
      </c>
      <c r="G25" s="410">
        <v>6</v>
      </c>
      <c r="H25" s="411"/>
      <c r="I25" s="111">
        <v>120</v>
      </c>
      <c r="J25" s="38">
        <f t="shared" ref="J25:J40" si="0">C25+E25+G25</f>
        <v>21</v>
      </c>
      <c r="K25" s="412">
        <f>D25+F25+I25</f>
        <v>334</v>
      </c>
      <c r="L25" s="413"/>
      <c r="M25" s="2"/>
    </row>
    <row r="26" spans="2:14" ht="14.1" customHeight="1" x14ac:dyDescent="0.2">
      <c r="B26" s="80" t="s">
        <v>281</v>
      </c>
      <c r="C26" s="45">
        <v>5</v>
      </c>
      <c r="D26" s="103">
        <v>94</v>
      </c>
      <c r="E26" s="57">
        <v>6</v>
      </c>
      <c r="F26" s="108">
        <v>80</v>
      </c>
      <c r="G26" s="406">
        <v>5</v>
      </c>
      <c r="H26" s="407"/>
      <c r="I26" s="112">
        <v>114</v>
      </c>
      <c r="J26" s="25">
        <f t="shared" si="0"/>
        <v>16</v>
      </c>
      <c r="K26" s="408">
        <f t="shared" ref="K26:K39" si="1">D26+F26+I26</f>
        <v>288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124</v>
      </c>
      <c r="E27" s="57"/>
      <c r="F27" s="108">
        <v>54</v>
      </c>
      <c r="G27" s="406"/>
      <c r="H27" s="407"/>
      <c r="I27" s="112">
        <v>104</v>
      </c>
      <c r="J27" s="25">
        <f t="shared" si="0"/>
        <v>0</v>
      </c>
      <c r="K27" s="408">
        <f t="shared" si="1"/>
        <v>282</v>
      </c>
      <c r="L27" s="409"/>
      <c r="M27" s="2"/>
    </row>
    <row r="28" spans="2:14" ht="14.1" customHeight="1" x14ac:dyDescent="0.2">
      <c r="B28" s="80" t="s">
        <v>283</v>
      </c>
      <c r="C28" s="45">
        <v>4</v>
      </c>
      <c r="D28" s="103"/>
      <c r="E28" s="57">
        <v>5</v>
      </c>
      <c r="F28" s="108"/>
      <c r="G28" s="406">
        <v>5</v>
      </c>
      <c r="H28" s="407"/>
      <c r="I28" s="112"/>
      <c r="J28" s="25">
        <f t="shared" si="0"/>
        <v>14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2</v>
      </c>
      <c r="D29" s="103"/>
      <c r="E29" s="57">
        <v>3</v>
      </c>
      <c r="F29" s="108"/>
      <c r="G29" s="406">
        <v>3</v>
      </c>
      <c r="H29" s="407"/>
      <c r="I29" s="112"/>
      <c r="J29" s="25">
        <f t="shared" si="0"/>
        <v>8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>
        <v>2</v>
      </c>
      <c r="D30" s="103">
        <v>24.55</v>
      </c>
      <c r="E30" s="57">
        <v>2</v>
      </c>
      <c r="F30" s="108">
        <v>47</v>
      </c>
      <c r="G30" s="406"/>
      <c r="H30" s="407"/>
      <c r="I30" s="112"/>
      <c r="J30" s="25">
        <f t="shared" si="0"/>
        <v>4</v>
      </c>
      <c r="K30" s="408">
        <f t="shared" si="1"/>
        <v>71.55</v>
      </c>
      <c r="L30" s="409"/>
    </row>
    <row r="31" spans="2:14" ht="14.1" customHeight="1" x14ac:dyDescent="0.2">
      <c r="B31" s="80" t="s">
        <v>286</v>
      </c>
      <c r="C31" s="45">
        <v>3</v>
      </c>
      <c r="D31" s="103"/>
      <c r="E31" s="57">
        <v>2</v>
      </c>
      <c r="F31" s="108"/>
      <c r="G31" s="406">
        <v>3</v>
      </c>
      <c r="H31" s="407"/>
      <c r="I31" s="112"/>
      <c r="J31" s="25">
        <f t="shared" si="0"/>
        <v>8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1</v>
      </c>
      <c r="F32" s="108"/>
      <c r="G32" s="406">
        <v>1</v>
      </c>
      <c r="H32" s="407"/>
      <c r="I32" s="112"/>
      <c r="J32" s="25">
        <f t="shared" si="0"/>
        <v>3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/>
      <c r="G33" s="406">
        <v>1</v>
      </c>
      <c r="H33" s="407"/>
      <c r="I33" s="112"/>
      <c r="J33" s="25">
        <f t="shared" si="0"/>
        <v>1</v>
      </c>
      <c r="K33" s="408">
        <f t="shared" si="1"/>
        <v>0</v>
      </c>
      <c r="L33" s="409"/>
    </row>
    <row r="34" spans="1:16" ht="14.1" customHeight="1" x14ac:dyDescent="0.2">
      <c r="B34" s="80" t="s">
        <v>289</v>
      </c>
      <c r="C34" s="45">
        <v>1</v>
      </c>
      <c r="D34" s="103"/>
      <c r="E34" s="57"/>
      <c r="F34" s="108"/>
      <c r="G34" s="406">
        <v>1</v>
      </c>
      <c r="H34" s="407"/>
      <c r="I34" s="112"/>
      <c r="J34" s="25">
        <f t="shared" si="0"/>
        <v>2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>
        <v>27</v>
      </c>
      <c r="E36" s="58"/>
      <c r="F36" s="109">
        <v>16</v>
      </c>
      <c r="G36" s="406"/>
      <c r="H36" s="407"/>
      <c r="I36" s="113"/>
      <c r="J36" s="25">
        <f t="shared" si="0"/>
        <v>0</v>
      </c>
      <c r="K36" s="408">
        <f t="shared" si="1"/>
        <v>43</v>
      </c>
      <c r="L36" s="409"/>
    </row>
    <row r="37" spans="1:16" ht="14.1" customHeight="1" x14ac:dyDescent="0.2">
      <c r="B37" s="37" t="s">
        <v>292</v>
      </c>
      <c r="C37" s="55"/>
      <c r="D37" s="104"/>
      <c r="E37" s="58"/>
      <c r="F37" s="109"/>
      <c r="G37" s="406"/>
      <c r="H37" s="407"/>
      <c r="I37" s="113"/>
      <c r="J37" s="25">
        <f t="shared" si="0"/>
        <v>0</v>
      </c>
      <c r="K37" s="408">
        <f t="shared" si="1"/>
        <v>0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v>120</v>
      </c>
      <c r="J38" s="25">
        <f t="shared" si="0"/>
        <v>0</v>
      </c>
      <c r="K38" s="408">
        <f t="shared" si="1"/>
        <v>120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165</v>
      </c>
      <c r="J39" s="25">
        <f t="shared" si="0"/>
        <v>0</v>
      </c>
      <c r="K39" s="408">
        <f t="shared" si="1"/>
        <v>165</v>
      </c>
      <c r="L39" s="409"/>
    </row>
    <row r="40" spans="1:16" ht="14.1" customHeight="1" thickBot="1" x14ac:dyDescent="0.25">
      <c r="B40" s="81" t="s">
        <v>295</v>
      </c>
      <c r="C40" s="47"/>
      <c r="D40" s="105">
        <v>105.24</v>
      </c>
      <c r="E40" s="59"/>
      <c r="F40" s="110">
        <v>95.76</v>
      </c>
      <c r="G40" s="473"/>
      <c r="H40" s="474"/>
      <c r="I40" s="114">
        <v>57.36</v>
      </c>
      <c r="J40" s="26">
        <f t="shared" si="0"/>
        <v>0</v>
      </c>
      <c r="K40" s="475">
        <f>D40+F40+I40</f>
        <v>258.36</v>
      </c>
      <c r="L40" s="476"/>
    </row>
    <row r="41" spans="1:16" ht="17.25" customHeight="1" x14ac:dyDescent="0.2">
      <c r="B41" s="15" t="s">
        <v>273</v>
      </c>
      <c r="C41" s="16">
        <f>SUM(C25:C40)</f>
        <v>25</v>
      </c>
      <c r="D41" s="106">
        <f>SUM(D25:D40)</f>
        <v>526.79</v>
      </c>
      <c r="E41" s="16">
        <f>SUM(E25:E40)</f>
        <v>27</v>
      </c>
      <c r="F41" s="106">
        <f>SUM(F25:F40)</f>
        <v>354.76</v>
      </c>
      <c r="G41" s="430">
        <f>SUM(G25:H40)</f>
        <v>25</v>
      </c>
      <c r="H41" s="430"/>
      <c r="I41" s="106">
        <f>SUM(I25:I40)</f>
        <v>680.36</v>
      </c>
      <c r="J41" s="16">
        <f>SUM(J25:J40)</f>
        <v>77</v>
      </c>
      <c r="K41" s="477">
        <f>SUM(K25:L40)</f>
        <v>1561.9099999999999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>
        <v>0</v>
      </c>
      <c r="D45" s="210"/>
      <c r="E45" s="209">
        <v>0.05</v>
      </c>
      <c r="F45" s="210"/>
      <c r="G45" s="471"/>
      <c r="H45" s="472"/>
      <c r="I45" s="210"/>
      <c r="J45" s="210">
        <v>0.2</v>
      </c>
      <c r="K45" s="209">
        <v>0.2</v>
      </c>
      <c r="L45" s="209">
        <v>0.5</v>
      </c>
      <c r="M45" s="211">
        <v>0.1</v>
      </c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2.5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10</v>
      </c>
      <c r="K46" s="40">
        <f>K45*50</f>
        <v>10</v>
      </c>
      <c r="L46" s="40">
        <f>L45*50</f>
        <v>25</v>
      </c>
      <c r="M46" s="79">
        <f>M45*50</f>
        <v>5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>
        <v>0</v>
      </c>
      <c r="D48" s="209"/>
      <c r="E48" s="209"/>
      <c r="F48" s="209">
        <v>0.2</v>
      </c>
      <c r="G48" s="442">
        <v>0.75</v>
      </c>
      <c r="H48" s="443"/>
      <c r="I48" s="209">
        <v>1</v>
      </c>
      <c r="J48" s="209">
        <v>0.7</v>
      </c>
      <c r="K48" s="209">
        <v>0.1</v>
      </c>
      <c r="L48" s="209">
        <v>0.1</v>
      </c>
      <c r="M48" s="211">
        <v>0.2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438">
        <f>G48*100</f>
        <v>75</v>
      </c>
      <c r="H49" s="439"/>
      <c r="I49" s="40">
        <f>I48*100</f>
        <v>100</v>
      </c>
      <c r="J49" s="40">
        <f>J48*150</f>
        <v>105</v>
      </c>
      <c r="K49" s="40">
        <f>K48*70</f>
        <v>7</v>
      </c>
      <c r="L49" s="40">
        <f>L48*70</f>
        <v>7</v>
      </c>
      <c r="M49" s="79">
        <f>M48*70</f>
        <v>14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</v>
      </c>
      <c r="D51" s="213">
        <v>0</v>
      </c>
      <c r="E51" s="214">
        <v>0</v>
      </c>
      <c r="F51" s="209"/>
      <c r="G51" s="442"/>
      <c r="H51" s="443"/>
      <c r="I51" s="209">
        <v>0</v>
      </c>
      <c r="J51" s="209">
        <v>0</v>
      </c>
      <c r="K51" s="209">
        <v>0.4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0</v>
      </c>
      <c r="K52" s="41">
        <f>K51*250</f>
        <v>100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492.5</v>
      </c>
      <c r="F54" s="39" t="s">
        <v>309</v>
      </c>
      <c r="G54" s="188"/>
      <c r="H54" s="188"/>
      <c r="I54" s="30">
        <f>'9'!D54</f>
        <v>267.5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>
        <v>173100</v>
      </c>
      <c r="D58" s="60">
        <v>17460</v>
      </c>
      <c r="E58" s="124">
        <f>SUM(C58:D58)</f>
        <v>190560</v>
      </c>
      <c r="F58" s="425"/>
      <c r="G58" s="426"/>
      <c r="H58" s="60">
        <v>3841</v>
      </c>
      <c r="I58" s="61">
        <v>2564</v>
      </c>
      <c r="J58" s="422"/>
      <c r="K58" s="428"/>
      <c r="L58" s="60">
        <v>6813.1</v>
      </c>
      <c r="M58" s="61">
        <f>L58/3</f>
        <v>2271.0333333333333</v>
      </c>
      <c r="N58" s="288">
        <v>3.87</v>
      </c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108.24259155121585</v>
      </c>
      <c r="D59" s="432"/>
      <c r="E59" s="433"/>
      <c r="F59" s="434" t="s">
        <v>321</v>
      </c>
      <c r="G59" s="435"/>
      <c r="H59" s="436">
        <f>IF(ISERROR(SUM(H58:I58)/$H$19),"",(SUM(H58:I58)/$H$19))</f>
        <v>3.6381916398275478</v>
      </c>
      <c r="I59" s="437"/>
      <c r="J59" s="434" t="s">
        <v>322</v>
      </c>
      <c r="K59" s="435"/>
      <c r="L59" s="115">
        <f>IF(ISERROR(L58/$H$19),"",(L58/$H$19))</f>
        <v>3.8700021016875987</v>
      </c>
      <c r="M59" s="116">
        <f>IF(ISERROR(M58/$H$19),"",(M58/$H$19))</f>
        <v>1.2900007005625327</v>
      </c>
      <c r="N59" s="194">
        <f>N58*H19</f>
        <v>6813.0963000000002</v>
      </c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0.24305555555555555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322"/>
      <c r="F63" s="324"/>
      <c r="G63" s="322"/>
      <c r="H63" s="323"/>
      <c r="I63" s="323"/>
      <c r="J63" s="324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10</v>
      </c>
      <c r="C64" s="236" t="s">
        <v>22</v>
      </c>
      <c r="D64" s="236" t="s">
        <v>11</v>
      </c>
      <c r="E64" s="322"/>
      <c r="F64" s="324"/>
      <c r="G64" s="322" t="s">
        <v>726</v>
      </c>
      <c r="H64" s="323"/>
      <c r="I64" s="323"/>
      <c r="J64" s="324"/>
      <c r="K64" s="238">
        <v>0.31944444444444448</v>
      </c>
      <c r="L64" s="238">
        <v>0.35416666666666669</v>
      </c>
      <c r="M64" s="236" t="s">
        <v>339</v>
      </c>
      <c r="N64" s="237">
        <f t="shared" si="2"/>
        <v>3.472222222222221E-2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20</v>
      </c>
      <c r="E65" s="322"/>
      <c r="F65" s="324"/>
      <c r="G65" s="322" t="s">
        <v>727</v>
      </c>
      <c r="H65" s="323"/>
      <c r="I65" s="323"/>
      <c r="J65" s="324"/>
      <c r="K65" s="239">
        <v>0.4861111111111111</v>
      </c>
      <c r="L65" s="239">
        <v>0.50694444444444442</v>
      </c>
      <c r="M65" s="236" t="s">
        <v>685</v>
      </c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23</v>
      </c>
      <c r="E66" s="322"/>
      <c r="F66" s="324"/>
      <c r="G66" s="322" t="s">
        <v>338</v>
      </c>
      <c r="H66" s="323"/>
      <c r="I66" s="323"/>
      <c r="J66" s="324"/>
      <c r="K66" s="239">
        <v>0.5625</v>
      </c>
      <c r="L66" s="239" t="s">
        <v>339</v>
      </c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322"/>
      <c r="F67" s="324"/>
      <c r="G67" s="322"/>
      <c r="H67" s="323"/>
      <c r="I67" s="323"/>
      <c r="J67" s="324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 t="s">
        <v>14</v>
      </c>
      <c r="C68" s="236" t="s">
        <v>25</v>
      </c>
      <c r="D68" s="236" t="s">
        <v>23</v>
      </c>
      <c r="E68" s="322"/>
      <c r="F68" s="324"/>
      <c r="G68" s="322" t="s">
        <v>728</v>
      </c>
      <c r="H68" s="323"/>
      <c r="I68" s="323"/>
      <c r="J68" s="324"/>
      <c r="K68" s="239">
        <v>0.6875</v>
      </c>
      <c r="L68" s="239">
        <v>0.75</v>
      </c>
      <c r="M68" s="236" t="s">
        <v>9</v>
      </c>
      <c r="N68" s="237">
        <f t="shared" si="2"/>
        <v>6.25E-2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23</v>
      </c>
      <c r="E69" s="322"/>
      <c r="F69" s="324"/>
      <c r="G69" s="322" t="s">
        <v>335</v>
      </c>
      <c r="H69" s="323"/>
      <c r="I69" s="323"/>
      <c r="J69" s="324"/>
      <c r="K69" s="239">
        <v>0.5625</v>
      </c>
      <c r="L69" s="239">
        <v>0.6875</v>
      </c>
      <c r="M69" s="236" t="s">
        <v>9</v>
      </c>
      <c r="N69" s="237">
        <f t="shared" si="2"/>
        <v>0.125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322"/>
      <c r="F70" s="324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 t="s">
        <v>6</v>
      </c>
      <c r="C71" s="236" t="s">
        <v>28</v>
      </c>
      <c r="D71" s="236" t="s">
        <v>26</v>
      </c>
      <c r="E71" s="322"/>
      <c r="F71" s="324"/>
      <c r="G71" s="322" t="s">
        <v>335</v>
      </c>
      <c r="H71" s="323"/>
      <c r="I71" s="323"/>
      <c r="J71" s="324"/>
      <c r="K71" s="239">
        <v>0.21527777777777779</v>
      </c>
      <c r="L71" s="239">
        <v>0.23611111111111113</v>
      </c>
      <c r="M71" s="236" t="s">
        <v>9</v>
      </c>
      <c r="N71" s="237">
        <f t="shared" si="2"/>
        <v>2.0833333333333343E-2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18</v>
      </c>
      <c r="E72" s="322" t="s">
        <v>86</v>
      </c>
      <c r="F72" s="324" t="s">
        <v>86</v>
      </c>
      <c r="G72" s="322" t="s">
        <v>729</v>
      </c>
      <c r="H72" s="323"/>
      <c r="I72" s="323"/>
      <c r="J72" s="324"/>
      <c r="K72" s="239">
        <v>0.95833333333333337</v>
      </c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322"/>
      <c r="F73" s="324"/>
      <c r="G73" s="322" t="s">
        <v>730</v>
      </c>
      <c r="H73" s="323"/>
      <c r="I73" s="323"/>
      <c r="J73" s="324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15</v>
      </c>
      <c r="E74" s="322" t="s">
        <v>62</v>
      </c>
      <c r="F74" s="324" t="s">
        <v>62</v>
      </c>
      <c r="G74" s="322" t="s">
        <v>731</v>
      </c>
      <c r="H74" s="323"/>
      <c r="I74" s="323"/>
      <c r="J74" s="324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322"/>
      <c r="F75" s="324"/>
      <c r="G75" s="322"/>
      <c r="H75" s="323"/>
      <c r="I75" s="323"/>
      <c r="J75" s="324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322"/>
      <c r="F76" s="324"/>
      <c r="G76" s="322"/>
      <c r="H76" s="323"/>
      <c r="I76" s="323"/>
      <c r="J76" s="324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322"/>
      <c r="F77" s="324"/>
      <c r="G77" s="322"/>
      <c r="H77" s="323"/>
      <c r="I77" s="323"/>
      <c r="J77" s="324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/>
      <c r="H78" s="323"/>
      <c r="I78" s="323"/>
      <c r="J78" s="324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322"/>
      <c r="F79" s="324"/>
      <c r="G79" s="322"/>
      <c r="H79" s="323"/>
      <c r="I79" s="323"/>
      <c r="J79" s="324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322"/>
      <c r="F80" s="324"/>
      <c r="G80" s="322"/>
      <c r="H80" s="323"/>
      <c r="I80" s="323"/>
      <c r="J80" s="324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322"/>
      <c r="F81" s="324"/>
      <c r="G81" s="322"/>
      <c r="H81" s="323"/>
      <c r="I81" s="323"/>
      <c r="J81" s="324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322"/>
      <c r="F83" s="324"/>
      <c r="G83" s="322"/>
      <c r="H83" s="323"/>
      <c r="I83" s="323"/>
      <c r="J83" s="324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 t="s">
        <v>345</v>
      </c>
      <c r="D136" s="481"/>
      <c r="E136" s="463" t="s">
        <v>651</v>
      </c>
      <c r="F136" s="464"/>
      <c r="G136" s="452" t="s">
        <v>393</v>
      </c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/>
      <c r="D137" s="479"/>
      <c r="E137" s="463" t="s">
        <v>347</v>
      </c>
      <c r="F137" s="464"/>
      <c r="G137" s="452" t="s">
        <v>395</v>
      </c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35"/>
      <c r="E143" s="335"/>
      <c r="F143" s="335"/>
      <c r="G143" s="336"/>
      <c r="H143" s="336"/>
      <c r="I143" s="336"/>
      <c r="J143" s="336"/>
      <c r="K143" s="336"/>
      <c r="L143" s="335"/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 t="s">
        <v>255</v>
      </c>
      <c r="C144" s="215">
        <v>13</v>
      </c>
      <c r="D144" s="335" t="s">
        <v>732</v>
      </c>
      <c r="E144" s="335"/>
      <c r="F144" s="335"/>
      <c r="G144" s="336" t="s">
        <v>357</v>
      </c>
      <c r="H144" s="336"/>
      <c r="I144" s="336"/>
      <c r="J144" s="336">
        <v>27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14</v>
      </c>
      <c r="D145" s="335" t="s">
        <v>733</v>
      </c>
      <c r="E145" s="335"/>
      <c r="F145" s="335"/>
      <c r="G145" s="336" t="s">
        <v>734</v>
      </c>
      <c r="H145" s="336"/>
      <c r="I145" s="336"/>
      <c r="J145" s="336">
        <v>19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19</v>
      </c>
      <c r="D146" s="335" t="s">
        <v>735</v>
      </c>
      <c r="E146" s="335"/>
      <c r="F146" s="335"/>
      <c r="G146" s="336" t="s">
        <v>587</v>
      </c>
      <c r="H146" s="336"/>
      <c r="I146" s="336"/>
      <c r="J146" s="336">
        <v>14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18</v>
      </c>
      <c r="D147" s="335" t="s">
        <v>736</v>
      </c>
      <c r="E147" s="335"/>
      <c r="F147" s="335"/>
      <c r="G147" s="336" t="s">
        <v>737</v>
      </c>
      <c r="H147" s="336"/>
      <c r="I147" s="336"/>
      <c r="J147" s="336">
        <v>14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 t="s">
        <v>378</v>
      </c>
      <c r="D148" s="335" t="s">
        <v>733</v>
      </c>
      <c r="E148" s="335"/>
      <c r="F148" s="335"/>
      <c r="G148" s="336" t="s">
        <v>367</v>
      </c>
      <c r="H148" s="336"/>
      <c r="I148" s="336"/>
      <c r="J148" s="336">
        <v>34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23</v>
      </c>
      <c r="D149" s="335" t="s">
        <v>738</v>
      </c>
      <c r="E149" s="335"/>
      <c r="F149" s="335"/>
      <c r="G149" s="336" t="s">
        <v>403</v>
      </c>
      <c r="H149" s="336"/>
      <c r="I149" s="336"/>
      <c r="J149" s="336">
        <v>354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12</v>
      </c>
      <c r="D150" s="335" t="s">
        <v>739</v>
      </c>
      <c r="E150" s="335"/>
      <c r="F150" s="335"/>
      <c r="G150" s="336" t="s">
        <v>372</v>
      </c>
      <c r="H150" s="336"/>
      <c r="I150" s="336"/>
      <c r="J150" s="336">
        <v>49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3</v>
      </c>
      <c r="D151" s="335" t="s">
        <v>740</v>
      </c>
      <c r="E151" s="335"/>
      <c r="F151" s="335"/>
      <c r="G151" s="336" t="s">
        <v>357</v>
      </c>
      <c r="H151" s="336"/>
      <c r="I151" s="336"/>
      <c r="J151" s="336">
        <v>68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35"/>
      <c r="E152" s="335"/>
      <c r="F152" s="335"/>
      <c r="G152" s="336"/>
      <c r="H152" s="336"/>
      <c r="I152" s="336"/>
      <c r="J152" s="336"/>
      <c r="K152" s="336"/>
      <c r="L152" s="335"/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 t="s">
        <v>261</v>
      </c>
      <c r="C153" s="215">
        <v>11</v>
      </c>
      <c r="D153" s="335" t="s">
        <v>741</v>
      </c>
      <c r="E153" s="335"/>
      <c r="F153" s="335"/>
      <c r="G153" s="336" t="s">
        <v>403</v>
      </c>
      <c r="H153" s="336"/>
      <c r="I153" s="336"/>
      <c r="J153" s="336">
        <v>471</v>
      </c>
      <c r="K153" s="336"/>
      <c r="L153" s="335" t="s">
        <v>355</v>
      </c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14</v>
      </c>
      <c r="D154" s="335" t="s">
        <v>742</v>
      </c>
      <c r="E154" s="335"/>
      <c r="F154" s="335"/>
      <c r="G154" s="336" t="s">
        <v>743</v>
      </c>
      <c r="H154" s="336"/>
      <c r="I154" s="336"/>
      <c r="J154" s="336">
        <v>33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18</v>
      </c>
      <c r="D155" s="335" t="s">
        <v>744</v>
      </c>
      <c r="E155" s="335"/>
      <c r="F155" s="335"/>
      <c r="G155" s="336" t="s">
        <v>737</v>
      </c>
      <c r="H155" s="336"/>
      <c r="I155" s="336"/>
      <c r="J155" s="336">
        <v>17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24</v>
      </c>
      <c r="D156" s="335" t="s">
        <v>745</v>
      </c>
      <c r="E156" s="335"/>
      <c r="F156" s="335"/>
      <c r="G156" s="336" t="s">
        <v>403</v>
      </c>
      <c r="H156" s="336"/>
      <c r="I156" s="336"/>
      <c r="J156" s="336">
        <v>337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13</v>
      </c>
      <c r="D157" s="335" t="s">
        <v>746</v>
      </c>
      <c r="E157" s="335"/>
      <c r="F157" s="335"/>
      <c r="G157" s="336" t="s">
        <v>359</v>
      </c>
      <c r="H157" s="336"/>
      <c r="I157" s="336"/>
      <c r="J157" s="336">
        <v>56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19</v>
      </c>
      <c r="D158" s="335" t="s">
        <v>747</v>
      </c>
      <c r="E158" s="335"/>
      <c r="F158" s="335"/>
      <c r="G158" s="336" t="s">
        <v>361</v>
      </c>
      <c r="H158" s="336"/>
      <c r="I158" s="336"/>
      <c r="J158" s="336">
        <v>16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35"/>
      <c r="E159" s="335"/>
      <c r="F159" s="335"/>
      <c r="G159" s="336"/>
      <c r="H159" s="336"/>
      <c r="I159" s="336"/>
      <c r="J159" s="336"/>
      <c r="K159" s="336"/>
      <c r="L159" s="335"/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 t="s">
        <v>267</v>
      </c>
      <c r="C160" s="215">
        <v>18</v>
      </c>
      <c r="D160" s="335" t="s">
        <v>748</v>
      </c>
      <c r="E160" s="335"/>
      <c r="F160" s="335"/>
      <c r="G160" s="336" t="s">
        <v>538</v>
      </c>
      <c r="H160" s="336"/>
      <c r="I160" s="336"/>
      <c r="J160" s="336">
        <v>17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 t="s">
        <v>376</v>
      </c>
      <c r="D161" s="335" t="s">
        <v>749</v>
      </c>
      <c r="E161" s="335"/>
      <c r="F161" s="335"/>
      <c r="G161" s="336" t="s">
        <v>357</v>
      </c>
      <c r="H161" s="336"/>
      <c r="I161" s="336"/>
      <c r="J161" s="336">
        <v>39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 t="s">
        <v>378</v>
      </c>
      <c r="D162" s="335" t="s">
        <v>750</v>
      </c>
      <c r="E162" s="335"/>
      <c r="F162" s="335"/>
      <c r="G162" s="336" t="s">
        <v>367</v>
      </c>
      <c r="H162" s="336"/>
      <c r="I162" s="336"/>
      <c r="J162" s="336">
        <v>36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13</v>
      </c>
      <c r="D163" s="335" t="s">
        <v>751</v>
      </c>
      <c r="E163" s="335"/>
      <c r="F163" s="335"/>
      <c r="G163" s="336" t="s">
        <v>359</v>
      </c>
      <c r="H163" s="336"/>
      <c r="I163" s="336"/>
      <c r="J163" s="336">
        <v>77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17</v>
      </c>
      <c r="D164" s="335" t="s">
        <v>752</v>
      </c>
      <c r="E164" s="335"/>
      <c r="F164" s="335"/>
      <c r="G164" s="336" t="s">
        <v>361</v>
      </c>
      <c r="H164" s="336"/>
      <c r="I164" s="336"/>
      <c r="J164" s="336">
        <v>21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13</v>
      </c>
      <c r="D165" s="335" t="s">
        <v>751</v>
      </c>
      <c r="E165" s="335"/>
      <c r="F165" s="335"/>
      <c r="G165" s="336" t="s">
        <v>359</v>
      </c>
      <c r="H165" s="336"/>
      <c r="I165" s="336"/>
      <c r="J165" s="336">
        <v>80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8</v>
      </c>
      <c r="D166" s="335" t="s">
        <v>749</v>
      </c>
      <c r="E166" s="335"/>
      <c r="F166" s="335"/>
      <c r="G166" s="336" t="s">
        <v>753</v>
      </c>
      <c r="H166" s="336"/>
      <c r="I166" s="336"/>
      <c r="J166" s="336">
        <v>229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>
        <v>12</v>
      </c>
      <c r="D167" s="335" t="s">
        <v>754</v>
      </c>
      <c r="E167" s="335"/>
      <c r="F167" s="335"/>
      <c r="G167" s="336" t="s">
        <v>372</v>
      </c>
      <c r="H167" s="336"/>
      <c r="I167" s="336"/>
      <c r="J167" s="336">
        <v>27</v>
      </c>
      <c r="K167" s="336"/>
      <c r="L167" s="335" t="s">
        <v>355</v>
      </c>
      <c r="M167" s="335"/>
    </row>
    <row r="168" spans="1:18" ht="14.25" x14ac:dyDescent="0.2">
      <c r="B168" s="216"/>
      <c r="C168" s="215"/>
      <c r="D168" s="335"/>
      <c r="E168" s="335"/>
      <c r="F168" s="335"/>
      <c r="G168" s="336"/>
      <c r="H168" s="336"/>
      <c r="I168" s="336"/>
      <c r="J168" s="336"/>
      <c r="K168" s="336"/>
      <c r="L168" s="335"/>
      <c r="M168" s="335"/>
    </row>
    <row r="169" spans="1:18" ht="14.25" x14ac:dyDescent="0.2">
      <c r="B169" s="216"/>
      <c r="C169" s="215"/>
      <c r="D169" s="335"/>
      <c r="E169" s="335"/>
      <c r="F169" s="335"/>
      <c r="G169" s="336"/>
      <c r="H169" s="336"/>
      <c r="I169" s="336"/>
      <c r="J169" s="336"/>
      <c r="K169" s="336"/>
      <c r="L169" s="335"/>
      <c r="M169" s="335"/>
    </row>
    <row r="170" spans="1:18" ht="14.25" x14ac:dyDescent="0.2">
      <c r="B170" s="216"/>
      <c r="C170" s="215"/>
      <c r="D170" s="335"/>
      <c r="E170" s="335"/>
      <c r="F170" s="335"/>
      <c r="G170" s="336"/>
      <c r="H170" s="336"/>
      <c r="I170" s="336"/>
      <c r="J170" s="336"/>
      <c r="K170" s="336"/>
      <c r="L170" s="335"/>
      <c r="M170" s="335"/>
    </row>
    <row r="171" spans="1:18" ht="14.25" x14ac:dyDescent="0.2">
      <c r="B171" s="216"/>
      <c r="C171" s="215"/>
      <c r="D171" s="337"/>
      <c r="E171" s="338"/>
      <c r="F171" s="339"/>
      <c r="G171" s="336"/>
      <c r="H171" s="336"/>
      <c r="I171" s="336"/>
      <c r="J171" s="336"/>
      <c r="K171" s="336"/>
      <c r="L171" s="335"/>
      <c r="M171" s="335"/>
    </row>
    <row r="172" spans="1:18" ht="14.25" x14ac:dyDescent="0.2">
      <c r="B172" s="216"/>
      <c r="C172" s="215"/>
      <c r="D172" s="335"/>
      <c r="E172" s="335"/>
      <c r="F172" s="335"/>
      <c r="G172" s="336"/>
      <c r="H172" s="336"/>
      <c r="I172" s="336"/>
      <c r="J172" s="336"/>
      <c r="K172" s="336"/>
      <c r="L172" s="335"/>
      <c r="M172" s="335"/>
    </row>
    <row r="173" spans="1:18" ht="14.25" x14ac:dyDescent="0.2">
      <c r="B173" s="216"/>
      <c r="C173" s="215"/>
      <c r="D173" s="335"/>
      <c r="E173" s="335"/>
      <c r="F173" s="335"/>
      <c r="G173" s="336"/>
      <c r="H173" s="336"/>
      <c r="I173" s="336"/>
      <c r="J173" s="336"/>
      <c r="K173" s="336"/>
      <c r="L173" s="335"/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FF0B62C8-92F2-4090-81D4-8991080C2FC0}">
      <formula1>INDIRECT(D63)</formula1>
    </dataValidation>
  </dataValidations>
  <hyperlinks>
    <hyperlink ref="J14:L15" location="Summary!A1" display="MTD Summary " xr:uid="{031B9A92-4D25-48FF-BF0E-9105DFFFFBAA}"/>
    <hyperlink ref="J16:L17" location="Graph!A1" display="MTD Trendings" xr:uid="{FE3AF732-CB81-4336-AF5C-08CDD92C1E49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57F654C-2794-4EC2-992E-4B5EDCC581E3}">
          <x14:formula1>
            <xm:f>List!$C$5:$C$14</xm:f>
          </x14:formula1>
          <xm:sqref>D63:D131</xm:sqref>
        </x14:dataValidation>
        <x14:dataValidation type="list" allowBlank="1" showInputMessage="1" showErrorMessage="1" xr:uid="{4C29C638-F2F8-44D9-A215-264D01A34BA9}">
          <x14:formula1>
            <xm:f>List!$B$10:$B$12</xm:f>
          </x14:formula1>
          <xm:sqref>C63:C131</xm:sqref>
        </x14:dataValidation>
        <x14:dataValidation type="list" allowBlank="1" showInputMessage="1" showErrorMessage="1" xr:uid="{3B79B45F-D80A-47E3-A97A-09A2A95EF021}">
          <x14:formula1>
            <xm:f>List!$B$5:$B$8</xm:f>
          </x14:formula1>
          <xm:sqref>B63:B131</xm:sqref>
        </x14:dataValidation>
        <x14:dataValidation type="list" allowBlank="1" showInputMessage="1" showErrorMessage="1" xr:uid="{B73D244E-26BF-4F5A-B9CE-BF112AACC988}">
          <x14:formula1>
            <xm:f>Sheet3!$C$3:$C$4</xm:f>
          </x14:formula1>
          <xm:sqref>M63:M132</xm:sqref>
        </x14:dataValidation>
        <x14:dataValidation type="list" allowBlank="1" showInputMessage="1" xr:uid="{24630CB6-BAE8-481E-801F-634B6173AADA}">
          <x14:formula1>
            <xm:f>Sheet3!$D$3:$D$11</xm:f>
          </x14:formula1>
          <xm:sqref>C132</xm:sqref>
        </x14:dataValidation>
        <x14:dataValidation type="list" allowBlank="1" showInputMessage="1" showErrorMessage="1" xr:uid="{08D8807B-FBD6-4B37-80C3-12E8635755E3}">
          <x14:formula1>
            <xm:f>Sheet3!$B$3:$B$5</xm:f>
          </x14:formula1>
          <xm:sqref>B143:B165 B132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2983-4626-4C8C-98F7-EE516103162D}">
  <sheetPr>
    <pageSetUpPr fitToPage="1"/>
  </sheetPr>
  <dimension ref="A1:R188"/>
  <sheetViews>
    <sheetView showGridLines="0" view="pageBreakPreview" topLeftCell="B23" zoomScale="80" zoomScaleNormal="90" zoomScaleSheetLayoutView="80" zoomScalePageLayoutView="80" workbookViewId="0">
      <selection activeCell="K30" activeCellId="2" sqref="K33:L33 K36:L36 K30:L30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11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1750.8200000000002</v>
      </c>
      <c r="K6" s="420"/>
      <c r="L6" s="420">
        <f ca="1">Summary!G18</f>
        <v>1636.5899999999997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120</v>
      </c>
      <c r="E7" s="84">
        <v>50</v>
      </c>
      <c r="F7" s="395">
        <v>60</v>
      </c>
      <c r="G7" s="396"/>
      <c r="H7" s="374">
        <f>SUM(D7:D10)</f>
        <v>570.22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160</v>
      </c>
      <c r="E8" s="86">
        <v>50</v>
      </c>
      <c r="F8" s="397">
        <v>60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140</v>
      </c>
      <c r="E9" s="86">
        <v>50</v>
      </c>
      <c r="F9" s="397">
        <v>60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150.22</v>
      </c>
      <c r="E10" s="88">
        <v>50</v>
      </c>
      <c r="F10" s="399">
        <v>60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140</v>
      </c>
      <c r="E11" s="90">
        <v>60</v>
      </c>
      <c r="F11" s="386">
        <v>50</v>
      </c>
      <c r="G11" s="387"/>
      <c r="H11" s="388">
        <f>SUM(D11:D14)</f>
        <v>620.33000000000004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160</v>
      </c>
      <c r="E12" s="92">
        <v>60</v>
      </c>
      <c r="F12" s="391">
        <v>50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150</v>
      </c>
      <c r="E13" s="92">
        <v>60</v>
      </c>
      <c r="F13" s="391">
        <v>50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170.33</v>
      </c>
      <c r="E14" s="94">
        <v>60</v>
      </c>
      <c r="F14" s="393">
        <v>50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100</v>
      </c>
      <c r="E15" s="96">
        <v>50</v>
      </c>
      <c r="F15" s="372">
        <v>50</v>
      </c>
      <c r="G15" s="373"/>
      <c r="H15" s="374">
        <f>SUM(D15:D18)</f>
        <v>560.27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130</v>
      </c>
      <c r="E16" s="98">
        <v>60</v>
      </c>
      <c r="F16" s="401">
        <v>60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140</v>
      </c>
      <c r="E17" s="98">
        <v>60</v>
      </c>
      <c r="F17" s="401">
        <v>60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190.27</v>
      </c>
      <c r="E18" s="100">
        <v>60</v>
      </c>
      <c r="F18" s="404">
        <v>60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1750.8200000000002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8</v>
      </c>
      <c r="D25" s="102">
        <v>56</v>
      </c>
      <c r="E25" s="56">
        <v>7</v>
      </c>
      <c r="F25" s="107">
        <v>112</v>
      </c>
      <c r="G25" s="410">
        <v>6</v>
      </c>
      <c r="H25" s="411"/>
      <c r="I25" s="111">
        <v>18</v>
      </c>
      <c r="J25" s="38">
        <f t="shared" ref="J25:J40" si="0">C25+E25+G25</f>
        <v>21</v>
      </c>
      <c r="K25" s="412">
        <f>D25+F25+I25</f>
        <v>186</v>
      </c>
      <c r="L25" s="413"/>
      <c r="M25" s="2"/>
    </row>
    <row r="26" spans="2:14" ht="14.1" customHeight="1" x14ac:dyDescent="0.2">
      <c r="B26" s="80" t="s">
        <v>281</v>
      </c>
      <c r="C26" s="45">
        <v>6</v>
      </c>
      <c r="D26" s="103">
        <v>108</v>
      </c>
      <c r="E26" s="57">
        <v>6</v>
      </c>
      <c r="F26" s="108">
        <v>148</v>
      </c>
      <c r="G26" s="406">
        <v>4</v>
      </c>
      <c r="H26" s="407"/>
      <c r="I26" s="112">
        <v>64</v>
      </c>
      <c r="J26" s="25">
        <f t="shared" si="0"/>
        <v>16</v>
      </c>
      <c r="K26" s="408">
        <f t="shared" ref="K26:K39" si="1">D26+F26+I26</f>
        <v>320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146</v>
      </c>
      <c r="E27" s="57"/>
      <c r="F27" s="108">
        <v>198.35</v>
      </c>
      <c r="G27" s="406"/>
      <c r="H27" s="407"/>
      <c r="I27" s="112">
        <v>238</v>
      </c>
      <c r="J27" s="25">
        <f t="shared" si="0"/>
        <v>0</v>
      </c>
      <c r="K27" s="408">
        <f t="shared" si="1"/>
        <v>582.35</v>
      </c>
      <c r="L27" s="409"/>
      <c r="M27" s="2"/>
    </row>
    <row r="28" spans="2:14" ht="14.1" customHeight="1" x14ac:dyDescent="0.2">
      <c r="B28" s="80" t="s">
        <v>283</v>
      </c>
      <c r="C28" s="45">
        <v>5</v>
      </c>
      <c r="D28" s="103"/>
      <c r="E28" s="57">
        <v>6</v>
      </c>
      <c r="F28" s="108"/>
      <c r="G28" s="406">
        <v>5</v>
      </c>
      <c r="H28" s="407"/>
      <c r="I28" s="112"/>
      <c r="J28" s="25">
        <f t="shared" si="0"/>
        <v>16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3</v>
      </c>
      <c r="D29" s="103"/>
      <c r="E29" s="57">
        <v>4</v>
      </c>
      <c r="F29" s="108"/>
      <c r="G29" s="406">
        <v>5</v>
      </c>
      <c r="H29" s="407"/>
      <c r="I29" s="112"/>
      <c r="J29" s="25">
        <f t="shared" si="0"/>
        <v>12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>
        <v>1</v>
      </c>
      <c r="D30" s="103"/>
      <c r="E30" s="57"/>
      <c r="F30" s="108">
        <v>27.55</v>
      </c>
      <c r="G30" s="406"/>
      <c r="H30" s="407"/>
      <c r="I30" s="112"/>
      <c r="J30" s="25">
        <f t="shared" si="0"/>
        <v>1</v>
      </c>
      <c r="K30" s="408">
        <f t="shared" si="1"/>
        <v>27.55</v>
      </c>
      <c r="L30" s="409"/>
    </row>
    <row r="31" spans="2:14" ht="14.1" customHeight="1" x14ac:dyDescent="0.2">
      <c r="B31" s="80" t="s">
        <v>286</v>
      </c>
      <c r="C31" s="45">
        <v>2</v>
      </c>
      <c r="D31" s="103"/>
      <c r="E31" s="57">
        <v>2</v>
      </c>
      <c r="F31" s="108"/>
      <c r="G31" s="406">
        <v>3</v>
      </c>
      <c r="H31" s="407"/>
      <c r="I31" s="112"/>
      <c r="J31" s="25">
        <f t="shared" si="0"/>
        <v>7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1</v>
      </c>
      <c r="F32" s="108"/>
      <c r="G32" s="406">
        <v>1</v>
      </c>
      <c r="H32" s="407"/>
      <c r="I32" s="112"/>
      <c r="J32" s="25">
        <f t="shared" si="0"/>
        <v>3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>
        <v>23.85</v>
      </c>
      <c r="E33" s="57"/>
      <c r="F33" s="108"/>
      <c r="G33" s="406"/>
      <c r="H33" s="407"/>
      <c r="I33" s="112"/>
      <c r="J33" s="25">
        <f t="shared" si="0"/>
        <v>0</v>
      </c>
      <c r="K33" s="408">
        <f t="shared" si="1"/>
        <v>23.85</v>
      </c>
      <c r="L33" s="409"/>
    </row>
    <row r="34" spans="1:16" ht="14.1" customHeight="1" x14ac:dyDescent="0.2">
      <c r="B34" s="80" t="s">
        <v>289</v>
      </c>
      <c r="C34" s="45"/>
      <c r="D34" s="103"/>
      <c r="E34" s="57"/>
      <c r="F34" s="108"/>
      <c r="G34" s="406">
        <v>1</v>
      </c>
      <c r="H34" s="407"/>
      <c r="I34" s="112"/>
      <c r="J34" s="25">
        <f t="shared" si="0"/>
        <v>1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>
        <v>12</v>
      </c>
      <c r="E36" s="58"/>
      <c r="F36" s="109"/>
      <c r="G36" s="406"/>
      <c r="H36" s="407"/>
      <c r="I36" s="113"/>
      <c r="J36" s="25">
        <f t="shared" si="0"/>
        <v>0</v>
      </c>
      <c r="K36" s="408">
        <f t="shared" si="1"/>
        <v>12</v>
      </c>
      <c r="L36" s="409"/>
    </row>
    <row r="37" spans="1:16" ht="14.1" customHeight="1" x14ac:dyDescent="0.2">
      <c r="B37" s="37" t="s">
        <v>292</v>
      </c>
      <c r="C37" s="55"/>
      <c r="D37" s="104"/>
      <c r="E37" s="58"/>
      <c r="F37" s="109"/>
      <c r="G37" s="406"/>
      <c r="H37" s="407"/>
      <c r="I37" s="113"/>
      <c r="J37" s="25">
        <f t="shared" si="0"/>
        <v>0</v>
      </c>
      <c r="K37" s="408">
        <f t="shared" si="1"/>
        <v>0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v>120</v>
      </c>
      <c r="J38" s="25">
        <f t="shared" si="0"/>
        <v>0</v>
      </c>
      <c r="K38" s="408">
        <f t="shared" si="1"/>
        <v>120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210</v>
      </c>
      <c r="J39" s="25">
        <f t="shared" si="0"/>
        <v>0</v>
      </c>
      <c r="K39" s="408">
        <f t="shared" si="1"/>
        <v>210</v>
      </c>
      <c r="L39" s="409"/>
    </row>
    <row r="40" spans="1:16" ht="14.1" customHeight="1" thickBot="1" x14ac:dyDescent="0.25">
      <c r="B40" s="81" t="s">
        <v>295</v>
      </c>
      <c r="C40" s="47"/>
      <c r="D40" s="105">
        <v>86.16</v>
      </c>
      <c r="E40" s="59"/>
      <c r="F40" s="110">
        <v>114.72</v>
      </c>
      <c r="G40" s="473"/>
      <c r="H40" s="474"/>
      <c r="I40" s="114">
        <v>51.96</v>
      </c>
      <c r="J40" s="26">
        <f t="shared" si="0"/>
        <v>0</v>
      </c>
      <c r="K40" s="475">
        <f>D40+F40+I40</f>
        <v>252.84</v>
      </c>
      <c r="L40" s="476"/>
    </row>
    <row r="41" spans="1:16" ht="17.25" customHeight="1" x14ac:dyDescent="0.2">
      <c r="B41" s="15" t="s">
        <v>273</v>
      </c>
      <c r="C41" s="16">
        <f>SUM(C25:C40)</f>
        <v>26</v>
      </c>
      <c r="D41" s="106">
        <f>SUM(D25:D40)</f>
        <v>432.01</v>
      </c>
      <c r="E41" s="16">
        <f>SUM(E25:E40)</f>
        <v>26</v>
      </c>
      <c r="F41" s="106">
        <f>SUM(F25:F40)</f>
        <v>600.62</v>
      </c>
      <c r="G41" s="430">
        <f>SUM(G25:H40)</f>
        <v>25</v>
      </c>
      <c r="H41" s="430"/>
      <c r="I41" s="106">
        <f>SUM(I25:I40)</f>
        <v>701.96</v>
      </c>
      <c r="J41" s="16">
        <f>SUM(J25:J40)</f>
        <v>77</v>
      </c>
      <c r="K41" s="477">
        <f>SUM(K25:L40)</f>
        <v>1734.5899999999997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/>
      <c r="D45" s="210"/>
      <c r="E45" s="209"/>
      <c r="F45" s="210"/>
      <c r="G45" s="471"/>
      <c r="H45" s="472"/>
      <c r="I45" s="210"/>
      <c r="J45" s="210">
        <v>0.5</v>
      </c>
      <c r="K45" s="209">
        <v>0.2</v>
      </c>
      <c r="L45" s="210"/>
      <c r="M45" s="211"/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25</v>
      </c>
      <c r="K46" s="40">
        <f>K45*50</f>
        <v>10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/>
      <c r="D48" s="209"/>
      <c r="E48" s="209"/>
      <c r="F48" s="209">
        <v>0.2</v>
      </c>
      <c r="G48" s="442">
        <v>0.1</v>
      </c>
      <c r="H48" s="443"/>
      <c r="I48" s="209">
        <v>0.5</v>
      </c>
      <c r="J48" s="209">
        <v>0.3</v>
      </c>
      <c r="K48" s="209">
        <v>0.1</v>
      </c>
      <c r="L48" s="209">
        <v>0.9</v>
      </c>
      <c r="M48" s="211">
        <v>0.2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438">
        <f>G48*100</f>
        <v>10</v>
      </c>
      <c r="H49" s="439"/>
      <c r="I49" s="40">
        <f>I48*100</f>
        <v>50</v>
      </c>
      <c r="J49" s="40">
        <f>J48*150</f>
        <v>45</v>
      </c>
      <c r="K49" s="40">
        <f>K48*70</f>
        <v>7</v>
      </c>
      <c r="L49" s="40">
        <f>L48*70</f>
        <v>63</v>
      </c>
      <c r="M49" s="79">
        <f>M48*70</f>
        <v>14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0.4</v>
      </c>
      <c r="D51" s="213">
        <v>0</v>
      </c>
      <c r="E51" s="214">
        <v>0</v>
      </c>
      <c r="F51" s="209"/>
      <c r="G51" s="442"/>
      <c r="H51" s="443"/>
      <c r="I51" s="209">
        <v>0</v>
      </c>
      <c r="J51" s="209">
        <v>0</v>
      </c>
      <c r="K51" s="209">
        <v>0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28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284</v>
      </c>
      <c r="F54" s="39" t="s">
        <v>309</v>
      </c>
      <c r="G54" s="188"/>
      <c r="H54" s="188"/>
      <c r="I54" s="30">
        <f>'10'!D54</f>
        <v>492.5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>
        <v>174700</v>
      </c>
      <c r="D58" s="60">
        <v>17640</v>
      </c>
      <c r="E58" s="124">
        <f>SUM(C58:D58)</f>
        <v>192340</v>
      </c>
      <c r="F58" s="425"/>
      <c r="G58" s="426"/>
      <c r="H58" s="60">
        <v>4139</v>
      </c>
      <c r="I58" s="61">
        <v>2520</v>
      </c>
      <c r="J58" s="422"/>
      <c r="K58" s="428"/>
      <c r="L58" s="60">
        <v>6826.2</v>
      </c>
      <c r="M58" s="61">
        <f>L58/3</f>
        <v>2275.4</v>
      </c>
      <c r="N58" s="288">
        <v>3.9</v>
      </c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109.85709553237911</v>
      </c>
      <c r="D59" s="432"/>
      <c r="E59" s="433"/>
      <c r="F59" s="434" t="s">
        <v>321</v>
      </c>
      <c r="G59" s="435"/>
      <c r="H59" s="436">
        <f>IF(ISERROR(SUM(H58:I58)/$H$19),"",(SUM(H58:I58)/$H$19))</f>
        <v>3.8033607109811398</v>
      </c>
      <c r="I59" s="437"/>
      <c r="J59" s="434" t="s">
        <v>322</v>
      </c>
      <c r="K59" s="435"/>
      <c r="L59" s="115">
        <f>IF(ISERROR(L58/$H$19),"",(L58/$H$19))</f>
        <v>3.8988588204384227</v>
      </c>
      <c r="M59" s="116">
        <f>IF(ISERROR(M58/$H$19),"",(M58/$H$19))</f>
        <v>1.2996196068128076</v>
      </c>
      <c r="N59" s="194">
        <f>N58*H19</f>
        <v>6828.1980000000003</v>
      </c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0.30208333333333343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322"/>
      <c r="F63" s="324"/>
      <c r="G63" s="322"/>
      <c r="H63" s="323"/>
      <c r="I63" s="323"/>
      <c r="J63" s="324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10</v>
      </c>
      <c r="C64" s="236" t="s">
        <v>22</v>
      </c>
      <c r="D64" s="236" t="s">
        <v>11</v>
      </c>
      <c r="E64" s="322"/>
      <c r="F64" s="324"/>
      <c r="G64" s="322" t="s">
        <v>755</v>
      </c>
      <c r="H64" s="323"/>
      <c r="I64" s="323"/>
      <c r="J64" s="324"/>
      <c r="K64" s="238">
        <v>0.375</v>
      </c>
      <c r="L64" s="238">
        <v>0.39583333333333331</v>
      </c>
      <c r="M64" s="236" t="s">
        <v>339</v>
      </c>
      <c r="N64" s="237">
        <f t="shared" si="2"/>
        <v>2.0833333333333315E-2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322"/>
      <c r="F65" s="324"/>
      <c r="G65" s="322" t="s">
        <v>756</v>
      </c>
      <c r="H65" s="323"/>
      <c r="I65" s="323"/>
      <c r="J65" s="324"/>
      <c r="K65" s="239">
        <v>0.36458333333333331</v>
      </c>
      <c r="L65" s="239">
        <v>0.39583333333333331</v>
      </c>
      <c r="M65" s="236" t="s">
        <v>339</v>
      </c>
      <c r="N65" s="237">
        <f t="shared" si="2"/>
        <v>3.125E-2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11</v>
      </c>
      <c r="E66" s="322"/>
      <c r="F66" s="324"/>
      <c r="G66" s="322" t="s">
        <v>757</v>
      </c>
      <c r="H66" s="323"/>
      <c r="I66" s="323"/>
      <c r="J66" s="324"/>
      <c r="K66" s="239">
        <v>0.42708333333333331</v>
      </c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23</v>
      </c>
      <c r="E67" s="322"/>
      <c r="F67" s="324"/>
      <c r="G67" s="322" t="s">
        <v>338</v>
      </c>
      <c r="H67" s="323"/>
      <c r="I67" s="323"/>
      <c r="J67" s="324"/>
      <c r="K67" s="238">
        <v>0.41666666666666669</v>
      </c>
      <c r="L67" s="238">
        <v>0.44444444444444442</v>
      </c>
      <c r="M67" s="236" t="s">
        <v>685</v>
      </c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11</v>
      </c>
      <c r="E68" s="322"/>
      <c r="F68" s="324"/>
      <c r="G68" s="322" t="s">
        <v>758</v>
      </c>
      <c r="H68" s="323"/>
      <c r="I68" s="323"/>
      <c r="J68" s="324"/>
      <c r="K68" s="239">
        <v>0.5</v>
      </c>
      <c r="L68" s="239">
        <v>0.52083333333333337</v>
      </c>
      <c r="M68" s="236" t="s">
        <v>339</v>
      </c>
      <c r="N68" s="237">
        <f t="shared" si="2"/>
        <v>2.083333333333337E-2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11</v>
      </c>
      <c r="E69" s="322"/>
      <c r="F69" s="324"/>
      <c r="G69" s="322" t="s">
        <v>759</v>
      </c>
      <c r="H69" s="323"/>
      <c r="I69" s="323"/>
      <c r="J69" s="324"/>
      <c r="K69" s="239">
        <v>0.52083333333333337</v>
      </c>
      <c r="L69" s="239">
        <v>0.58333333333333337</v>
      </c>
      <c r="M69" s="236" t="s">
        <v>339</v>
      </c>
      <c r="N69" s="237">
        <f t="shared" si="2"/>
        <v>6.25E-2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15</v>
      </c>
      <c r="E70" s="322"/>
      <c r="F70" s="324"/>
      <c r="H70" t="s">
        <v>760</v>
      </c>
      <c r="K70" s="239">
        <v>0.58333333333333337</v>
      </c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26</v>
      </c>
      <c r="E71" s="322"/>
      <c r="F71" s="324"/>
      <c r="G71" s="322" t="s">
        <v>761</v>
      </c>
      <c r="H71" s="323"/>
      <c r="I71" s="323"/>
      <c r="J71" s="324"/>
      <c r="K71" s="239">
        <v>0.53125</v>
      </c>
      <c r="L71" s="239"/>
      <c r="M71" s="236" t="s">
        <v>685</v>
      </c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322"/>
      <c r="F72" s="324"/>
      <c r="G72" s="322"/>
      <c r="H72" s="323"/>
      <c r="I72" s="323"/>
      <c r="J72" s="324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 t="s">
        <v>17</v>
      </c>
      <c r="C73" s="236" t="s">
        <v>25</v>
      </c>
      <c r="D73" s="236" t="s">
        <v>11</v>
      </c>
      <c r="E73" s="322" t="s">
        <v>43</v>
      </c>
      <c r="F73" s="324" t="s">
        <v>43</v>
      </c>
      <c r="G73" s="322" t="s">
        <v>762</v>
      </c>
      <c r="H73" s="323"/>
      <c r="I73" s="323"/>
      <c r="J73" s="324"/>
      <c r="K73" s="239">
        <v>0.72916666666666663</v>
      </c>
      <c r="L73" s="239">
        <v>0.79166666666666663</v>
      </c>
      <c r="M73" s="236" t="s">
        <v>9</v>
      </c>
      <c r="N73" s="237">
        <f t="shared" si="2"/>
        <v>6.25E-2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23</v>
      </c>
      <c r="E74" s="322" t="s">
        <v>107</v>
      </c>
      <c r="F74" s="324" t="s">
        <v>107</v>
      </c>
      <c r="G74" s="322" t="s">
        <v>528</v>
      </c>
      <c r="H74" s="323"/>
      <c r="I74" s="323"/>
      <c r="J74" s="324"/>
      <c r="K74" s="238">
        <v>0.63194444444444442</v>
      </c>
      <c r="L74" s="238">
        <v>0.67361111111111116</v>
      </c>
      <c r="M74" s="236" t="s">
        <v>9</v>
      </c>
      <c r="N74" s="237">
        <f t="shared" si="2"/>
        <v>4.1666666666666741E-2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322"/>
      <c r="F75" s="324"/>
      <c r="G75" s="322"/>
      <c r="H75" s="323"/>
      <c r="I75" s="323"/>
      <c r="J75" s="324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 t="s">
        <v>6</v>
      </c>
      <c r="C76" s="236" t="s">
        <v>28</v>
      </c>
      <c r="D76" s="236" t="s">
        <v>29</v>
      </c>
      <c r="E76" s="322" t="s">
        <v>109</v>
      </c>
      <c r="F76" s="324" t="s">
        <v>109</v>
      </c>
      <c r="G76" s="322" t="s">
        <v>528</v>
      </c>
      <c r="H76" s="323"/>
      <c r="I76" s="323"/>
      <c r="J76" s="324"/>
      <c r="K76" s="239">
        <v>0.10416666666666667</v>
      </c>
      <c r="L76" s="239">
        <v>0.1388888888888889</v>
      </c>
      <c r="M76" s="236" t="s">
        <v>9</v>
      </c>
      <c r="N76" s="237">
        <f t="shared" si="2"/>
        <v>3.4722222222222224E-2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29</v>
      </c>
      <c r="E77" s="322"/>
      <c r="F77" s="324"/>
      <c r="G77" s="322" t="s">
        <v>388</v>
      </c>
      <c r="H77" s="323"/>
      <c r="I77" s="323"/>
      <c r="J77" s="324"/>
      <c r="K77" s="238">
        <v>5.5555555555555552E-2</v>
      </c>
      <c r="L77" s="238">
        <v>6.9444444444444434E-2</v>
      </c>
      <c r="M77" s="236" t="s">
        <v>9</v>
      </c>
      <c r="N77" s="237">
        <f t="shared" si="2"/>
        <v>1.3888888888888881E-2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29</v>
      </c>
      <c r="E78" s="322"/>
      <c r="F78" s="324"/>
      <c r="G78" s="322" t="s">
        <v>763</v>
      </c>
      <c r="H78" s="323"/>
      <c r="I78" s="323"/>
      <c r="J78" s="324"/>
      <c r="K78" s="239">
        <v>9.0277777777777776E-2</v>
      </c>
      <c r="L78" s="239">
        <v>0.10416666666666667</v>
      </c>
      <c r="M78" s="276" t="s">
        <v>9</v>
      </c>
      <c r="N78" s="237">
        <f t="shared" si="2"/>
        <v>1.3888888888888895E-2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322"/>
      <c r="F79" s="324"/>
      <c r="G79" s="322"/>
      <c r="H79" s="323"/>
      <c r="I79" s="323"/>
      <c r="J79" s="324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322"/>
      <c r="F80" s="324"/>
      <c r="G80" s="322"/>
      <c r="H80" s="323"/>
      <c r="I80" s="323"/>
      <c r="J80" s="324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322"/>
      <c r="F81" s="324"/>
      <c r="G81" s="322"/>
      <c r="H81" s="323"/>
      <c r="I81" s="323"/>
      <c r="J81" s="324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322"/>
      <c r="F83" s="324"/>
      <c r="G83" s="322"/>
      <c r="H83" s="323"/>
      <c r="I83" s="323"/>
      <c r="J83" s="324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 t="s">
        <v>345</v>
      </c>
      <c r="D136" s="481"/>
      <c r="E136" s="463" t="s">
        <v>764</v>
      </c>
      <c r="F136" s="464"/>
      <c r="G136" s="452" t="s">
        <v>393</v>
      </c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/>
      <c r="D137" s="479"/>
      <c r="E137" s="463"/>
      <c r="F137" s="464"/>
      <c r="G137" s="452" t="s">
        <v>395</v>
      </c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35"/>
      <c r="E143" s="335"/>
      <c r="F143" s="335"/>
      <c r="G143" s="336"/>
      <c r="H143" s="336"/>
      <c r="I143" s="336"/>
      <c r="J143" s="336"/>
      <c r="K143" s="336"/>
      <c r="L143" s="335"/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 t="s">
        <v>255</v>
      </c>
      <c r="C144" s="215" t="s">
        <v>376</v>
      </c>
      <c r="D144" s="335" t="s">
        <v>765</v>
      </c>
      <c r="E144" s="335"/>
      <c r="F144" s="335"/>
      <c r="G144" s="336" t="s">
        <v>766</v>
      </c>
      <c r="H144" s="336"/>
      <c r="I144" s="336"/>
      <c r="J144" s="336" t="s">
        <v>767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 t="s">
        <v>378</v>
      </c>
      <c r="D145" s="335" t="s">
        <v>768</v>
      </c>
      <c r="E145" s="335"/>
      <c r="F145" s="335"/>
      <c r="G145" s="336" t="s">
        <v>766</v>
      </c>
      <c r="H145" s="336"/>
      <c r="I145" s="336"/>
      <c r="J145" s="336" t="s">
        <v>769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13</v>
      </c>
      <c r="D146" s="335" t="s">
        <v>708</v>
      </c>
      <c r="E146" s="335"/>
      <c r="F146" s="335"/>
      <c r="G146" s="336" t="s">
        <v>382</v>
      </c>
      <c r="H146" s="336"/>
      <c r="I146" s="336"/>
      <c r="J146" s="336" t="s">
        <v>541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18</v>
      </c>
      <c r="D147" s="335" t="s">
        <v>770</v>
      </c>
      <c r="E147" s="335"/>
      <c r="F147" s="335"/>
      <c r="G147" s="336" t="s">
        <v>626</v>
      </c>
      <c r="H147" s="336"/>
      <c r="I147" s="336"/>
      <c r="J147" s="336">
        <v>14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19</v>
      </c>
      <c r="D148" s="335" t="s">
        <v>771</v>
      </c>
      <c r="E148" s="335"/>
      <c r="F148" s="335"/>
      <c r="G148" s="336" t="s">
        <v>587</v>
      </c>
      <c r="H148" s="336"/>
      <c r="I148" s="336"/>
      <c r="J148" s="336">
        <v>13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12</v>
      </c>
      <c r="D149" s="335" t="s">
        <v>772</v>
      </c>
      <c r="E149" s="335"/>
      <c r="F149" s="335"/>
      <c r="G149" s="336" t="s">
        <v>372</v>
      </c>
      <c r="H149" s="336"/>
      <c r="I149" s="336"/>
      <c r="J149" s="336" t="s">
        <v>773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15</v>
      </c>
      <c r="D150" s="335" t="s">
        <v>774</v>
      </c>
      <c r="E150" s="335"/>
      <c r="F150" s="335"/>
      <c r="G150" s="336" t="s">
        <v>775</v>
      </c>
      <c r="H150" s="336"/>
      <c r="I150" s="336"/>
      <c r="J150" s="336" t="s">
        <v>710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35" t="s">
        <v>776</v>
      </c>
      <c r="E151" s="335"/>
      <c r="F151" s="335"/>
      <c r="G151" s="336" t="s">
        <v>365</v>
      </c>
      <c r="H151" s="336"/>
      <c r="I151" s="336"/>
      <c r="J151" s="336">
        <v>3937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 t="s">
        <v>376</v>
      </c>
      <c r="D152" s="335" t="s">
        <v>777</v>
      </c>
      <c r="E152" s="335"/>
      <c r="F152" s="335"/>
      <c r="G152" s="336" t="s">
        <v>357</v>
      </c>
      <c r="H152" s="336"/>
      <c r="I152" s="336"/>
      <c r="J152" s="336">
        <v>35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 t="s">
        <v>378</v>
      </c>
      <c r="D153" s="335" t="s">
        <v>768</v>
      </c>
      <c r="E153" s="335"/>
      <c r="F153" s="335"/>
      <c r="G153" s="336" t="s">
        <v>367</v>
      </c>
      <c r="H153" s="336"/>
      <c r="I153" s="336"/>
      <c r="J153" s="336">
        <v>50</v>
      </c>
      <c r="K153" s="336"/>
      <c r="L153" s="335" t="s">
        <v>355</v>
      </c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15</v>
      </c>
      <c r="D154" s="335" t="s">
        <v>774</v>
      </c>
      <c r="E154" s="335"/>
      <c r="F154" s="335"/>
      <c r="G154" s="336" t="s">
        <v>775</v>
      </c>
      <c r="H154" s="336"/>
      <c r="I154" s="336"/>
      <c r="J154" s="336">
        <v>50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13</v>
      </c>
      <c r="D155" s="335" t="s">
        <v>708</v>
      </c>
      <c r="E155" s="335"/>
      <c r="F155" s="335"/>
      <c r="G155" s="336" t="s">
        <v>382</v>
      </c>
      <c r="H155" s="336"/>
      <c r="I155" s="336"/>
      <c r="J155" s="336">
        <v>46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3</v>
      </c>
      <c r="D156" s="335" t="s">
        <v>740</v>
      </c>
      <c r="E156" s="335"/>
      <c r="F156" s="335"/>
      <c r="G156" s="336" t="s">
        <v>357</v>
      </c>
      <c r="H156" s="336"/>
      <c r="I156" s="336"/>
      <c r="J156" s="336">
        <v>16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335"/>
      <c r="E157" s="335"/>
      <c r="F157" s="335"/>
      <c r="G157" s="336"/>
      <c r="H157" s="336"/>
      <c r="I157" s="336"/>
      <c r="J157" s="336"/>
      <c r="K157" s="336"/>
      <c r="L157" s="335"/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 t="s">
        <v>261</v>
      </c>
      <c r="C158" s="215">
        <v>3</v>
      </c>
      <c r="D158" s="335" t="s">
        <v>778</v>
      </c>
      <c r="E158" s="335"/>
      <c r="F158" s="335"/>
      <c r="G158" s="336" t="s">
        <v>357</v>
      </c>
      <c r="H158" s="336"/>
      <c r="I158" s="336"/>
      <c r="J158" s="336">
        <v>27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9</v>
      </c>
      <c r="D159" s="335" t="s">
        <v>779</v>
      </c>
      <c r="E159" s="335"/>
      <c r="F159" s="335"/>
      <c r="G159" s="336" t="s">
        <v>367</v>
      </c>
      <c r="H159" s="336"/>
      <c r="I159" s="336"/>
      <c r="J159" s="336" t="s">
        <v>780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24</v>
      </c>
      <c r="D160" s="335" t="s">
        <v>781</v>
      </c>
      <c r="E160" s="335"/>
      <c r="F160" s="335"/>
      <c r="G160" s="336" t="s">
        <v>403</v>
      </c>
      <c r="H160" s="336"/>
      <c r="I160" s="336"/>
      <c r="J160" s="336">
        <v>392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 t="s">
        <v>376</v>
      </c>
      <c r="D161" s="335" t="s">
        <v>765</v>
      </c>
      <c r="E161" s="335"/>
      <c r="F161" s="335"/>
      <c r="G161" s="336" t="s">
        <v>357</v>
      </c>
      <c r="H161" s="336"/>
      <c r="I161" s="336"/>
      <c r="J161" s="336" t="s">
        <v>782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 t="s">
        <v>378</v>
      </c>
      <c r="D162" s="335" t="s">
        <v>768</v>
      </c>
      <c r="E162" s="335"/>
      <c r="F162" s="335"/>
      <c r="G162" s="336" t="s">
        <v>766</v>
      </c>
      <c r="H162" s="336"/>
      <c r="I162" s="336"/>
      <c r="J162" s="336">
        <v>44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 t="s">
        <v>378</v>
      </c>
      <c r="D163" s="335" t="s">
        <v>768</v>
      </c>
      <c r="E163" s="335"/>
      <c r="F163" s="335"/>
      <c r="G163" s="336" t="s">
        <v>367</v>
      </c>
      <c r="H163" s="336"/>
      <c r="I163" s="336"/>
      <c r="J163" s="336" t="s">
        <v>782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 t="s">
        <v>376</v>
      </c>
      <c r="D164" s="335" t="s">
        <v>765</v>
      </c>
      <c r="E164" s="335"/>
      <c r="F164" s="335"/>
      <c r="G164" s="336" t="s">
        <v>411</v>
      </c>
      <c r="H164" s="336"/>
      <c r="I164" s="336"/>
      <c r="J164" s="336">
        <v>44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9</v>
      </c>
      <c r="D165" s="335" t="s">
        <v>779</v>
      </c>
      <c r="E165" s="335"/>
      <c r="F165" s="335"/>
      <c r="G165" s="336" t="s">
        <v>367</v>
      </c>
      <c r="H165" s="336"/>
      <c r="I165" s="336"/>
      <c r="J165" s="336">
        <v>59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18</v>
      </c>
      <c r="D166" s="335" t="s">
        <v>783</v>
      </c>
      <c r="E166" s="335"/>
      <c r="F166" s="335"/>
      <c r="G166" s="336" t="s">
        <v>715</v>
      </c>
      <c r="H166" s="336"/>
      <c r="I166" s="336"/>
      <c r="J166" s="336">
        <v>13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>
        <v>17</v>
      </c>
      <c r="D167" s="335" t="s">
        <v>783</v>
      </c>
      <c r="E167" s="335"/>
      <c r="F167" s="335"/>
      <c r="G167" s="336" t="s">
        <v>494</v>
      </c>
      <c r="H167" s="336"/>
      <c r="I167" s="336"/>
      <c r="J167" s="336">
        <v>13</v>
      </c>
      <c r="K167" s="336"/>
      <c r="L167" s="335" t="s">
        <v>355</v>
      </c>
      <c r="M167" s="335"/>
    </row>
    <row r="168" spans="1:18" ht="14.25" x14ac:dyDescent="0.2">
      <c r="B168" s="216"/>
      <c r="C168" s="215">
        <v>13</v>
      </c>
      <c r="D168" s="335" t="s">
        <v>784</v>
      </c>
      <c r="E168" s="335"/>
      <c r="F168" s="335"/>
      <c r="G168" s="336" t="s">
        <v>359</v>
      </c>
      <c r="H168" s="336"/>
      <c r="I168" s="336"/>
      <c r="J168" s="336">
        <v>24</v>
      </c>
      <c r="K168" s="336"/>
      <c r="L168" s="335" t="s">
        <v>355</v>
      </c>
      <c r="M168" s="335"/>
    </row>
    <row r="169" spans="1:18" ht="14.25" x14ac:dyDescent="0.2">
      <c r="B169" s="216"/>
      <c r="C169" s="215">
        <v>8</v>
      </c>
      <c r="D169" s="335" t="s">
        <v>778</v>
      </c>
      <c r="E169" s="335"/>
      <c r="F169" s="335"/>
      <c r="G169" s="336" t="s">
        <v>753</v>
      </c>
      <c r="H169" s="336"/>
      <c r="I169" s="336"/>
      <c r="J169" s="336">
        <v>182</v>
      </c>
      <c r="K169" s="336"/>
      <c r="L169" s="335" t="s">
        <v>355</v>
      </c>
      <c r="M169" s="335"/>
    </row>
    <row r="170" spans="1:18" ht="14.25" x14ac:dyDescent="0.2">
      <c r="B170" s="216"/>
      <c r="C170" s="215"/>
      <c r="D170" s="335"/>
      <c r="E170" s="335"/>
      <c r="F170" s="335"/>
      <c r="G170" s="336"/>
      <c r="H170" s="336"/>
      <c r="I170" s="336"/>
      <c r="J170" s="336"/>
      <c r="K170" s="336"/>
      <c r="L170" s="335"/>
      <c r="M170" s="335"/>
    </row>
    <row r="171" spans="1:18" ht="14.25" x14ac:dyDescent="0.2">
      <c r="B171" s="216" t="s">
        <v>267</v>
      </c>
      <c r="C171" s="215" t="s">
        <v>376</v>
      </c>
      <c r="D171" s="337" t="s">
        <v>785</v>
      </c>
      <c r="E171" s="338"/>
      <c r="F171" s="339"/>
      <c r="G171" s="336" t="s">
        <v>357</v>
      </c>
      <c r="H171" s="336"/>
      <c r="I171" s="336"/>
      <c r="J171" s="336">
        <v>29</v>
      </c>
      <c r="K171" s="336"/>
      <c r="L171" s="335" t="s">
        <v>355</v>
      </c>
      <c r="M171" s="335"/>
    </row>
    <row r="172" spans="1:18" ht="14.25" x14ac:dyDescent="0.2">
      <c r="B172" s="216"/>
      <c r="C172" s="215">
        <v>19</v>
      </c>
      <c r="D172" s="335" t="s">
        <v>786</v>
      </c>
      <c r="E172" s="335"/>
      <c r="F172" s="335"/>
      <c r="G172" s="336" t="s">
        <v>494</v>
      </c>
      <c r="H172" s="336"/>
      <c r="I172" s="336"/>
      <c r="J172" s="336">
        <v>9</v>
      </c>
      <c r="K172" s="336"/>
      <c r="L172" s="335" t="s">
        <v>355</v>
      </c>
      <c r="M172" s="335"/>
    </row>
    <row r="173" spans="1:18" ht="14.25" x14ac:dyDescent="0.2">
      <c r="B173" s="216"/>
      <c r="C173" s="215" t="s">
        <v>378</v>
      </c>
      <c r="D173" s="335" t="s">
        <v>787</v>
      </c>
      <c r="E173" s="335"/>
      <c r="F173" s="335"/>
      <c r="G173" s="336" t="s">
        <v>367</v>
      </c>
      <c r="H173" s="336"/>
      <c r="I173" s="336"/>
      <c r="J173" s="336">
        <v>67</v>
      </c>
      <c r="K173" s="336"/>
      <c r="L173" s="335" t="s">
        <v>355</v>
      </c>
      <c r="M173" s="335"/>
    </row>
    <row r="174" spans="1:18" ht="14.25" x14ac:dyDescent="0.2">
      <c r="B174" s="216"/>
      <c r="C174" s="215">
        <v>8</v>
      </c>
      <c r="D174" s="335" t="s">
        <v>785</v>
      </c>
      <c r="E174" s="335"/>
      <c r="F174" s="335"/>
      <c r="G174" s="336" t="s">
        <v>753</v>
      </c>
      <c r="H174" s="336"/>
      <c r="I174" s="336"/>
      <c r="J174" s="336">
        <v>112</v>
      </c>
      <c r="K174" s="336"/>
      <c r="L174" s="335" t="s">
        <v>355</v>
      </c>
      <c r="M174" s="335"/>
    </row>
    <row r="175" spans="1:18" ht="14.25" x14ac:dyDescent="0.2">
      <c r="B175" s="216"/>
      <c r="C175" s="215">
        <v>13</v>
      </c>
      <c r="D175" s="335" t="s">
        <v>788</v>
      </c>
      <c r="E175" s="335"/>
      <c r="F175" s="335"/>
      <c r="G175" s="336" t="s">
        <v>359</v>
      </c>
      <c r="H175" s="336"/>
      <c r="I175" s="336"/>
      <c r="J175" s="336">
        <v>40</v>
      </c>
      <c r="K175" s="336"/>
      <c r="L175" s="335" t="s">
        <v>355</v>
      </c>
      <c r="M175" s="335"/>
    </row>
    <row r="176" spans="1:18" ht="14.25" x14ac:dyDescent="0.2">
      <c r="B176" s="216"/>
      <c r="C176" s="215" t="s">
        <v>378</v>
      </c>
      <c r="D176" s="335" t="s">
        <v>787</v>
      </c>
      <c r="E176" s="335"/>
      <c r="F176" s="335"/>
      <c r="G176" s="336" t="s">
        <v>359</v>
      </c>
      <c r="H176" s="336"/>
      <c r="I176" s="336"/>
      <c r="J176" s="336">
        <v>14</v>
      </c>
      <c r="K176" s="336"/>
      <c r="L176" s="335" t="s">
        <v>355</v>
      </c>
      <c r="M176" s="335"/>
    </row>
    <row r="177" spans="2:13" ht="14.25" x14ac:dyDescent="0.2">
      <c r="B177" s="216"/>
      <c r="C177" s="215">
        <v>12</v>
      </c>
      <c r="D177" s="335" t="s">
        <v>789</v>
      </c>
      <c r="E177" s="335"/>
      <c r="F177" s="335"/>
      <c r="G177" s="336" t="s">
        <v>367</v>
      </c>
      <c r="H177" s="336"/>
      <c r="I177" s="336"/>
      <c r="J177" s="336">
        <v>69</v>
      </c>
      <c r="K177" s="336"/>
      <c r="L177" s="335" t="s">
        <v>355</v>
      </c>
      <c r="M177" s="335"/>
    </row>
    <row r="178" spans="2:13" ht="14.25" x14ac:dyDescent="0.2">
      <c r="B178" s="216"/>
      <c r="C178" s="215"/>
      <c r="D178" s="335"/>
      <c r="E178" s="335"/>
      <c r="F178" s="335"/>
      <c r="G178" s="336" t="s">
        <v>372</v>
      </c>
      <c r="H178" s="336"/>
      <c r="I178" s="336"/>
      <c r="J178" s="336">
        <v>49</v>
      </c>
      <c r="K178" s="336"/>
      <c r="L178" s="335" t="s">
        <v>355</v>
      </c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97E6871D-D03E-4EBE-BB0E-A0A65C1EBADF}">
      <formula1>INDIRECT(D63)</formula1>
    </dataValidation>
  </dataValidations>
  <hyperlinks>
    <hyperlink ref="J14:L15" location="Summary!A1" display="MTD Summary " xr:uid="{A5118505-586E-42F2-B4A0-0146BAF7ABC7}"/>
    <hyperlink ref="J16:L17" location="Graph!A1" display="MTD Trendings" xr:uid="{B27E7E0F-D2B3-4AD7-8C25-E395F6ADD92B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1C5485F-31C0-4ED9-98AC-06FA445DF583}">
          <x14:formula1>
            <xm:f>Sheet3!$B$3:$B$5</xm:f>
          </x14:formula1>
          <xm:sqref>B143:B165 B132 B171</xm:sqref>
        </x14:dataValidation>
        <x14:dataValidation type="list" allowBlank="1" showInputMessage="1" xr:uid="{1A660947-ADFE-4AD0-B1A2-0BBBF8947C97}">
          <x14:formula1>
            <xm:f>Sheet3!$D$3:$D$11</xm:f>
          </x14:formula1>
          <xm:sqref>C132</xm:sqref>
        </x14:dataValidation>
        <x14:dataValidation type="list" allowBlank="1" showInputMessage="1" showErrorMessage="1" xr:uid="{A3B51D45-37B3-41DF-9A9B-D9E020C68414}">
          <x14:formula1>
            <xm:f>Sheet3!$C$3:$C$4</xm:f>
          </x14:formula1>
          <xm:sqref>M63:M132</xm:sqref>
        </x14:dataValidation>
        <x14:dataValidation type="list" allowBlank="1" showInputMessage="1" showErrorMessage="1" xr:uid="{4E89C96D-5CEF-497F-BE02-61139CD06E7A}">
          <x14:formula1>
            <xm:f>List!$B$5:$B$8</xm:f>
          </x14:formula1>
          <xm:sqref>B63:B131</xm:sqref>
        </x14:dataValidation>
        <x14:dataValidation type="list" allowBlank="1" showInputMessage="1" showErrorMessage="1" xr:uid="{884EE11A-4CEB-4EF4-960B-3337719E4486}">
          <x14:formula1>
            <xm:f>List!$B$10:$B$12</xm:f>
          </x14:formula1>
          <xm:sqref>C63:C131</xm:sqref>
        </x14:dataValidation>
        <x14:dataValidation type="list" allowBlank="1" showInputMessage="1" showErrorMessage="1" xr:uid="{EB15ED71-18D3-49DB-96E9-5715264131ED}">
          <x14:formula1>
            <xm:f>List!$C$5:$C$14</xm:f>
          </x14:formula1>
          <xm:sqref>D63:D131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590F-2178-49D9-AAA0-34E21FA9DC0C}">
  <sheetPr>
    <pageSetUpPr fitToPage="1"/>
  </sheetPr>
  <dimension ref="A1:R188"/>
  <sheetViews>
    <sheetView showGridLines="0" view="pageBreakPreview" topLeftCell="B16" zoomScale="80" zoomScaleNormal="90" zoomScaleSheetLayoutView="80" zoomScalePageLayoutView="80" workbookViewId="0">
      <selection activeCell="I39" sqref="I39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12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1620.6</v>
      </c>
      <c r="K6" s="420"/>
      <c r="L6" s="420">
        <f ca="1">Summary!G19</f>
        <v>1445.96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110</v>
      </c>
      <c r="E7" s="84">
        <v>60</v>
      </c>
      <c r="F7" s="395">
        <v>50</v>
      </c>
      <c r="G7" s="396"/>
      <c r="H7" s="374">
        <f>SUM(D7:D10)</f>
        <v>500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150</v>
      </c>
      <c r="E8" s="86">
        <v>60</v>
      </c>
      <c r="F8" s="397">
        <v>50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110</v>
      </c>
      <c r="E9" s="86">
        <v>60</v>
      </c>
      <c r="F9" s="397">
        <v>50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130</v>
      </c>
      <c r="E10" s="88">
        <v>60</v>
      </c>
      <c r="F10" s="399">
        <v>50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130</v>
      </c>
      <c r="E11" s="90">
        <v>60</v>
      </c>
      <c r="F11" s="386">
        <v>50</v>
      </c>
      <c r="G11" s="387"/>
      <c r="H11" s="388">
        <f>SUM(D11:D14)</f>
        <v>600.33000000000004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150</v>
      </c>
      <c r="E12" s="92">
        <v>60</v>
      </c>
      <c r="F12" s="391">
        <v>50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150</v>
      </c>
      <c r="E13" s="92">
        <v>60</v>
      </c>
      <c r="F13" s="391">
        <v>50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170.33</v>
      </c>
      <c r="E14" s="94">
        <v>60</v>
      </c>
      <c r="F14" s="393">
        <v>50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130</v>
      </c>
      <c r="E15" s="96">
        <v>50</v>
      </c>
      <c r="F15" s="372">
        <v>50</v>
      </c>
      <c r="G15" s="373"/>
      <c r="H15" s="374">
        <f>SUM(D15:D18)</f>
        <v>520.27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140</v>
      </c>
      <c r="E16" s="98">
        <v>50</v>
      </c>
      <c r="F16" s="401">
        <v>50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100</v>
      </c>
      <c r="E17" s="98">
        <v>60</v>
      </c>
      <c r="F17" s="401">
        <v>50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150.27000000000001</v>
      </c>
      <c r="E18" s="100">
        <v>60</v>
      </c>
      <c r="F18" s="404">
        <v>50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1620.6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6</v>
      </c>
      <c r="D25" s="102">
        <v>100</v>
      </c>
      <c r="E25" s="56">
        <v>8</v>
      </c>
      <c r="F25" s="107">
        <v>64</v>
      </c>
      <c r="G25" s="410">
        <v>7</v>
      </c>
      <c r="H25" s="411"/>
      <c r="I25" s="111">
        <v>104</v>
      </c>
      <c r="J25" s="38">
        <f t="shared" ref="J25:J40" si="0">C25+E25+G25</f>
        <v>21</v>
      </c>
      <c r="K25" s="412">
        <f>D25+F25+I25</f>
        <v>268</v>
      </c>
      <c r="L25" s="413"/>
      <c r="M25" s="2"/>
    </row>
    <row r="26" spans="2:14" ht="14.1" customHeight="1" x14ac:dyDescent="0.2">
      <c r="B26" s="80" t="s">
        <v>281</v>
      </c>
      <c r="C26" s="45">
        <v>6</v>
      </c>
      <c r="D26" s="103">
        <v>82</v>
      </c>
      <c r="E26" s="57">
        <v>6</v>
      </c>
      <c r="F26" s="108">
        <v>126</v>
      </c>
      <c r="G26" s="406">
        <v>5</v>
      </c>
      <c r="H26" s="407"/>
      <c r="I26" s="112">
        <v>98</v>
      </c>
      <c r="J26" s="25">
        <f t="shared" si="0"/>
        <v>17</v>
      </c>
      <c r="K26" s="408">
        <f t="shared" ref="K26:K39" si="1">D26+F26+I26</f>
        <v>306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98</v>
      </c>
      <c r="E27" s="57"/>
      <c r="F27" s="108">
        <v>182</v>
      </c>
      <c r="G27" s="406">
        <v>7</v>
      </c>
      <c r="H27" s="407"/>
      <c r="I27" s="112">
        <v>146</v>
      </c>
      <c r="J27" s="25">
        <f t="shared" si="0"/>
        <v>7</v>
      </c>
      <c r="K27" s="408">
        <f t="shared" si="1"/>
        <v>426</v>
      </c>
      <c r="L27" s="409"/>
      <c r="M27" s="2"/>
    </row>
    <row r="28" spans="2:14" ht="14.1" customHeight="1" x14ac:dyDescent="0.2">
      <c r="B28" s="80" t="s">
        <v>283</v>
      </c>
      <c r="C28" s="45">
        <v>5</v>
      </c>
      <c r="D28" s="103"/>
      <c r="E28" s="57">
        <v>5</v>
      </c>
      <c r="F28" s="108"/>
      <c r="G28" s="406"/>
      <c r="H28" s="407"/>
      <c r="I28" s="112"/>
      <c r="J28" s="25">
        <f t="shared" si="0"/>
        <v>10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3</v>
      </c>
      <c r="D29" s="103"/>
      <c r="E29" s="57">
        <v>3</v>
      </c>
      <c r="F29" s="108"/>
      <c r="G29" s="406">
        <v>4</v>
      </c>
      <c r="H29" s="407"/>
      <c r="I29" s="112"/>
      <c r="J29" s="25">
        <f t="shared" si="0"/>
        <v>10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/>
      <c r="D30" s="103"/>
      <c r="E30" s="57"/>
      <c r="F30" s="108"/>
      <c r="G30" s="406"/>
      <c r="H30" s="407"/>
      <c r="I30" s="112"/>
      <c r="J30" s="25">
        <f t="shared" si="0"/>
        <v>0</v>
      </c>
      <c r="K30" s="408">
        <f t="shared" si="1"/>
        <v>0</v>
      </c>
      <c r="L30" s="409"/>
    </row>
    <row r="31" spans="2:14" ht="14.1" customHeight="1" x14ac:dyDescent="0.2">
      <c r="B31" s="80" t="s">
        <v>286</v>
      </c>
      <c r="C31" s="45">
        <v>2</v>
      </c>
      <c r="D31" s="103"/>
      <c r="E31" s="57">
        <v>2</v>
      </c>
      <c r="F31" s="108"/>
      <c r="G31" s="406"/>
      <c r="H31" s="407"/>
      <c r="I31" s="112"/>
      <c r="J31" s="25">
        <f t="shared" si="0"/>
        <v>4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1</v>
      </c>
      <c r="F32" s="108"/>
      <c r="G32" s="406"/>
      <c r="H32" s="407"/>
      <c r="I32" s="112"/>
      <c r="J32" s="25">
        <f t="shared" si="0"/>
        <v>2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/>
      <c r="G33" s="406"/>
      <c r="H33" s="407"/>
      <c r="I33" s="112"/>
      <c r="J33" s="25">
        <f t="shared" si="0"/>
        <v>0</v>
      </c>
      <c r="K33" s="408">
        <f t="shared" si="1"/>
        <v>0</v>
      </c>
      <c r="L33" s="409"/>
    </row>
    <row r="34" spans="1:16" ht="14.1" customHeight="1" x14ac:dyDescent="0.2">
      <c r="B34" s="80" t="s">
        <v>289</v>
      </c>
      <c r="C34" s="45"/>
      <c r="D34" s="103"/>
      <c r="E34" s="57">
        <v>1</v>
      </c>
      <c r="F34" s="108"/>
      <c r="G34" s="406"/>
      <c r="H34" s="407"/>
      <c r="I34" s="112"/>
      <c r="J34" s="25">
        <f t="shared" si="0"/>
        <v>1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>
        <v>28</v>
      </c>
      <c r="E36" s="58"/>
      <c r="F36" s="109"/>
      <c r="G36" s="406"/>
      <c r="H36" s="407"/>
      <c r="I36" s="113"/>
      <c r="J36" s="25">
        <f t="shared" si="0"/>
        <v>0</v>
      </c>
      <c r="K36" s="408">
        <f t="shared" si="1"/>
        <v>28</v>
      </c>
      <c r="L36" s="409"/>
    </row>
    <row r="37" spans="1:16" ht="14.1" customHeight="1" x14ac:dyDescent="0.2">
      <c r="B37" s="37" t="s">
        <v>292</v>
      </c>
      <c r="C37" s="55"/>
      <c r="D37" s="104"/>
      <c r="E37" s="58"/>
      <c r="F37" s="109"/>
      <c r="G37" s="406"/>
      <c r="H37" s="407"/>
      <c r="I37" s="113"/>
      <c r="J37" s="25">
        <f t="shared" si="0"/>
        <v>0</v>
      </c>
      <c r="K37" s="408">
        <f t="shared" si="1"/>
        <v>0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v>60</v>
      </c>
      <c r="J38" s="25">
        <f t="shared" si="0"/>
        <v>0</v>
      </c>
      <c r="K38" s="408">
        <f t="shared" si="1"/>
        <v>60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180</v>
      </c>
      <c r="J39" s="25">
        <f t="shared" si="0"/>
        <v>0</v>
      </c>
      <c r="K39" s="408">
        <f t="shared" si="1"/>
        <v>180</v>
      </c>
      <c r="L39" s="409"/>
    </row>
    <row r="40" spans="1:16" ht="14.1" customHeight="1" thickBot="1" x14ac:dyDescent="0.25">
      <c r="B40" s="81" t="s">
        <v>295</v>
      </c>
      <c r="C40" s="47"/>
      <c r="D40" s="105">
        <v>80.400000000000006</v>
      </c>
      <c r="E40" s="59"/>
      <c r="F40" s="110">
        <v>125.16</v>
      </c>
      <c r="G40" s="473"/>
      <c r="H40" s="474"/>
      <c r="I40" s="114">
        <v>47.4</v>
      </c>
      <c r="J40" s="26">
        <f t="shared" si="0"/>
        <v>0</v>
      </c>
      <c r="K40" s="475">
        <f>D40+F40+I40</f>
        <v>252.96</v>
      </c>
      <c r="L40" s="476"/>
    </row>
    <row r="41" spans="1:16" ht="17.25" customHeight="1" x14ac:dyDescent="0.2">
      <c r="B41" s="15" t="s">
        <v>273</v>
      </c>
      <c r="C41" s="16">
        <f>SUM(C25:C40)</f>
        <v>23</v>
      </c>
      <c r="D41" s="106">
        <f>SUM(D25:D40)</f>
        <v>388.4</v>
      </c>
      <c r="E41" s="16">
        <f>SUM(E25:E40)</f>
        <v>26</v>
      </c>
      <c r="F41" s="106">
        <f>SUM(F25:F40)</f>
        <v>497.15999999999997</v>
      </c>
      <c r="G41" s="430">
        <f>SUM(G25:H40)</f>
        <v>23</v>
      </c>
      <c r="H41" s="430"/>
      <c r="I41" s="106">
        <f>SUM(I25:I40)</f>
        <v>635.4</v>
      </c>
      <c r="J41" s="16">
        <f>SUM(J25:J40)</f>
        <v>72</v>
      </c>
      <c r="K41" s="477">
        <f>SUM(K25:L40)</f>
        <v>1520.96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/>
      <c r="D45" s="210"/>
      <c r="E45" s="209"/>
      <c r="F45" s="210"/>
      <c r="G45" s="471"/>
      <c r="H45" s="472"/>
      <c r="I45" s="210"/>
      <c r="J45" s="209">
        <v>0.3</v>
      </c>
      <c r="K45" s="209">
        <v>0.1</v>
      </c>
      <c r="L45" s="210"/>
      <c r="M45" s="211"/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15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/>
      <c r="D48" s="209"/>
      <c r="E48" s="209"/>
      <c r="F48" s="209">
        <v>0.5</v>
      </c>
      <c r="G48" s="442">
        <v>0.7</v>
      </c>
      <c r="H48" s="443"/>
      <c r="I48" s="209">
        <v>0.7</v>
      </c>
      <c r="J48" s="209">
        <v>0.1</v>
      </c>
      <c r="K48" s="209">
        <v>0</v>
      </c>
      <c r="L48" s="209">
        <v>0</v>
      </c>
      <c r="M48" s="211">
        <v>0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80</v>
      </c>
      <c r="G49" s="438">
        <f>G48*100</f>
        <v>70</v>
      </c>
      <c r="H49" s="439"/>
      <c r="I49" s="40">
        <f>I48*100</f>
        <v>70</v>
      </c>
      <c r="J49" s="40">
        <f>J48*150</f>
        <v>15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0.1</v>
      </c>
      <c r="D51" s="213">
        <v>0</v>
      </c>
      <c r="E51" s="213">
        <v>0</v>
      </c>
      <c r="F51" s="209"/>
      <c r="G51" s="442"/>
      <c r="H51" s="443"/>
      <c r="I51" s="209">
        <v>0</v>
      </c>
      <c r="J51" s="209">
        <v>0</v>
      </c>
      <c r="K51" s="209">
        <v>0.5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7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0</v>
      </c>
      <c r="K52" s="41"/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262</v>
      </c>
      <c r="F54" s="39" t="s">
        <v>309</v>
      </c>
      <c r="G54" s="188"/>
      <c r="H54" s="188"/>
      <c r="I54" s="30">
        <f>'11'!D54</f>
        <v>284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>
        <v>173900</v>
      </c>
      <c r="D58" s="60">
        <v>17130</v>
      </c>
      <c r="E58" s="124">
        <f>SUM(C58:D58)</f>
        <v>191030</v>
      </c>
      <c r="F58" s="425"/>
      <c r="G58" s="426"/>
      <c r="H58" s="60">
        <v>3834</v>
      </c>
      <c r="I58" s="61">
        <v>2327</v>
      </c>
      <c r="J58" s="422"/>
      <c r="K58" s="428"/>
      <c r="L58" s="60">
        <v>7000</v>
      </c>
      <c r="M58" s="61">
        <f>L58/3</f>
        <v>2333.3333333333335</v>
      </c>
      <c r="N58" s="288">
        <v>4.32</v>
      </c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117.87609527335556</v>
      </c>
      <c r="D59" s="432"/>
      <c r="E59" s="433"/>
      <c r="F59" s="434" t="s">
        <v>321</v>
      </c>
      <c r="G59" s="435"/>
      <c r="H59" s="436">
        <f>IF(ISERROR(SUM(H58:I58)/$H$19),"",(SUM(H58:I58)/$H$19))</f>
        <v>3.8016783907194869</v>
      </c>
      <c r="I59" s="437"/>
      <c r="J59" s="434" t="s">
        <v>322</v>
      </c>
      <c r="K59" s="435"/>
      <c r="L59" s="115">
        <f>IF(ISERROR(L58/$H$19),"",(L58/$H$19))</f>
        <v>4.3193878810317168</v>
      </c>
      <c r="M59" s="116">
        <f>IF(ISERROR(M58/$H$19),"",(M58/$H$19))</f>
        <v>1.4397959603439057</v>
      </c>
      <c r="N59" s="194">
        <f>N58*H19</f>
        <v>7000.9920000000002</v>
      </c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8.3333333333333259E-2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14</v>
      </c>
      <c r="C63" s="236" t="s">
        <v>22</v>
      </c>
      <c r="D63" s="236"/>
      <c r="E63" s="322"/>
      <c r="F63" s="324"/>
      <c r="G63" s="322"/>
      <c r="H63" s="323"/>
      <c r="I63" s="323"/>
      <c r="J63" s="324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322"/>
      <c r="F64" s="324"/>
      <c r="G64" s="322"/>
      <c r="H64" s="323"/>
      <c r="I64" s="323"/>
      <c r="J64" s="324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 t="s">
        <v>17</v>
      </c>
      <c r="C65" s="236" t="s">
        <v>25</v>
      </c>
      <c r="D65" s="236" t="s">
        <v>26</v>
      </c>
      <c r="E65" s="322" t="s">
        <v>108</v>
      </c>
      <c r="F65" s="324"/>
      <c r="G65" s="322" t="s">
        <v>790</v>
      </c>
      <c r="H65" s="323"/>
      <c r="I65" s="323"/>
      <c r="J65" s="324"/>
      <c r="K65" s="239">
        <v>0.625</v>
      </c>
      <c r="L65" s="239">
        <v>0.66666666666666663</v>
      </c>
      <c r="M65" s="236" t="s">
        <v>9</v>
      </c>
      <c r="N65" s="237">
        <f t="shared" si="2"/>
        <v>4.166666666666663E-2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29</v>
      </c>
      <c r="E66" s="322" t="s">
        <v>107</v>
      </c>
      <c r="F66" s="324"/>
      <c r="G66" s="322" t="s">
        <v>791</v>
      </c>
      <c r="H66" s="323"/>
      <c r="I66" s="323"/>
      <c r="J66" s="324"/>
      <c r="K66" s="239">
        <v>0.64583333333333337</v>
      </c>
      <c r="L66" s="239">
        <v>0.6875</v>
      </c>
      <c r="M66" s="236" t="s">
        <v>9</v>
      </c>
      <c r="N66" s="237">
        <f t="shared" si="2"/>
        <v>4.166666666666663E-2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322"/>
      <c r="F67" s="324"/>
      <c r="G67" s="322"/>
      <c r="H67" s="323"/>
      <c r="I67" s="323"/>
      <c r="J67" s="324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 t="s">
        <v>6</v>
      </c>
      <c r="C68" s="236" t="s">
        <v>28</v>
      </c>
      <c r="D68" s="236" t="s">
        <v>15</v>
      </c>
      <c r="E68" s="322"/>
      <c r="F68" s="324"/>
      <c r="G68" s="322" t="s">
        <v>792</v>
      </c>
      <c r="H68" s="323"/>
      <c r="I68" s="323"/>
      <c r="J68" s="324"/>
      <c r="K68" s="239">
        <v>0.25</v>
      </c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322"/>
      <c r="F69" s="324"/>
      <c r="G69" s="322"/>
      <c r="H69" s="323"/>
      <c r="I69" s="323"/>
      <c r="J69" s="324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322"/>
      <c r="F70" s="324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322"/>
      <c r="F71" s="324"/>
      <c r="G71" s="322"/>
      <c r="H71" s="323"/>
      <c r="I71" s="323"/>
      <c r="J71" s="324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322"/>
      <c r="F72" s="324"/>
      <c r="G72" s="322"/>
      <c r="H72" s="323"/>
      <c r="I72" s="323"/>
      <c r="J72" s="324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322"/>
      <c r="F73" s="324"/>
      <c r="G73" s="322"/>
      <c r="H73" s="323"/>
      <c r="I73" s="323"/>
      <c r="J73" s="324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322"/>
      <c r="F74" s="324"/>
      <c r="G74" s="322"/>
      <c r="H74" s="323"/>
      <c r="I74" s="323"/>
      <c r="J74" s="324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322"/>
      <c r="F75" s="324"/>
      <c r="G75" s="322"/>
      <c r="H75" s="323"/>
      <c r="I75" s="323"/>
      <c r="J75" s="324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322"/>
      <c r="F76" s="324"/>
      <c r="G76" s="322"/>
      <c r="H76" s="323"/>
      <c r="I76" s="323"/>
      <c r="J76" s="324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322"/>
      <c r="F77" s="324"/>
      <c r="G77" s="322"/>
      <c r="H77" s="323"/>
      <c r="I77" s="323"/>
      <c r="J77" s="324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/>
      <c r="H78" s="323"/>
      <c r="I78" s="323"/>
      <c r="J78" s="324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322"/>
      <c r="F79" s="324"/>
      <c r="G79" s="322"/>
      <c r="H79" s="323"/>
      <c r="I79" s="323"/>
      <c r="J79" s="324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322"/>
      <c r="F80" s="324"/>
      <c r="G80" s="322"/>
      <c r="H80" s="323"/>
      <c r="I80" s="323"/>
      <c r="J80" s="324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322"/>
      <c r="F81" s="324"/>
      <c r="G81" s="322"/>
      <c r="H81" s="323"/>
      <c r="I81" s="323"/>
      <c r="J81" s="324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322"/>
      <c r="F83" s="324"/>
      <c r="G83" s="322"/>
      <c r="H83" s="323"/>
      <c r="I83" s="323"/>
      <c r="J83" s="324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 t="s">
        <v>793</v>
      </c>
      <c r="D136" s="481"/>
      <c r="E136" s="463" t="s">
        <v>691</v>
      </c>
      <c r="F136" s="464"/>
      <c r="G136" s="452"/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347</v>
      </c>
      <c r="D137" s="479"/>
      <c r="E137" s="463"/>
      <c r="F137" s="464"/>
      <c r="G137" s="452" t="s">
        <v>395</v>
      </c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35"/>
      <c r="E143" s="335"/>
      <c r="F143" s="335"/>
      <c r="G143" s="336"/>
      <c r="H143" s="336"/>
      <c r="I143" s="336"/>
      <c r="J143" s="336"/>
      <c r="K143" s="336"/>
      <c r="L143" s="335"/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 t="s">
        <v>255</v>
      </c>
      <c r="C144" s="215">
        <v>10</v>
      </c>
      <c r="D144" s="335" t="s">
        <v>794</v>
      </c>
      <c r="E144" s="335"/>
      <c r="F144" s="335"/>
      <c r="G144" s="336" t="s">
        <v>367</v>
      </c>
      <c r="H144" s="336"/>
      <c r="I144" s="336"/>
      <c r="J144" s="336">
        <v>64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3</v>
      </c>
      <c r="D145" s="335" t="s">
        <v>795</v>
      </c>
      <c r="E145" s="335"/>
      <c r="F145" s="335"/>
      <c r="G145" s="336" t="s">
        <v>357</v>
      </c>
      <c r="H145" s="336"/>
      <c r="I145" s="336"/>
      <c r="J145" s="336">
        <v>68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17</v>
      </c>
      <c r="D146" s="335" t="s">
        <v>796</v>
      </c>
      <c r="E146" s="335"/>
      <c r="F146" s="335"/>
      <c r="G146" s="336" t="s">
        <v>361</v>
      </c>
      <c r="H146" s="336"/>
      <c r="I146" s="336"/>
      <c r="J146" s="336">
        <v>12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13</v>
      </c>
      <c r="D147" s="335" t="s">
        <v>797</v>
      </c>
      <c r="E147" s="335"/>
      <c r="F147" s="335"/>
      <c r="G147" s="336" t="s">
        <v>359</v>
      </c>
      <c r="H147" s="336"/>
      <c r="I147" s="336"/>
      <c r="J147" s="336">
        <v>23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3</v>
      </c>
      <c r="D148" s="335" t="s">
        <v>795</v>
      </c>
      <c r="E148" s="335"/>
      <c r="F148" s="335"/>
      <c r="G148" s="336" t="s">
        <v>363</v>
      </c>
      <c r="H148" s="336"/>
      <c r="I148" s="336"/>
      <c r="J148" s="336">
        <v>117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14</v>
      </c>
      <c r="D149" s="335" t="s">
        <v>798</v>
      </c>
      <c r="E149" s="335"/>
      <c r="F149" s="335"/>
      <c r="G149" s="336" t="s">
        <v>799</v>
      </c>
      <c r="H149" s="336"/>
      <c r="I149" s="336"/>
      <c r="J149" s="336">
        <v>21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35" t="s">
        <v>800</v>
      </c>
      <c r="E150" s="335"/>
      <c r="F150" s="335"/>
      <c r="G150" s="336" t="s">
        <v>801</v>
      </c>
      <c r="H150" s="336"/>
      <c r="I150" s="336"/>
      <c r="J150" s="336">
        <v>1342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10</v>
      </c>
      <c r="D151" s="335" t="s">
        <v>794</v>
      </c>
      <c r="E151" s="335"/>
      <c r="F151" s="335"/>
      <c r="G151" s="336" t="s">
        <v>367</v>
      </c>
      <c r="H151" s="336"/>
      <c r="I151" s="336"/>
      <c r="J151" s="336">
        <v>50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35"/>
      <c r="E152" s="335"/>
      <c r="F152" s="335"/>
      <c r="G152" s="336"/>
      <c r="H152" s="336"/>
      <c r="I152" s="336"/>
      <c r="J152" s="336"/>
      <c r="K152" s="336"/>
      <c r="L152" s="335"/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 t="s">
        <v>261</v>
      </c>
      <c r="C153" s="215">
        <v>3</v>
      </c>
      <c r="D153" s="335" t="s">
        <v>802</v>
      </c>
      <c r="E153" s="335"/>
      <c r="F153" s="335"/>
      <c r="G153" s="336" t="s">
        <v>357</v>
      </c>
      <c r="H153" s="336"/>
      <c r="I153" s="336"/>
      <c r="J153" s="336">
        <v>43</v>
      </c>
      <c r="K153" s="336"/>
      <c r="L153" s="335" t="s">
        <v>355</v>
      </c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9</v>
      </c>
      <c r="D154" s="335" t="s">
        <v>803</v>
      </c>
      <c r="E154" s="335"/>
      <c r="F154" s="335"/>
      <c r="G154" s="336" t="s">
        <v>367</v>
      </c>
      <c r="H154" s="336"/>
      <c r="I154" s="336"/>
      <c r="J154" s="336">
        <v>25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13</v>
      </c>
      <c r="D155" s="335" t="s">
        <v>804</v>
      </c>
      <c r="E155" s="335"/>
      <c r="F155" s="335"/>
      <c r="G155" s="336" t="s">
        <v>359</v>
      </c>
      <c r="H155" s="336"/>
      <c r="I155" s="336"/>
      <c r="J155" s="336">
        <v>27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18</v>
      </c>
      <c r="D156" s="335" t="s">
        <v>805</v>
      </c>
      <c r="E156" s="335"/>
      <c r="F156" s="335"/>
      <c r="G156" s="336" t="s">
        <v>359</v>
      </c>
      <c r="H156" s="336"/>
      <c r="I156" s="336"/>
      <c r="J156" s="336">
        <v>15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9</v>
      </c>
      <c r="D157" s="335" t="s">
        <v>802</v>
      </c>
      <c r="E157" s="335"/>
      <c r="F157" s="335"/>
      <c r="G157" s="336" t="s">
        <v>806</v>
      </c>
      <c r="H157" s="336"/>
      <c r="I157" s="336"/>
      <c r="J157" s="336" t="s">
        <v>807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13</v>
      </c>
      <c r="D158" s="335" t="s">
        <v>808</v>
      </c>
      <c r="E158" s="335"/>
      <c r="F158" s="335"/>
      <c r="G158" s="336" t="s">
        <v>809</v>
      </c>
      <c r="H158" s="336"/>
      <c r="I158" s="336"/>
      <c r="J158" s="336">
        <v>28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18</v>
      </c>
      <c r="D159" s="335" t="s">
        <v>810</v>
      </c>
      <c r="E159" s="335"/>
      <c r="F159" s="335"/>
      <c r="G159" s="336" t="s">
        <v>737</v>
      </c>
      <c r="H159" s="336"/>
      <c r="I159" s="336"/>
      <c r="J159" s="336">
        <v>16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35"/>
      <c r="E160" s="335"/>
      <c r="F160" s="335"/>
      <c r="G160" s="336"/>
      <c r="H160" s="336"/>
      <c r="I160" s="336"/>
      <c r="J160" s="336"/>
      <c r="K160" s="336"/>
      <c r="L160" s="335"/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 t="s">
        <v>267</v>
      </c>
      <c r="C161" s="215">
        <v>9</v>
      </c>
      <c r="D161" s="335" t="s">
        <v>811</v>
      </c>
      <c r="E161" s="335"/>
      <c r="F161" s="335"/>
      <c r="G161" s="336" t="s">
        <v>367</v>
      </c>
      <c r="H161" s="336"/>
      <c r="I161" s="336"/>
      <c r="J161" s="336">
        <v>24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3</v>
      </c>
      <c r="D162" s="335" t="s">
        <v>812</v>
      </c>
      <c r="E162" s="335"/>
      <c r="F162" s="335"/>
      <c r="G162" s="336" t="s">
        <v>357</v>
      </c>
      <c r="H162" s="336"/>
      <c r="I162" s="336"/>
      <c r="J162" s="336">
        <v>15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18</v>
      </c>
      <c r="D163" s="335" t="s">
        <v>813</v>
      </c>
      <c r="E163" s="335"/>
      <c r="F163" s="335"/>
      <c r="G163" s="336" t="s">
        <v>737</v>
      </c>
      <c r="H163" s="336"/>
      <c r="I163" s="336"/>
      <c r="J163" s="336">
        <v>12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13</v>
      </c>
      <c r="D164" s="335" t="s">
        <v>814</v>
      </c>
      <c r="E164" s="335"/>
      <c r="F164" s="335"/>
      <c r="G164" s="336" t="s">
        <v>359</v>
      </c>
      <c r="H164" s="336"/>
      <c r="I164" s="336"/>
      <c r="J164" s="336">
        <v>40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17</v>
      </c>
      <c r="D165" s="335" t="s">
        <v>815</v>
      </c>
      <c r="E165" s="335"/>
      <c r="F165" s="335"/>
      <c r="G165" s="336" t="s">
        <v>361</v>
      </c>
      <c r="H165" s="336"/>
      <c r="I165" s="336"/>
      <c r="J165" s="336">
        <v>10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18</v>
      </c>
      <c r="D166" s="335" t="s">
        <v>813</v>
      </c>
      <c r="E166" s="335"/>
      <c r="F166" s="335"/>
      <c r="G166" s="336" t="s">
        <v>357</v>
      </c>
      <c r="H166" s="336"/>
      <c r="I166" s="336"/>
      <c r="J166" s="336">
        <v>13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>
        <v>12</v>
      </c>
      <c r="D167" s="335" t="s">
        <v>816</v>
      </c>
      <c r="E167" s="335"/>
      <c r="F167" s="335"/>
      <c r="G167" s="336" t="s">
        <v>372</v>
      </c>
      <c r="H167" s="336"/>
      <c r="I167" s="336"/>
      <c r="J167" s="336">
        <v>50</v>
      </c>
      <c r="K167" s="336"/>
      <c r="L167" s="335" t="s">
        <v>355</v>
      </c>
      <c r="M167" s="335"/>
    </row>
    <row r="168" spans="1:18" ht="14.25" x14ac:dyDescent="0.2">
      <c r="B168" s="216"/>
      <c r="C168" s="215"/>
      <c r="D168" s="335"/>
      <c r="E168" s="335"/>
      <c r="F168" s="335"/>
      <c r="G168" s="336"/>
      <c r="H168" s="336"/>
      <c r="I168" s="336"/>
      <c r="J168" s="336"/>
      <c r="K168" s="336"/>
      <c r="L168" s="335"/>
      <c r="M168" s="335"/>
    </row>
    <row r="169" spans="1:18" ht="14.25" x14ac:dyDescent="0.2">
      <c r="B169" s="216"/>
      <c r="C169" s="215"/>
      <c r="D169" s="335"/>
      <c r="E169" s="335"/>
      <c r="F169" s="335"/>
      <c r="G169" s="336"/>
      <c r="H169" s="336"/>
      <c r="I169" s="336"/>
      <c r="J169" s="336"/>
      <c r="K169" s="336"/>
      <c r="L169" s="335"/>
      <c r="M169" s="335"/>
    </row>
    <row r="170" spans="1:18" ht="14.25" x14ac:dyDescent="0.2">
      <c r="B170" s="216"/>
      <c r="C170" s="215"/>
      <c r="D170" s="335"/>
      <c r="E170" s="335"/>
      <c r="F170" s="335"/>
      <c r="G170" s="336"/>
      <c r="H170" s="336"/>
      <c r="I170" s="336"/>
      <c r="J170" s="336"/>
      <c r="K170" s="336"/>
      <c r="L170" s="335"/>
      <c r="M170" s="335"/>
    </row>
    <row r="171" spans="1:18" ht="14.25" x14ac:dyDescent="0.2">
      <c r="B171" s="216"/>
      <c r="C171" s="215"/>
      <c r="D171" s="337"/>
      <c r="E171" s="338"/>
      <c r="F171" s="339"/>
      <c r="G171" s="336"/>
      <c r="H171" s="336"/>
      <c r="I171" s="336"/>
      <c r="J171" s="336"/>
      <c r="K171" s="336"/>
      <c r="L171" s="335"/>
      <c r="M171" s="335"/>
    </row>
    <row r="172" spans="1:18" ht="14.25" x14ac:dyDescent="0.2">
      <c r="B172" s="216"/>
      <c r="C172" s="215"/>
      <c r="D172" s="335"/>
      <c r="E172" s="335"/>
      <c r="F172" s="335"/>
      <c r="G172" s="336"/>
      <c r="H172" s="336"/>
      <c r="I172" s="336"/>
      <c r="J172" s="336"/>
      <c r="K172" s="336"/>
      <c r="L172" s="335"/>
      <c r="M172" s="335"/>
    </row>
    <row r="173" spans="1:18" ht="14.25" x14ac:dyDescent="0.2">
      <c r="B173" s="216"/>
      <c r="C173" s="215"/>
      <c r="D173" s="335"/>
      <c r="E173" s="335"/>
      <c r="F173" s="335"/>
      <c r="G173" s="336"/>
      <c r="H173" s="336"/>
      <c r="I173" s="336"/>
      <c r="J173" s="336"/>
      <c r="K173" s="336"/>
      <c r="L173" s="335"/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66028BFB-F7B2-48E7-8648-0EB933B2E7AE}">
      <formula1>INDIRECT(D63)</formula1>
    </dataValidation>
  </dataValidations>
  <hyperlinks>
    <hyperlink ref="J14:L15" location="Summary!A1" display="MTD Summary " xr:uid="{B0B1F230-515F-4D5D-B0A6-5D26A66B23C1}"/>
    <hyperlink ref="J16:L17" location="Graph!A1" display="MTD Trendings" xr:uid="{3565B55F-8FBC-42F5-BBB1-6C36A8E5517A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6B6B612-06B2-4A2C-873F-E107F3172688}">
          <x14:formula1>
            <xm:f>List!$C$5:$C$14</xm:f>
          </x14:formula1>
          <xm:sqref>D63:D131</xm:sqref>
        </x14:dataValidation>
        <x14:dataValidation type="list" allowBlank="1" showInputMessage="1" showErrorMessage="1" xr:uid="{AEFFA150-CA0E-425A-831D-84133A304B14}">
          <x14:formula1>
            <xm:f>List!$B$10:$B$12</xm:f>
          </x14:formula1>
          <xm:sqref>C63:C131</xm:sqref>
        </x14:dataValidation>
        <x14:dataValidation type="list" allowBlank="1" showInputMessage="1" showErrorMessage="1" xr:uid="{5A24BBA6-032E-4C7E-A325-6EC6CFC0DB19}">
          <x14:formula1>
            <xm:f>List!$B$5:$B$8</xm:f>
          </x14:formula1>
          <xm:sqref>B63:B131</xm:sqref>
        </x14:dataValidation>
        <x14:dataValidation type="list" allowBlank="1" showInputMessage="1" showErrorMessage="1" xr:uid="{8BEB3ACC-021D-4113-9B50-2A037538F70A}">
          <x14:formula1>
            <xm:f>Sheet3!$C$3:$C$4</xm:f>
          </x14:formula1>
          <xm:sqref>M63:M132</xm:sqref>
        </x14:dataValidation>
        <x14:dataValidation type="list" allowBlank="1" showInputMessage="1" xr:uid="{BB67671A-667C-4B63-BFDD-BB83904CB554}">
          <x14:formula1>
            <xm:f>Sheet3!$D$3:$D$11</xm:f>
          </x14:formula1>
          <xm:sqref>C132</xm:sqref>
        </x14:dataValidation>
        <x14:dataValidation type="list" allowBlank="1" showInputMessage="1" showErrorMessage="1" xr:uid="{B04044B4-AE83-424C-8EF6-415E28A50174}">
          <x14:formula1>
            <xm:f>Sheet3!$B$3:$B$5</xm:f>
          </x14:formula1>
          <xm:sqref>B143:B165 B132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A2ED-5DDE-4BAE-942F-10578F767FA6}">
  <sheetPr>
    <pageSetUpPr fitToPage="1"/>
  </sheetPr>
  <dimension ref="A1:R188"/>
  <sheetViews>
    <sheetView showGridLines="0" view="pageBreakPreview" topLeftCell="B4" zoomScale="80" zoomScaleNormal="90" zoomScaleSheetLayoutView="80" zoomScalePageLayoutView="80" workbookViewId="0">
      <selection activeCell="P28" sqref="P28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13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1750.55</v>
      </c>
      <c r="K6" s="420"/>
      <c r="L6" s="420">
        <f ca="1">Summary!G20</f>
        <v>1492.2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130</v>
      </c>
      <c r="E7" s="84">
        <v>60</v>
      </c>
      <c r="F7" s="395">
        <v>50</v>
      </c>
      <c r="G7" s="396"/>
      <c r="H7" s="374">
        <f>SUM(D7:D10)</f>
        <v>580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150</v>
      </c>
      <c r="E8" s="86">
        <v>60</v>
      </c>
      <c r="F8" s="397">
        <v>50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160</v>
      </c>
      <c r="E9" s="86">
        <v>60</v>
      </c>
      <c r="F9" s="397">
        <v>50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140</v>
      </c>
      <c r="E10" s="88">
        <v>60</v>
      </c>
      <c r="F10" s="399">
        <v>50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130</v>
      </c>
      <c r="E11" s="90">
        <v>60</v>
      </c>
      <c r="F11" s="386">
        <v>50</v>
      </c>
      <c r="G11" s="387"/>
      <c r="H11" s="388">
        <f>SUM(D11:D14)</f>
        <v>600.33000000000004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160</v>
      </c>
      <c r="E12" s="92">
        <v>60</v>
      </c>
      <c r="F12" s="391">
        <v>50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170</v>
      </c>
      <c r="E13" s="92">
        <v>60</v>
      </c>
      <c r="F13" s="391">
        <v>50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140.33000000000001</v>
      </c>
      <c r="E14" s="94">
        <v>60</v>
      </c>
      <c r="F14" s="393">
        <v>50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130</v>
      </c>
      <c r="E15" s="96">
        <v>60</v>
      </c>
      <c r="F15" s="372">
        <v>60</v>
      </c>
      <c r="G15" s="373"/>
      <c r="H15" s="374">
        <f>SUM(D15:D18)</f>
        <v>570.22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120</v>
      </c>
      <c r="E16" s="98">
        <v>60</v>
      </c>
      <c r="F16" s="401">
        <v>60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150</v>
      </c>
      <c r="E17" s="98">
        <v>60</v>
      </c>
      <c r="F17" s="401">
        <v>60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170.22</v>
      </c>
      <c r="E18" s="100">
        <v>60</v>
      </c>
      <c r="F18" s="404">
        <v>60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1750.55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6</v>
      </c>
      <c r="D25" s="102">
        <v>125</v>
      </c>
      <c r="E25" s="56">
        <v>6</v>
      </c>
      <c r="F25" s="107">
        <v>109</v>
      </c>
      <c r="G25" s="410">
        <v>8</v>
      </c>
      <c r="H25" s="411"/>
      <c r="I25" s="111">
        <v>100</v>
      </c>
      <c r="J25" s="38">
        <f t="shared" ref="J25:J40" si="0">C25+E25+G25</f>
        <v>20</v>
      </c>
      <c r="K25" s="412">
        <f>D25+F25+I25</f>
        <v>334</v>
      </c>
      <c r="L25" s="413"/>
      <c r="M25" s="2"/>
    </row>
    <row r="26" spans="2:14" ht="14.1" customHeight="1" x14ac:dyDescent="0.2">
      <c r="B26" s="80" t="s">
        <v>281</v>
      </c>
      <c r="C26" s="45">
        <v>6</v>
      </c>
      <c r="D26" s="103">
        <v>66</v>
      </c>
      <c r="E26" s="57">
        <v>6</v>
      </c>
      <c r="F26" s="108">
        <v>62</v>
      </c>
      <c r="G26" s="406">
        <v>5</v>
      </c>
      <c r="H26" s="407"/>
      <c r="I26" s="112">
        <v>114</v>
      </c>
      <c r="J26" s="25">
        <f t="shared" si="0"/>
        <v>17</v>
      </c>
      <c r="K26" s="408">
        <f t="shared" ref="K26:K39" si="1">D26+F26+I26</f>
        <v>242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116</v>
      </c>
      <c r="E27" s="57"/>
      <c r="F27" s="108">
        <v>104</v>
      </c>
      <c r="G27" s="406"/>
      <c r="H27" s="407"/>
      <c r="I27" s="112">
        <v>262</v>
      </c>
      <c r="J27" s="25">
        <f t="shared" si="0"/>
        <v>0</v>
      </c>
      <c r="K27" s="408">
        <f t="shared" si="1"/>
        <v>482</v>
      </c>
      <c r="L27" s="409"/>
      <c r="M27" s="2"/>
    </row>
    <row r="28" spans="2:14" ht="14.1" customHeight="1" x14ac:dyDescent="0.2">
      <c r="B28" s="80" t="s">
        <v>283</v>
      </c>
      <c r="C28" s="45">
        <v>5</v>
      </c>
      <c r="D28" s="103"/>
      <c r="E28" s="57">
        <v>6</v>
      </c>
      <c r="F28" s="108"/>
      <c r="G28" s="406">
        <v>3</v>
      </c>
      <c r="H28" s="407"/>
      <c r="I28" s="112"/>
      <c r="J28" s="25">
        <f>C28+E28+G28</f>
        <v>14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5</v>
      </c>
      <c r="D29" s="103"/>
      <c r="E29" s="57">
        <v>3</v>
      </c>
      <c r="F29" s="108"/>
      <c r="G29" s="406">
        <v>4</v>
      </c>
      <c r="H29" s="407"/>
      <c r="I29" s="112"/>
      <c r="J29" s="25">
        <f>C29+E29+G29</f>
        <v>12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/>
      <c r="D30" s="103">
        <v>24</v>
      </c>
      <c r="E30" s="57"/>
      <c r="F30" s="108"/>
      <c r="G30" s="406">
        <v>1</v>
      </c>
      <c r="H30" s="407"/>
      <c r="I30" s="112"/>
      <c r="J30" s="25">
        <f t="shared" si="0"/>
        <v>1</v>
      </c>
      <c r="K30" s="408">
        <f t="shared" si="1"/>
        <v>24</v>
      </c>
      <c r="L30" s="409"/>
    </row>
    <row r="31" spans="2:14" ht="14.1" customHeight="1" x14ac:dyDescent="0.2">
      <c r="B31" s="80" t="s">
        <v>286</v>
      </c>
      <c r="C31" s="45">
        <v>2</v>
      </c>
      <c r="D31" s="103"/>
      <c r="E31" s="57">
        <v>4</v>
      </c>
      <c r="F31" s="108"/>
      <c r="G31" s="406">
        <v>2</v>
      </c>
      <c r="H31" s="407"/>
      <c r="I31" s="112"/>
      <c r="J31" s="25">
        <f t="shared" si="0"/>
        <v>8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1</v>
      </c>
      <c r="F32" s="108"/>
      <c r="G32" s="406">
        <v>1</v>
      </c>
      <c r="H32" s="407"/>
      <c r="I32" s="112"/>
      <c r="J32" s="25">
        <f t="shared" si="0"/>
        <v>3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/>
      <c r="G33" s="406"/>
      <c r="H33" s="407"/>
      <c r="I33" s="112"/>
      <c r="J33" s="25">
        <f t="shared" si="0"/>
        <v>0</v>
      </c>
      <c r="K33" s="408">
        <f t="shared" si="1"/>
        <v>0</v>
      </c>
      <c r="L33" s="409"/>
    </row>
    <row r="34" spans="1:16" ht="14.1" customHeight="1" x14ac:dyDescent="0.2">
      <c r="B34" s="80" t="s">
        <v>289</v>
      </c>
      <c r="C34" s="45"/>
      <c r="D34" s="103"/>
      <c r="E34" s="57">
        <v>1</v>
      </c>
      <c r="F34" s="108"/>
      <c r="G34" s="406"/>
      <c r="H34" s="407"/>
      <c r="I34" s="112"/>
      <c r="J34" s="25">
        <f t="shared" si="0"/>
        <v>1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>
        <v>28</v>
      </c>
      <c r="E36" s="58"/>
      <c r="F36" s="109"/>
      <c r="G36" s="406"/>
      <c r="H36" s="407"/>
      <c r="I36" s="113"/>
      <c r="J36" s="25">
        <f t="shared" si="0"/>
        <v>0</v>
      </c>
      <c r="K36" s="408">
        <f t="shared" si="1"/>
        <v>28</v>
      </c>
      <c r="L36" s="409"/>
    </row>
    <row r="37" spans="1:16" ht="14.1" customHeight="1" x14ac:dyDescent="0.2">
      <c r="B37" s="37" t="s">
        <v>292</v>
      </c>
      <c r="C37" s="55"/>
      <c r="D37" s="104"/>
      <c r="E37" s="58"/>
      <c r="F37" s="109"/>
      <c r="G37" s="406"/>
      <c r="H37" s="407"/>
      <c r="I37" s="113"/>
      <c r="J37" s="25">
        <f t="shared" si="0"/>
        <v>0</v>
      </c>
      <c r="K37" s="408">
        <f t="shared" si="1"/>
        <v>0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/>
      <c r="J38" s="25">
        <f t="shared" si="0"/>
        <v>0</v>
      </c>
      <c r="K38" s="408">
        <f t="shared" si="1"/>
        <v>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150</v>
      </c>
      <c r="J39" s="25">
        <f t="shared" si="0"/>
        <v>0</v>
      </c>
      <c r="K39" s="408">
        <f t="shared" si="1"/>
        <v>150</v>
      </c>
      <c r="L39" s="409"/>
    </row>
    <row r="40" spans="1:16" ht="14.1" customHeight="1" thickBot="1" x14ac:dyDescent="0.25">
      <c r="B40" s="81" t="s">
        <v>295</v>
      </c>
      <c r="C40" s="47"/>
      <c r="D40" s="105">
        <v>85.2</v>
      </c>
      <c r="E40" s="59"/>
      <c r="F40" s="110">
        <v>140.76</v>
      </c>
      <c r="G40" s="473"/>
      <c r="H40" s="474"/>
      <c r="I40" s="114">
        <v>69.239999999999995</v>
      </c>
      <c r="J40" s="26">
        <f t="shared" si="0"/>
        <v>0</v>
      </c>
      <c r="K40" s="475">
        <f>D40+F40+I40</f>
        <v>295.2</v>
      </c>
      <c r="L40" s="476"/>
    </row>
    <row r="41" spans="1:16" ht="17.25" customHeight="1" x14ac:dyDescent="0.2">
      <c r="B41" s="15" t="s">
        <v>273</v>
      </c>
      <c r="C41" s="16">
        <f>SUM(C25:C40)</f>
        <v>25</v>
      </c>
      <c r="D41" s="106">
        <f>SUM(D25:D40)</f>
        <v>444.2</v>
      </c>
      <c r="E41" s="16">
        <f>SUM(E25:E40)</f>
        <v>27</v>
      </c>
      <c r="F41" s="106">
        <f>SUM(F25:F40)</f>
        <v>415.76</v>
      </c>
      <c r="G41" s="430">
        <f>SUM(G25:H40)</f>
        <v>24</v>
      </c>
      <c r="H41" s="430"/>
      <c r="I41" s="106">
        <f>SUM(I25:I40)</f>
        <v>695.24</v>
      </c>
      <c r="J41" s="16">
        <f>SUM(J25:J40)</f>
        <v>76</v>
      </c>
      <c r="K41" s="477">
        <f>SUM(K25:L40)</f>
        <v>1555.2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>
        <v>0</v>
      </c>
      <c r="D45" s="210"/>
      <c r="E45" s="209">
        <v>0.05</v>
      </c>
      <c r="F45" s="210"/>
      <c r="G45" s="471">
        <v>0</v>
      </c>
      <c r="H45" s="472"/>
      <c r="I45" s="210">
        <v>0</v>
      </c>
      <c r="J45" s="210">
        <v>0.5</v>
      </c>
      <c r="K45" s="209">
        <v>0.1</v>
      </c>
      <c r="L45" s="210">
        <v>0.05</v>
      </c>
      <c r="M45" s="211">
        <v>0.2</v>
      </c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2.5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25</v>
      </c>
      <c r="K46" s="40">
        <f>K45*50</f>
        <v>5</v>
      </c>
      <c r="L46" s="40">
        <f>L45*50</f>
        <v>2.5</v>
      </c>
      <c r="M46" s="79">
        <f>M45*50</f>
        <v>10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>
        <v>0</v>
      </c>
      <c r="D48" s="209">
        <v>0</v>
      </c>
      <c r="E48" s="209"/>
      <c r="F48" s="209">
        <v>0.2</v>
      </c>
      <c r="G48" s="442">
        <v>1</v>
      </c>
      <c r="H48" s="443"/>
      <c r="I48" s="209">
        <v>0.6</v>
      </c>
      <c r="J48" s="209">
        <v>0</v>
      </c>
      <c r="K48" s="209">
        <v>0.1</v>
      </c>
      <c r="L48" s="209">
        <v>1</v>
      </c>
      <c r="M48" s="211">
        <v>0.3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438">
        <f>G48*100</f>
        <v>100</v>
      </c>
      <c r="H49" s="439"/>
      <c r="I49" s="40">
        <f>I48*100</f>
        <v>60</v>
      </c>
      <c r="J49" s="40">
        <f>J48*150</f>
        <v>0</v>
      </c>
      <c r="K49" s="40">
        <f>K48*70</f>
        <v>7</v>
      </c>
      <c r="L49" s="40">
        <f>L48*70</f>
        <v>70</v>
      </c>
      <c r="M49" s="79">
        <f>M48*70</f>
        <v>21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0.4</v>
      </c>
      <c r="D51" s="213">
        <v>0</v>
      </c>
      <c r="E51" s="214">
        <v>0</v>
      </c>
      <c r="F51" s="209"/>
      <c r="G51" s="442"/>
      <c r="H51" s="443"/>
      <c r="I51" s="209">
        <v>0</v>
      </c>
      <c r="J51" s="209">
        <v>0.02</v>
      </c>
      <c r="K51" s="209">
        <v>0.49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28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5</v>
      </c>
      <c r="K52" s="41">
        <f>K51*250</f>
        <v>122.5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490.5</v>
      </c>
      <c r="F54" s="39" t="s">
        <v>309</v>
      </c>
      <c r="G54" s="188"/>
      <c r="H54" s="188"/>
      <c r="I54" s="30">
        <f>'12'!D54</f>
        <v>262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>
        <v>174300</v>
      </c>
      <c r="D58" s="60">
        <v>17660</v>
      </c>
      <c r="E58" s="124">
        <f>SUM(C58:D58)</f>
        <v>191960</v>
      </c>
      <c r="F58" s="425"/>
      <c r="G58" s="426"/>
      <c r="H58" s="60">
        <v>3986</v>
      </c>
      <c r="I58" s="61">
        <v>2254</v>
      </c>
      <c r="J58" s="422"/>
      <c r="K58" s="428"/>
      <c r="L58" s="60">
        <v>6512.05</v>
      </c>
      <c r="M58" s="61">
        <f>L58/3</f>
        <v>2170.6833333333334</v>
      </c>
      <c r="N58" s="288">
        <v>3.72</v>
      </c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109.65696495387164</v>
      </c>
      <c r="D59" s="432"/>
      <c r="E59" s="433"/>
      <c r="F59" s="434" t="s">
        <v>321</v>
      </c>
      <c r="G59" s="435"/>
      <c r="H59" s="436">
        <f>IF(ISERROR(SUM(H58:I58)/$H$19),"",(SUM(H58:I58)/$H$19))</f>
        <v>3.5645939847476509</v>
      </c>
      <c r="I59" s="437"/>
      <c r="J59" s="434" t="s">
        <v>322</v>
      </c>
      <c r="K59" s="435"/>
      <c r="L59" s="115">
        <f>IF(ISERROR(L58/$H$19),"",(L58/$H$19))</f>
        <v>3.720002284996144</v>
      </c>
      <c r="M59" s="116">
        <f>IF(ISERROR(M58/$H$19),"",(M58/$H$19))</f>
        <v>1.2400007616653814</v>
      </c>
      <c r="N59" s="194">
        <f>N58*H19</f>
        <v>6512.0460000000003</v>
      </c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9.027777777777779E-2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14</v>
      </c>
      <c r="C63" s="236" t="s">
        <v>22</v>
      </c>
      <c r="D63" s="236" t="s">
        <v>23</v>
      </c>
      <c r="E63" s="322" t="s">
        <v>107</v>
      </c>
      <c r="F63" s="324"/>
      <c r="G63" s="322" t="s">
        <v>817</v>
      </c>
      <c r="H63" s="323"/>
      <c r="I63" s="323"/>
      <c r="J63" s="324"/>
      <c r="K63" s="238">
        <v>0.28472222222222221</v>
      </c>
      <c r="L63" s="238">
        <v>0.3263888888888889</v>
      </c>
      <c r="M63" s="236" t="s">
        <v>9</v>
      </c>
      <c r="N63" s="237">
        <f t="shared" ref="N63:N126" si="2">IF(M63="No","",IF(M63="Yes",(L63-K63+(L63&lt;K63)),""))</f>
        <v>4.1666666666666685E-2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23</v>
      </c>
      <c r="E64" s="322" t="s">
        <v>108</v>
      </c>
      <c r="F64" s="324"/>
      <c r="G64" s="322" t="s">
        <v>331</v>
      </c>
      <c r="H64" s="323"/>
      <c r="I64" s="323"/>
      <c r="J64" s="324"/>
      <c r="K64" s="238">
        <v>0.29166666666666669</v>
      </c>
      <c r="L64" s="238">
        <v>0.31944444444444448</v>
      </c>
      <c r="M64" s="236" t="s">
        <v>9</v>
      </c>
      <c r="N64" s="237">
        <f t="shared" si="2"/>
        <v>2.777777777777779E-2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26</v>
      </c>
      <c r="E65" s="322"/>
      <c r="F65" s="324"/>
      <c r="G65" s="322" t="s">
        <v>818</v>
      </c>
      <c r="H65" s="323"/>
      <c r="I65" s="323"/>
      <c r="J65" s="324"/>
      <c r="K65" s="239">
        <v>0.34722222222222227</v>
      </c>
      <c r="L65" s="239">
        <v>0.36805555555555558</v>
      </c>
      <c r="M65" s="236" t="s">
        <v>9</v>
      </c>
      <c r="N65" s="237">
        <f t="shared" si="2"/>
        <v>2.0833333333333315E-2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322"/>
      <c r="F66" s="324"/>
      <c r="G66" s="322"/>
      <c r="H66" s="323"/>
      <c r="I66" s="323"/>
      <c r="J66" s="324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 t="s">
        <v>17</v>
      </c>
      <c r="C67" s="236" t="s">
        <v>25</v>
      </c>
      <c r="D67" s="236" t="s">
        <v>20</v>
      </c>
      <c r="E67" s="322" t="s">
        <v>108</v>
      </c>
      <c r="F67" s="324" t="s">
        <v>108</v>
      </c>
      <c r="G67" s="322" t="s">
        <v>528</v>
      </c>
      <c r="H67" s="323"/>
      <c r="I67" s="323"/>
      <c r="J67" s="324"/>
      <c r="K67" s="238">
        <v>0.60416666666666663</v>
      </c>
      <c r="L67" s="238">
        <v>0.64583333333333337</v>
      </c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322"/>
      <c r="F68" s="324"/>
      <c r="G68" s="322"/>
      <c r="H68" s="323"/>
      <c r="I68" s="323"/>
      <c r="J68" s="324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322"/>
      <c r="F69" s="324"/>
      <c r="G69" s="322"/>
      <c r="H69" s="323"/>
      <c r="I69" s="323"/>
      <c r="J69" s="324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 t="s">
        <v>10</v>
      </c>
      <c r="C70" s="236" t="s">
        <v>28</v>
      </c>
      <c r="D70" s="236" t="s">
        <v>15</v>
      </c>
      <c r="E70" s="322"/>
      <c r="F70" s="324"/>
      <c r="H70" t="s">
        <v>819</v>
      </c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322"/>
      <c r="F71" s="324"/>
      <c r="G71" s="322" t="s">
        <v>820</v>
      </c>
      <c r="H71" s="323"/>
      <c r="I71" s="323"/>
      <c r="J71" s="324"/>
      <c r="K71" s="239">
        <v>0.125</v>
      </c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322"/>
      <c r="F72" s="324"/>
      <c r="G72" s="322" t="s">
        <v>821</v>
      </c>
      <c r="H72" s="323"/>
      <c r="I72" s="323"/>
      <c r="J72" s="324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322"/>
      <c r="F73" s="324"/>
      <c r="G73" s="322"/>
      <c r="H73" s="323"/>
      <c r="I73" s="323"/>
      <c r="J73" s="324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322"/>
      <c r="F74" s="324"/>
      <c r="G74" s="322"/>
      <c r="H74" s="323"/>
      <c r="I74" s="323"/>
      <c r="J74" s="324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322"/>
      <c r="F75" s="324"/>
      <c r="G75" s="322"/>
      <c r="H75" s="323"/>
      <c r="I75" s="323"/>
      <c r="J75" s="324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322"/>
      <c r="F76" s="324"/>
      <c r="G76" s="322"/>
      <c r="H76" s="323"/>
      <c r="I76" s="323"/>
      <c r="J76" s="324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322"/>
      <c r="F77" s="324"/>
      <c r="G77" s="322"/>
      <c r="H77" s="323"/>
      <c r="I77" s="323"/>
      <c r="J77" s="324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/>
      <c r="H78" s="323"/>
      <c r="I78" s="323"/>
      <c r="J78" s="324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322"/>
      <c r="F79" s="324"/>
      <c r="G79" s="322"/>
      <c r="H79" s="323"/>
      <c r="I79" s="323"/>
      <c r="J79" s="324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322"/>
      <c r="F80" s="324"/>
      <c r="G80" s="322"/>
      <c r="H80" s="323"/>
      <c r="I80" s="323"/>
      <c r="J80" s="324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322"/>
      <c r="F81" s="324"/>
      <c r="G81" s="322"/>
      <c r="H81" s="323"/>
      <c r="I81" s="323"/>
      <c r="J81" s="324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322"/>
      <c r="F83" s="324"/>
      <c r="G83" s="322"/>
      <c r="H83" s="323"/>
      <c r="I83" s="323"/>
      <c r="J83" s="324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 t="s">
        <v>793</v>
      </c>
      <c r="D136" s="481"/>
      <c r="E136" s="463" t="s">
        <v>691</v>
      </c>
      <c r="F136" s="464"/>
      <c r="G136" s="452"/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347</v>
      </c>
      <c r="D137" s="479"/>
      <c r="E137" s="463" t="s">
        <v>822</v>
      </c>
      <c r="F137" s="464"/>
      <c r="G137" s="452" t="s">
        <v>607</v>
      </c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35"/>
      <c r="E143" s="335"/>
      <c r="F143" s="335"/>
      <c r="G143" s="336"/>
      <c r="H143" s="336"/>
      <c r="I143" s="336"/>
      <c r="J143" s="336"/>
      <c r="K143" s="336"/>
      <c r="L143" s="335"/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 t="s">
        <v>255</v>
      </c>
      <c r="C144" s="215">
        <v>13</v>
      </c>
      <c r="D144" s="335" t="s">
        <v>823</v>
      </c>
      <c r="E144" s="335"/>
      <c r="F144" s="335"/>
      <c r="G144" s="336" t="s">
        <v>824</v>
      </c>
      <c r="H144" s="336"/>
      <c r="I144" s="336"/>
      <c r="J144" s="336">
        <v>25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3</v>
      </c>
      <c r="D145" s="335" t="s">
        <v>825</v>
      </c>
      <c r="E145" s="335"/>
      <c r="F145" s="335"/>
      <c r="G145" s="336" t="s">
        <v>357</v>
      </c>
      <c r="H145" s="336"/>
      <c r="I145" s="336"/>
      <c r="J145" s="336">
        <v>50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9</v>
      </c>
      <c r="D146" s="335" t="s">
        <v>823</v>
      </c>
      <c r="E146" s="335"/>
      <c r="F146" s="335"/>
      <c r="G146" s="336" t="s">
        <v>502</v>
      </c>
      <c r="H146" s="336"/>
      <c r="I146" s="336"/>
      <c r="J146" s="336">
        <v>21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/>
      <c r="D147" s="335" t="s">
        <v>826</v>
      </c>
      <c r="E147" s="335"/>
      <c r="F147" s="335"/>
      <c r="G147" s="336" t="s">
        <v>630</v>
      </c>
      <c r="H147" s="336"/>
      <c r="I147" s="336"/>
      <c r="J147" s="336">
        <v>3208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19</v>
      </c>
      <c r="D148" s="335" t="s">
        <v>827</v>
      </c>
      <c r="E148" s="335"/>
      <c r="F148" s="335"/>
      <c r="G148" s="336" t="s">
        <v>361</v>
      </c>
      <c r="H148" s="336"/>
      <c r="I148" s="336"/>
      <c r="J148" s="336">
        <v>14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18</v>
      </c>
      <c r="D149" s="335" t="s">
        <v>828</v>
      </c>
      <c r="E149" s="335"/>
      <c r="F149" s="335"/>
      <c r="G149" s="336" t="s">
        <v>538</v>
      </c>
      <c r="H149" s="336"/>
      <c r="I149" s="336"/>
      <c r="J149" s="336">
        <v>16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14</v>
      </c>
      <c r="D150" s="335" t="s">
        <v>829</v>
      </c>
      <c r="E150" s="335"/>
      <c r="F150" s="335"/>
      <c r="G150" s="336" t="s">
        <v>743</v>
      </c>
      <c r="H150" s="336"/>
      <c r="I150" s="336"/>
      <c r="J150" s="336">
        <v>18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35"/>
      <c r="E151" s="335"/>
      <c r="F151" s="335"/>
      <c r="G151" s="336"/>
      <c r="H151" s="336"/>
      <c r="I151" s="336"/>
      <c r="J151" s="336"/>
      <c r="K151" s="336"/>
      <c r="L151" s="335"/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 t="s">
        <v>261</v>
      </c>
      <c r="C152" s="193">
        <v>13</v>
      </c>
      <c r="D152" s="335" t="s">
        <v>830</v>
      </c>
      <c r="E152" s="335"/>
      <c r="F152" s="335"/>
      <c r="G152" s="336" t="s">
        <v>775</v>
      </c>
      <c r="H152" s="336"/>
      <c r="I152" s="336"/>
      <c r="J152" s="336">
        <v>31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18</v>
      </c>
      <c r="D153" s="335" t="s">
        <v>831</v>
      </c>
      <c r="E153" s="335"/>
      <c r="F153" s="335"/>
      <c r="G153" s="336" t="s">
        <v>626</v>
      </c>
      <c r="H153" s="336"/>
      <c r="I153" s="336"/>
      <c r="J153" s="336">
        <v>15</v>
      </c>
      <c r="K153" s="336"/>
      <c r="L153" s="335" t="s">
        <v>355</v>
      </c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3</v>
      </c>
      <c r="D154" s="335" t="s">
        <v>832</v>
      </c>
      <c r="E154" s="335"/>
      <c r="F154" s="335"/>
      <c r="G154" s="336" t="s">
        <v>357</v>
      </c>
      <c r="H154" s="336"/>
      <c r="I154" s="336"/>
      <c r="J154" s="336">
        <v>14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9</v>
      </c>
      <c r="D155" s="335" t="s">
        <v>833</v>
      </c>
      <c r="E155" s="335"/>
      <c r="F155" s="335"/>
      <c r="G155" s="336" t="s">
        <v>367</v>
      </c>
      <c r="H155" s="336"/>
      <c r="I155" s="336"/>
      <c r="J155" s="336">
        <v>22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17</v>
      </c>
      <c r="D156" s="335" t="s">
        <v>834</v>
      </c>
      <c r="E156" s="335"/>
      <c r="F156" s="335"/>
      <c r="G156" s="336" t="s">
        <v>361</v>
      </c>
      <c r="H156" s="336"/>
      <c r="I156" s="336"/>
      <c r="J156" s="336">
        <v>14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12</v>
      </c>
      <c r="D157" s="335" t="s">
        <v>835</v>
      </c>
      <c r="E157" s="335"/>
      <c r="F157" s="335"/>
      <c r="G157" s="336" t="s">
        <v>372</v>
      </c>
      <c r="H157" s="336"/>
      <c r="I157" s="336"/>
      <c r="J157" s="336">
        <v>52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13</v>
      </c>
      <c r="D158" s="335" t="s">
        <v>836</v>
      </c>
      <c r="E158" s="335"/>
      <c r="F158" s="335"/>
      <c r="G158" s="336" t="s">
        <v>359</v>
      </c>
      <c r="H158" s="336"/>
      <c r="I158" s="336"/>
      <c r="J158" s="336">
        <v>26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35"/>
      <c r="E159" s="335"/>
      <c r="F159" s="335"/>
      <c r="G159" s="336"/>
      <c r="H159" s="336"/>
      <c r="I159" s="336"/>
      <c r="J159" s="336"/>
      <c r="K159" s="336"/>
      <c r="L159" s="335"/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 t="s">
        <v>267</v>
      </c>
      <c r="C160" s="215" t="s">
        <v>376</v>
      </c>
      <c r="D160" s="335" t="s">
        <v>837</v>
      </c>
      <c r="E160" s="335"/>
      <c r="F160" s="335"/>
      <c r="G160" s="336" t="s">
        <v>357</v>
      </c>
      <c r="H160" s="336"/>
      <c r="I160" s="336"/>
      <c r="J160" s="336">
        <v>38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 t="s">
        <v>378</v>
      </c>
      <c r="D161" s="335" t="s">
        <v>838</v>
      </c>
      <c r="E161" s="335"/>
      <c r="F161" s="335"/>
      <c r="G161" s="336" t="s">
        <v>367</v>
      </c>
      <c r="H161" s="336"/>
      <c r="I161" s="336"/>
      <c r="J161" s="336">
        <v>37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13</v>
      </c>
      <c r="D162" s="335" t="s">
        <v>839</v>
      </c>
      <c r="E162" s="335"/>
      <c r="F162" s="335"/>
      <c r="G162" s="336" t="s">
        <v>413</v>
      </c>
      <c r="H162" s="336"/>
      <c r="I162" s="336"/>
      <c r="J162" s="336">
        <v>35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17</v>
      </c>
      <c r="D163" s="335" t="s">
        <v>840</v>
      </c>
      <c r="E163" s="335"/>
      <c r="F163" s="335"/>
      <c r="G163" s="336" t="s">
        <v>494</v>
      </c>
      <c r="H163" s="336"/>
      <c r="I163" s="336"/>
      <c r="J163" s="336">
        <v>11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12</v>
      </c>
      <c r="D164" s="335" t="s">
        <v>841</v>
      </c>
      <c r="E164" s="335"/>
      <c r="F164" s="335"/>
      <c r="G164" s="336" t="s">
        <v>372</v>
      </c>
      <c r="H164" s="336"/>
      <c r="I164" s="336"/>
      <c r="J164" s="336">
        <v>60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18</v>
      </c>
      <c r="D165" s="335" t="s">
        <v>842</v>
      </c>
      <c r="E165" s="335"/>
      <c r="F165" s="335"/>
      <c r="G165" s="336" t="s">
        <v>843</v>
      </c>
      <c r="H165" s="336"/>
      <c r="I165" s="336"/>
      <c r="J165" s="336">
        <v>13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12</v>
      </c>
      <c r="D166" s="335" t="s">
        <v>841</v>
      </c>
      <c r="E166" s="335"/>
      <c r="F166" s="335"/>
      <c r="G166" s="336" t="s">
        <v>372</v>
      </c>
      <c r="H166" s="336"/>
      <c r="I166" s="336"/>
      <c r="J166" s="336">
        <v>63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/>
      <c r="D167" s="335"/>
      <c r="E167" s="335"/>
      <c r="F167" s="335"/>
      <c r="G167" s="336"/>
      <c r="H167" s="336"/>
      <c r="I167" s="336"/>
      <c r="J167" s="336"/>
      <c r="K167" s="336"/>
      <c r="L167" s="335"/>
      <c r="M167" s="335"/>
    </row>
    <row r="168" spans="1:18" ht="14.25" x14ac:dyDescent="0.2">
      <c r="B168" s="216"/>
      <c r="C168" s="215"/>
      <c r="D168" s="335"/>
      <c r="E168" s="335"/>
      <c r="F168" s="335"/>
      <c r="G168" s="336"/>
      <c r="H168" s="336"/>
      <c r="I168" s="336"/>
      <c r="J168" s="336"/>
      <c r="K168" s="336"/>
      <c r="L168" s="335"/>
      <c r="M168" s="335"/>
    </row>
    <row r="169" spans="1:18" ht="14.25" x14ac:dyDescent="0.2">
      <c r="B169" s="216"/>
      <c r="C169" s="215"/>
      <c r="D169" s="335"/>
      <c r="E169" s="335"/>
      <c r="F169" s="335"/>
      <c r="G169" s="336"/>
      <c r="H169" s="336"/>
      <c r="I169" s="336"/>
      <c r="J169" s="336"/>
      <c r="K169" s="336"/>
      <c r="L169" s="335"/>
      <c r="M169" s="335"/>
    </row>
    <row r="170" spans="1:18" ht="14.25" x14ac:dyDescent="0.2">
      <c r="B170" s="216"/>
      <c r="C170" s="215"/>
      <c r="D170" s="335"/>
      <c r="E170" s="335"/>
      <c r="F170" s="335"/>
      <c r="G170" s="336"/>
      <c r="H170" s="336"/>
      <c r="I170" s="336"/>
      <c r="J170" s="336"/>
      <c r="K170" s="336"/>
      <c r="L170" s="335"/>
      <c r="M170" s="335"/>
    </row>
    <row r="171" spans="1:18" ht="14.25" x14ac:dyDescent="0.2">
      <c r="B171" s="216"/>
      <c r="C171" s="215"/>
      <c r="D171" s="337"/>
      <c r="E171" s="338"/>
      <c r="F171" s="339"/>
      <c r="G171" s="336"/>
      <c r="H171" s="336"/>
      <c r="I171" s="336"/>
      <c r="J171" s="336"/>
      <c r="K171" s="336"/>
      <c r="L171" s="335"/>
      <c r="M171" s="335"/>
    </row>
    <row r="172" spans="1:18" ht="14.25" x14ac:dyDescent="0.2">
      <c r="B172" s="216"/>
      <c r="C172" s="215"/>
      <c r="D172" s="335"/>
      <c r="E172" s="335"/>
      <c r="F172" s="335"/>
      <c r="G172" s="336"/>
      <c r="H172" s="336"/>
      <c r="I172" s="336"/>
      <c r="J172" s="336"/>
      <c r="K172" s="336"/>
      <c r="L172" s="335"/>
      <c r="M172" s="335"/>
    </row>
    <row r="173" spans="1:18" ht="14.25" x14ac:dyDescent="0.2">
      <c r="B173" s="216"/>
      <c r="C173" s="215"/>
      <c r="D173" s="335"/>
      <c r="E173" s="335"/>
      <c r="F173" s="335"/>
      <c r="G173" s="336"/>
      <c r="H173" s="336"/>
      <c r="I173" s="336"/>
      <c r="J173" s="336"/>
      <c r="K173" s="336"/>
      <c r="L173" s="335"/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A23F423D-09C0-43FB-9E65-5DE05D4BC233}">
      <formula1>INDIRECT(D63)</formula1>
    </dataValidation>
  </dataValidations>
  <hyperlinks>
    <hyperlink ref="J14:L15" location="Summary!A1" display="MTD Summary " xr:uid="{334282DA-6006-4829-8935-BD32F60AD1A9}"/>
    <hyperlink ref="J16:L17" location="Graph!A1" display="MTD Trendings" xr:uid="{25F2BD78-AFBC-46D7-94C2-B5C988A120F1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BBD93B5-FC96-4BE6-A74E-384EF1B1B321}">
          <x14:formula1>
            <xm:f>Sheet3!$B$3:$B$5</xm:f>
          </x14:formula1>
          <xm:sqref>B143:B165 B132</xm:sqref>
        </x14:dataValidation>
        <x14:dataValidation type="list" allowBlank="1" showInputMessage="1" xr:uid="{5031A194-FA00-4081-B5BD-243DC9E5ED4F}">
          <x14:formula1>
            <xm:f>Sheet3!$D$3:$D$11</xm:f>
          </x14:formula1>
          <xm:sqref>C132</xm:sqref>
        </x14:dataValidation>
        <x14:dataValidation type="list" allowBlank="1" showInputMessage="1" showErrorMessage="1" xr:uid="{5E8564A3-E5D2-404D-9564-4A700C41B3C1}">
          <x14:formula1>
            <xm:f>Sheet3!$C$3:$C$4</xm:f>
          </x14:formula1>
          <xm:sqref>M63:M132</xm:sqref>
        </x14:dataValidation>
        <x14:dataValidation type="list" allowBlank="1" showInputMessage="1" showErrorMessage="1" xr:uid="{E9C14A80-7C3C-43ED-BDBE-447B8075A17B}">
          <x14:formula1>
            <xm:f>List!$B$5:$B$8</xm:f>
          </x14:formula1>
          <xm:sqref>B63:B131</xm:sqref>
        </x14:dataValidation>
        <x14:dataValidation type="list" allowBlank="1" showInputMessage="1" showErrorMessage="1" xr:uid="{40FC680B-E703-4DA1-A44C-4B8BDAEBD413}">
          <x14:formula1>
            <xm:f>List!$B$10:$B$12</xm:f>
          </x14:formula1>
          <xm:sqref>C63:C131</xm:sqref>
        </x14:dataValidation>
        <x14:dataValidation type="list" allowBlank="1" showInputMessage="1" showErrorMessage="1" xr:uid="{45249769-F082-4280-8EDB-27EB643B09D7}">
          <x14:formula1>
            <xm:f>List!$C$5:$C$14</xm:f>
          </x14:formula1>
          <xm:sqref>D63:D131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D0C9-4B5D-4AA8-A72C-9143F908E05C}">
  <sheetPr>
    <pageSetUpPr fitToPage="1"/>
  </sheetPr>
  <dimension ref="A1:R188"/>
  <sheetViews>
    <sheetView showGridLines="0" view="pageBreakPreview" topLeftCell="B24" zoomScale="80" zoomScaleNormal="90" zoomScaleSheetLayoutView="80" zoomScalePageLayoutView="80" workbookViewId="0">
      <selection activeCell="K51" sqref="K51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14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1710.49</v>
      </c>
      <c r="K6" s="420"/>
      <c r="L6" s="420">
        <f ca="1">Summary!G21</f>
        <v>1682.01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120</v>
      </c>
      <c r="E7" s="84">
        <v>60</v>
      </c>
      <c r="F7" s="395">
        <v>50</v>
      </c>
      <c r="G7" s="396"/>
      <c r="H7" s="374">
        <f>SUM(D7:D10)</f>
        <v>560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150</v>
      </c>
      <c r="E8" s="86">
        <v>60</v>
      </c>
      <c r="F8" s="397">
        <v>40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140</v>
      </c>
      <c r="E9" s="86">
        <v>60</v>
      </c>
      <c r="F9" s="397">
        <v>50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150</v>
      </c>
      <c r="E10" s="88">
        <v>70</v>
      </c>
      <c r="F10" s="399">
        <v>40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110</v>
      </c>
      <c r="E11" s="90">
        <v>70</v>
      </c>
      <c r="F11" s="386">
        <v>40</v>
      </c>
      <c r="G11" s="387"/>
      <c r="H11" s="388">
        <f>SUM(D11:D14)</f>
        <v>610.27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140</v>
      </c>
      <c r="E12" s="92">
        <v>70</v>
      </c>
      <c r="F12" s="391">
        <v>40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170</v>
      </c>
      <c r="E13" s="92">
        <v>70</v>
      </c>
      <c r="F13" s="391">
        <v>40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190.27</v>
      </c>
      <c r="E14" s="94">
        <v>70</v>
      </c>
      <c r="F14" s="393">
        <v>40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130</v>
      </c>
      <c r="E15" s="96">
        <v>70</v>
      </c>
      <c r="F15" s="372">
        <v>40</v>
      </c>
      <c r="G15" s="373"/>
      <c r="H15" s="374">
        <f>SUM(D15:D18)</f>
        <v>540.22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130</v>
      </c>
      <c r="E16" s="98">
        <v>70</v>
      </c>
      <c r="F16" s="401">
        <v>40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130</v>
      </c>
      <c r="E17" s="98">
        <v>70</v>
      </c>
      <c r="F17" s="401">
        <v>40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150.22</v>
      </c>
      <c r="E18" s="100">
        <v>70</v>
      </c>
      <c r="F18" s="404">
        <v>40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1710.49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7</v>
      </c>
      <c r="D25" s="102">
        <v>70</v>
      </c>
      <c r="E25" s="56">
        <v>6</v>
      </c>
      <c r="F25" s="107">
        <v>30</v>
      </c>
      <c r="G25" s="410">
        <v>8</v>
      </c>
      <c r="H25" s="411"/>
      <c r="I25" s="111">
        <v>100</v>
      </c>
      <c r="J25" s="38">
        <f t="shared" ref="J25:J40" si="0">C25+E25+G25</f>
        <v>21</v>
      </c>
      <c r="K25" s="412">
        <f>D25+F25+I25</f>
        <v>200</v>
      </c>
      <c r="L25" s="413"/>
      <c r="M25" s="2"/>
    </row>
    <row r="26" spans="2:14" ht="14.1" customHeight="1" x14ac:dyDescent="0.2">
      <c r="B26" s="80" t="s">
        <v>281</v>
      </c>
      <c r="C26" s="45">
        <v>5</v>
      </c>
      <c r="D26" s="103">
        <v>82</v>
      </c>
      <c r="E26" s="57">
        <v>5</v>
      </c>
      <c r="F26" s="108">
        <v>52</v>
      </c>
      <c r="G26" s="406">
        <v>6</v>
      </c>
      <c r="H26" s="407"/>
      <c r="I26" s="112">
        <v>114</v>
      </c>
      <c r="J26" s="25">
        <f t="shared" si="0"/>
        <v>16</v>
      </c>
      <c r="K26" s="408">
        <f t="shared" ref="K26:K39" si="1">D26+F26+I26</f>
        <v>248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152</v>
      </c>
      <c r="E27" s="57"/>
      <c r="F27" s="108">
        <v>202</v>
      </c>
      <c r="G27" s="406"/>
      <c r="H27" s="407"/>
      <c r="I27" s="112">
        <v>202</v>
      </c>
      <c r="J27" s="25">
        <f t="shared" si="0"/>
        <v>0</v>
      </c>
      <c r="K27" s="408">
        <f t="shared" si="1"/>
        <v>556</v>
      </c>
      <c r="L27" s="409"/>
      <c r="M27" s="2"/>
    </row>
    <row r="28" spans="2:14" ht="14.1" customHeight="1" x14ac:dyDescent="0.2">
      <c r="B28" s="80" t="s">
        <v>283</v>
      </c>
      <c r="C28" s="45">
        <v>5</v>
      </c>
      <c r="D28" s="103"/>
      <c r="E28" s="57">
        <v>6</v>
      </c>
      <c r="F28" s="108"/>
      <c r="G28" s="406">
        <v>5</v>
      </c>
      <c r="H28" s="407"/>
      <c r="I28" s="112"/>
      <c r="J28" s="25">
        <f t="shared" si="0"/>
        <v>16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3</v>
      </c>
      <c r="D29" s="103"/>
      <c r="E29" s="57">
        <v>3</v>
      </c>
      <c r="F29" s="108"/>
      <c r="G29" s="406">
        <v>4</v>
      </c>
      <c r="H29" s="407"/>
      <c r="I29" s="112"/>
      <c r="J29" s="25">
        <f t="shared" si="0"/>
        <v>10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/>
      <c r="D30" s="103">
        <v>17.75</v>
      </c>
      <c r="E30" s="57">
        <v>1</v>
      </c>
      <c r="F30" s="108">
        <v>21</v>
      </c>
      <c r="G30" s="406"/>
      <c r="H30" s="407"/>
      <c r="I30" s="112"/>
      <c r="J30" s="25">
        <f t="shared" si="0"/>
        <v>1</v>
      </c>
      <c r="K30" s="408">
        <f t="shared" si="1"/>
        <v>38.75</v>
      </c>
      <c r="L30" s="409"/>
    </row>
    <row r="31" spans="2:14" ht="14.1" customHeight="1" x14ac:dyDescent="0.2">
      <c r="B31" s="80" t="s">
        <v>286</v>
      </c>
      <c r="C31" s="45">
        <v>3</v>
      </c>
      <c r="D31" s="103"/>
      <c r="E31" s="57">
        <v>3</v>
      </c>
      <c r="F31" s="108"/>
      <c r="G31" s="406">
        <v>3</v>
      </c>
      <c r="H31" s="407"/>
      <c r="I31" s="112"/>
      <c r="J31" s="25">
        <f t="shared" si="0"/>
        <v>9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2</v>
      </c>
      <c r="F32" s="108"/>
      <c r="G32" s="406">
        <v>1</v>
      </c>
      <c r="H32" s="407"/>
      <c r="I32" s="112"/>
      <c r="J32" s="25">
        <f t="shared" si="0"/>
        <v>4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/>
      <c r="G33" s="406">
        <v>1</v>
      </c>
      <c r="H33" s="407"/>
      <c r="I33" s="112"/>
      <c r="J33" s="25">
        <f t="shared" si="0"/>
        <v>1</v>
      </c>
      <c r="K33" s="408">
        <f t="shared" si="1"/>
        <v>0</v>
      </c>
      <c r="L33" s="409"/>
    </row>
    <row r="34" spans="1:16" ht="14.1" customHeight="1" x14ac:dyDescent="0.2">
      <c r="B34" s="80" t="s">
        <v>289</v>
      </c>
      <c r="C34" s="45"/>
      <c r="D34" s="103"/>
      <c r="E34" s="57">
        <v>1</v>
      </c>
      <c r="F34" s="108"/>
      <c r="G34" s="406"/>
      <c r="H34" s="407"/>
      <c r="I34" s="112"/>
      <c r="J34" s="25">
        <f t="shared" si="0"/>
        <v>1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>
        <v>13.5</v>
      </c>
      <c r="E36" s="58"/>
      <c r="F36" s="109">
        <v>24</v>
      </c>
      <c r="G36" s="406"/>
      <c r="H36" s="407"/>
      <c r="I36" s="113"/>
      <c r="J36" s="25">
        <f t="shared" si="0"/>
        <v>0</v>
      </c>
      <c r="K36" s="408">
        <f t="shared" si="1"/>
        <v>37.5</v>
      </c>
      <c r="L36" s="409"/>
    </row>
    <row r="37" spans="1:16" ht="14.1" customHeight="1" x14ac:dyDescent="0.2">
      <c r="B37" s="37" t="s">
        <v>292</v>
      </c>
      <c r="C37" s="55"/>
      <c r="D37" s="104"/>
      <c r="E37" s="58"/>
      <c r="F37" s="109"/>
      <c r="G37" s="406"/>
      <c r="H37" s="407"/>
      <c r="I37" s="113"/>
      <c r="J37" s="25">
        <f t="shared" si="0"/>
        <v>0</v>
      </c>
      <c r="K37" s="408">
        <f t="shared" si="1"/>
        <v>0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v>120</v>
      </c>
      <c r="J38" s="25">
        <f t="shared" si="0"/>
        <v>0</v>
      </c>
      <c r="K38" s="408">
        <f t="shared" si="1"/>
        <v>120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195</v>
      </c>
      <c r="J39" s="25">
        <f t="shared" si="0"/>
        <v>0</v>
      </c>
      <c r="K39" s="408">
        <f t="shared" si="1"/>
        <v>195</v>
      </c>
      <c r="L39" s="409"/>
    </row>
    <row r="40" spans="1:16" ht="14.1" customHeight="1" thickBot="1" x14ac:dyDescent="0.25">
      <c r="B40" s="81" t="s">
        <v>295</v>
      </c>
      <c r="C40" s="47"/>
      <c r="D40" s="105">
        <v>68.760000000000005</v>
      </c>
      <c r="E40" s="59"/>
      <c r="F40" s="110">
        <v>162.12</v>
      </c>
      <c r="G40" s="473"/>
      <c r="H40" s="474"/>
      <c r="I40" s="114">
        <v>128.88</v>
      </c>
      <c r="J40" s="26">
        <f t="shared" si="0"/>
        <v>0</v>
      </c>
      <c r="K40" s="475">
        <f>D40+F40+I40</f>
        <v>359.76</v>
      </c>
      <c r="L40" s="476"/>
    </row>
    <row r="41" spans="1:16" ht="17.25" customHeight="1" x14ac:dyDescent="0.2">
      <c r="B41" s="15" t="s">
        <v>273</v>
      </c>
      <c r="C41" s="16">
        <f>SUM(C25:C40)</f>
        <v>24</v>
      </c>
      <c r="D41" s="106">
        <f>SUM(D25:D40)</f>
        <v>404.01</v>
      </c>
      <c r="E41" s="16">
        <f>SUM(E25:E40)</f>
        <v>27</v>
      </c>
      <c r="F41" s="106">
        <f>SUM(F25:F40)</f>
        <v>491.12</v>
      </c>
      <c r="G41" s="430">
        <f>SUM(G25:H40)</f>
        <v>28</v>
      </c>
      <c r="H41" s="430"/>
      <c r="I41" s="106">
        <f>SUM(I25:I40)</f>
        <v>859.88</v>
      </c>
      <c r="J41" s="16">
        <f>SUM(J25:J40)</f>
        <v>79</v>
      </c>
      <c r="K41" s="477">
        <f>SUM(K25:L40)</f>
        <v>1755.01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/>
      <c r="D45" s="210"/>
      <c r="E45" s="209"/>
      <c r="F45" s="210"/>
      <c r="G45" s="471"/>
      <c r="H45" s="472"/>
      <c r="I45" s="210"/>
      <c r="J45" s="210">
        <v>0.3</v>
      </c>
      <c r="K45" s="209">
        <v>0.1</v>
      </c>
      <c r="L45" s="210"/>
      <c r="M45" s="211"/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15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/>
      <c r="D48" s="209"/>
      <c r="E48" s="209"/>
      <c r="F48" s="209">
        <v>0.2</v>
      </c>
      <c r="G48" s="442">
        <v>0.2</v>
      </c>
      <c r="H48" s="443"/>
      <c r="I48" s="209">
        <v>0.7</v>
      </c>
      <c r="J48" s="209">
        <v>0</v>
      </c>
      <c r="K48" s="209">
        <v>0.1</v>
      </c>
      <c r="L48" s="209">
        <v>0.6</v>
      </c>
      <c r="M48" s="211">
        <v>0.1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438">
        <f>G48*100</f>
        <v>20</v>
      </c>
      <c r="H49" s="439"/>
      <c r="I49" s="40">
        <f>I48*100</f>
        <v>70</v>
      </c>
      <c r="J49" s="40">
        <f>J48*150</f>
        <v>0</v>
      </c>
      <c r="K49" s="40">
        <f>K48*70</f>
        <v>7</v>
      </c>
      <c r="L49" s="40">
        <f>L48*70</f>
        <v>42</v>
      </c>
      <c r="M49" s="79">
        <f>M48*70</f>
        <v>7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0.4</v>
      </c>
      <c r="D51" s="213">
        <v>0.2</v>
      </c>
      <c r="E51" s="214">
        <v>0.3</v>
      </c>
      <c r="F51" s="209"/>
      <c r="G51" s="442"/>
      <c r="H51" s="443"/>
      <c r="I51" s="209">
        <v>0</v>
      </c>
      <c r="J51" s="209">
        <v>0</v>
      </c>
      <c r="K51" s="209">
        <v>0.1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28</v>
      </c>
      <c r="D52" s="41">
        <f>D51*70</f>
        <v>14</v>
      </c>
      <c r="E52" s="41">
        <f>E51*70</f>
        <v>21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0</v>
      </c>
      <c r="K52" s="41">
        <f>K51*250</f>
        <v>25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286</v>
      </c>
      <c r="F54" s="39" t="s">
        <v>309</v>
      </c>
      <c r="G54" s="188"/>
      <c r="H54" s="188"/>
      <c r="I54" s="30">
        <f>'13'!D54</f>
        <v>490.5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>
        <v>172400</v>
      </c>
      <c r="D58" s="60">
        <v>18980</v>
      </c>
      <c r="E58" s="124">
        <f>SUM(C58:D58)</f>
        <v>191380</v>
      </c>
      <c r="F58" s="425"/>
      <c r="G58" s="426"/>
      <c r="H58" s="60">
        <v>3930</v>
      </c>
      <c r="I58" s="61">
        <v>2284</v>
      </c>
      <c r="J58" s="422"/>
      <c r="K58" s="428"/>
      <c r="L58" s="60">
        <v>6824.86</v>
      </c>
      <c r="M58" s="61">
        <f>L58/3</f>
        <v>2274.9533333333334</v>
      </c>
      <c r="N58" s="288">
        <v>3.99</v>
      </c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111.88606773497652</v>
      </c>
      <c r="D59" s="432"/>
      <c r="E59" s="433"/>
      <c r="F59" s="434" t="s">
        <v>321</v>
      </c>
      <c r="G59" s="435"/>
      <c r="H59" s="436">
        <f>IF(ISERROR(SUM(H58:I58)/$H$19),"",(SUM(H58:I58)/$H$19))</f>
        <v>3.6328771287759647</v>
      </c>
      <c r="I59" s="437"/>
      <c r="J59" s="434" t="s">
        <v>322</v>
      </c>
      <c r="K59" s="435"/>
      <c r="L59" s="115">
        <f>IF(ISERROR(L58/$H$19),"",(L58/$H$19))</f>
        <v>3.9900028646762036</v>
      </c>
      <c r="M59" s="116">
        <f>IF(ISERROR(M58/$H$19),"",(M58/$H$19))</f>
        <v>1.3300009548920679</v>
      </c>
      <c r="N59" s="194">
        <f>N58*H19</f>
        <v>6824.8551000000007</v>
      </c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1.3680555555555554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14</v>
      </c>
      <c r="C63" s="236" t="s">
        <v>22</v>
      </c>
      <c r="D63" s="236" t="s">
        <v>23</v>
      </c>
      <c r="E63" s="322"/>
      <c r="F63" s="324"/>
      <c r="G63" s="322" t="s">
        <v>844</v>
      </c>
      <c r="H63" s="323"/>
      <c r="I63" s="323"/>
      <c r="J63" s="324"/>
      <c r="K63" s="238">
        <v>0.47916666666666669</v>
      </c>
      <c r="L63" s="238"/>
      <c r="M63" s="236" t="s">
        <v>9</v>
      </c>
      <c r="N63" s="237">
        <f t="shared" ref="N63:N126" si="2">IF(M63="No","",IF(M63="Yes",(L63-K63+(L63&lt;K63)),""))</f>
        <v>0.52083333333333326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322"/>
      <c r="F64" s="324"/>
      <c r="G64" s="322"/>
      <c r="H64" s="323"/>
      <c r="I64" s="323"/>
      <c r="J64" s="324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 t="s">
        <v>6</v>
      </c>
      <c r="C65" s="236" t="s">
        <v>25</v>
      </c>
      <c r="D65" s="236" t="s">
        <v>15</v>
      </c>
      <c r="E65" s="322" t="s">
        <v>48</v>
      </c>
      <c r="F65" s="324" t="s">
        <v>48</v>
      </c>
      <c r="G65" s="322" t="s">
        <v>845</v>
      </c>
      <c r="H65" s="323"/>
      <c r="I65" s="323"/>
      <c r="J65" s="324"/>
      <c r="K65" s="239">
        <v>0.64583333333333337</v>
      </c>
      <c r="L65" s="239">
        <v>0.75</v>
      </c>
      <c r="M65" s="236" t="s">
        <v>9</v>
      </c>
      <c r="N65" s="237">
        <f t="shared" si="2"/>
        <v>0.10416666666666663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15</v>
      </c>
      <c r="E66" s="322"/>
      <c r="F66" s="324"/>
      <c r="G66" s="322" t="s">
        <v>846</v>
      </c>
      <c r="H66" s="323"/>
      <c r="I66" s="323"/>
      <c r="J66" s="324"/>
      <c r="K66" s="239">
        <v>0.35416666666666669</v>
      </c>
      <c r="L66" s="239">
        <v>0.77083333333333337</v>
      </c>
      <c r="M66" s="236" t="s">
        <v>9</v>
      </c>
      <c r="N66" s="237">
        <f t="shared" si="2"/>
        <v>0.41666666666666669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23</v>
      </c>
      <c r="E67" s="322" t="s">
        <v>97</v>
      </c>
      <c r="F67" s="324" t="s">
        <v>97</v>
      </c>
      <c r="G67" s="322" t="s">
        <v>847</v>
      </c>
      <c r="H67" s="323"/>
      <c r="I67" s="323"/>
      <c r="J67" s="324"/>
      <c r="K67" s="238">
        <v>0.625</v>
      </c>
      <c r="L67" s="238">
        <v>0.75</v>
      </c>
      <c r="M67" s="236" t="s">
        <v>9</v>
      </c>
      <c r="N67" s="237">
        <f t="shared" si="2"/>
        <v>0.125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23</v>
      </c>
      <c r="E68" s="322"/>
      <c r="F68" s="324"/>
      <c r="G68" s="322" t="s">
        <v>848</v>
      </c>
      <c r="H68" s="323"/>
      <c r="I68" s="323"/>
      <c r="J68" s="324"/>
      <c r="K68" s="239">
        <v>0.625</v>
      </c>
      <c r="L68" s="239">
        <v>0.75</v>
      </c>
      <c r="M68" s="236" t="s">
        <v>9</v>
      </c>
      <c r="N68" s="237">
        <f t="shared" si="2"/>
        <v>0.125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20</v>
      </c>
      <c r="E69" s="322"/>
      <c r="F69" s="324"/>
      <c r="G69" s="322" t="s">
        <v>849</v>
      </c>
      <c r="H69" s="323"/>
      <c r="I69" s="323"/>
      <c r="J69" s="324"/>
      <c r="K69" s="239">
        <v>0.625</v>
      </c>
      <c r="L69" s="239">
        <v>0.66666666666666663</v>
      </c>
      <c r="M69" s="236" t="s">
        <v>9</v>
      </c>
      <c r="N69" s="237">
        <f t="shared" si="2"/>
        <v>4.166666666666663E-2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26</v>
      </c>
      <c r="E70" s="322" t="s">
        <v>106</v>
      </c>
      <c r="F70" s="324" t="s">
        <v>106</v>
      </c>
      <c r="H70" t="s">
        <v>850</v>
      </c>
      <c r="K70" s="239">
        <v>0.79166666666666663</v>
      </c>
      <c r="L70" s="239">
        <v>0.82638888888888884</v>
      </c>
      <c r="M70" s="236" t="s">
        <v>9</v>
      </c>
      <c r="N70" s="237">
        <f t="shared" si="2"/>
        <v>3.472222222222221E-2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322"/>
      <c r="F71" s="324"/>
      <c r="G71" s="322"/>
      <c r="H71" s="323"/>
      <c r="I71" s="323"/>
      <c r="J71" s="324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 t="s">
        <v>10</v>
      </c>
      <c r="C72" s="236" t="s">
        <v>28</v>
      </c>
      <c r="D72" s="236" t="s">
        <v>20</v>
      </c>
      <c r="E72" s="322"/>
      <c r="F72" s="324"/>
      <c r="G72" s="322" t="s">
        <v>851</v>
      </c>
      <c r="H72" s="323"/>
      <c r="I72" s="323"/>
      <c r="J72" s="324"/>
      <c r="K72" s="239">
        <v>0.18055555555555555</v>
      </c>
      <c r="L72" s="239">
        <v>0.20138888888888887</v>
      </c>
      <c r="M72" s="236" t="s">
        <v>685</v>
      </c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322"/>
      <c r="F73" s="324"/>
      <c r="G73" s="322"/>
      <c r="H73" s="323"/>
      <c r="I73" s="323"/>
      <c r="J73" s="324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322"/>
      <c r="F74" s="324"/>
      <c r="G74" s="322"/>
      <c r="H74" s="323"/>
      <c r="I74" s="323"/>
      <c r="J74" s="324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322"/>
      <c r="F75" s="324"/>
      <c r="G75" s="322"/>
      <c r="H75" s="323"/>
      <c r="I75" s="323"/>
      <c r="J75" s="324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322"/>
      <c r="F76" s="324"/>
      <c r="G76" s="322"/>
      <c r="H76" s="323"/>
      <c r="I76" s="323"/>
      <c r="J76" s="324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322"/>
      <c r="F77" s="324"/>
      <c r="G77" s="322"/>
      <c r="H77" s="323"/>
      <c r="I77" s="323"/>
      <c r="J77" s="324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/>
      <c r="H78" s="323"/>
      <c r="I78" s="323"/>
      <c r="J78" s="324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322"/>
      <c r="F79" s="324"/>
      <c r="G79" s="322"/>
      <c r="H79" s="323"/>
      <c r="I79" s="323"/>
      <c r="J79" s="324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322"/>
      <c r="F80" s="324"/>
      <c r="G80" s="322"/>
      <c r="H80" s="323"/>
      <c r="I80" s="323"/>
      <c r="J80" s="324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322"/>
      <c r="F81" s="324"/>
      <c r="G81" s="322"/>
      <c r="H81" s="323"/>
      <c r="I81" s="323"/>
      <c r="J81" s="324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322"/>
      <c r="F83" s="324"/>
      <c r="G83" s="322"/>
      <c r="H83" s="323"/>
      <c r="I83" s="323"/>
      <c r="J83" s="324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 t="s">
        <v>651</v>
      </c>
      <c r="D136" s="481"/>
      <c r="E136" s="463" t="s">
        <v>393</v>
      </c>
      <c r="F136" s="464"/>
      <c r="G136" s="452" t="s">
        <v>345</v>
      </c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347</v>
      </c>
      <c r="D137" s="479"/>
      <c r="E137" s="463" t="s">
        <v>395</v>
      </c>
      <c r="F137" s="464"/>
      <c r="G137" s="452"/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35"/>
      <c r="E143" s="335"/>
      <c r="F143" s="335"/>
      <c r="G143" s="336"/>
      <c r="H143" s="336"/>
      <c r="I143" s="336"/>
      <c r="J143" s="336"/>
      <c r="K143" s="336"/>
      <c r="L143" s="335"/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 t="s">
        <v>255</v>
      </c>
      <c r="C144" s="215">
        <v>9</v>
      </c>
      <c r="D144" s="335" t="s">
        <v>852</v>
      </c>
      <c r="E144" s="335"/>
      <c r="F144" s="335"/>
      <c r="G144" s="336" t="s">
        <v>367</v>
      </c>
      <c r="H144" s="336"/>
      <c r="I144" s="336"/>
      <c r="J144" s="336">
        <v>47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14</v>
      </c>
      <c r="D145" s="335" t="s">
        <v>852</v>
      </c>
      <c r="E145" s="335"/>
      <c r="F145" s="335"/>
      <c r="G145" s="336" t="s">
        <v>734</v>
      </c>
      <c r="H145" s="336"/>
      <c r="I145" s="336"/>
      <c r="J145" s="336">
        <v>17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23</v>
      </c>
      <c r="D146" s="335" t="s">
        <v>853</v>
      </c>
      <c r="E146" s="335"/>
      <c r="F146" s="335"/>
      <c r="G146" s="336" t="s">
        <v>403</v>
      </c>
      <c r="H146" s="336"/>
      <c r="I146" s="336"/>
      <c r="J146" s="336">
        <v>401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15</v>
      </c>
      <c r="D147" s="335" t="s">
        <v>854</v>
      </c>
      <c r="E147" s="335"/>
      <c r="F147" s="335"/>
      <c r="G147" s="336" t="s">
        <v>775</v>
      </c>
      <c r="H147" s="336"/>
      <c r="I147" s="336"/>
      <c r="J147" s="336">
        <v>30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18</v>
      </c>
      <c r="D148" s="335" t="s">
        <v>855</v>
      </c>
      <c r="E148" s="335"/>
      <c r="F148" s="335"/>
      <c r="G148" s="336" t="s">
        <v>775</v>
      </c>
      <c r="H148" s="336"/>
      <c r="I148" s="336"/>
      <c r="J148" s="336">
        <v>14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13</v>
      </c>
      <c r="D149" s="335" t="s">
        <v>856</v>
      </c>
      <c r="E149" s="335"/>
      <c r="F149" s="335"/>
      <c r="G149" s="336" t="s">
        <v>857</v>
      </c>
      <c r="H149" s="336"/>
      <c r="I149" s="336"/>
      <c r="J149" s="336">
        <v>29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19</v>
      </c>
      <c r="D150" s="335" t="s">
        <v>858</v>
      </c>
      <c r="E150" s="335"/>
      <c r="F150" s="335"/>
      <c r="G150" s="336" t="s">
        <v>361</v>
      </c>
      <c r="H150" s="336"/>
      <c r="I150" s="336"/>
      <c r="J150" s="336">
        <v>10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12</v>
      </c>
      <c r="D151" s="335" t="s">
        <v>859</v>
      </c>
      <c r="E151" s="335"/>
      <c r="F151" s="335"/>
      <c r="G151" s="336" t="s">
        <v>372</v>
      </c>
      <c r="H151" s="336"/>
      <c r="I151" s="336"/>
      <c r="J151" s="336">
        <v>16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9</v>
      </c>
      <c r="D152" s="335" t="s">
        <v>794</v>
      </c>
      <c r="E152" s="335"/>
      <c r="F152" s="335"/>
      <c r="G152" s="336" t="s">
        <v>367</v>
      </c>
      <c r="H152" s="336"/>
      <c r="I152" s="336"/>
      <c r="J152" s="336">
        <v>29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35"/>
      <c r="E153" s="335"/>
      <c r="F153" s="335"/>
      <c r="G153" s="336"/>
      <c r="H153" s="336"/>
      <c r="I153" s="336"/>
      <c r="J153" s="336"/>
      <c r="K153" s="336"/>
      <c r="L153" s="335"/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 t="s">
        <v>261</v>
      </c>
      <c r="C154" s="215">
        <v>12</v>
      </c>
      <c r="D154" s="335" t="s">
        <v>860</v>
      </c>
      <c r="E154" s="335"/>
      <c r="F154" s="335"/>
      <c r="G154" s="336" t="s">
        <v>372</v>
      </c>
      <c r="H154" s="336"/>
      <c r="I154" s="336"/>
      <c r="J154" s="336">
        <v>34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 t="s">
        <v>376</v>
      </c>
      <c r="D155" s="335" t="s">
        <v>861</v>
      </c>
      <c r="E155" s="335"/>
      <c r="F155" s="335"/>
      <c r="G155" s="336" t="s">
        <v>357</v>
      </c>
      <c r="H155" s="336"/>
      <c r="I155" s="336"/>
      <c r="J155" s="336">
        <v>50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 t="s">
        <v>378</v>
      </c>
      <c r="D156" s="335" t="s">
        <v>862</v>
      </c>
      <c r="E156" s="335"/>
      <c r="F156" s="335"/>
      <c r="G156" s="336" t="s">
        <v>367</v>
      </c>
      <c r="H156" s="336"/>
      <c r="I156" s="336"/>
      <c r="J156" s="336">
        <v>14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18</v>
      </c>
      <c r="D157" s="335" t="s">
        <v>863</v>
      </c>
      <c r="E157" s="335"/>
      <c r="F157" s="335"/>
      <c r="G157" s="336" t="s">
        <v>357</v>
      </c>
      <c r="H157" s="336"/>
      <c r="I157" s="336"/>
      <c r="J157" s="336">
        <v>16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13</v>
      </c>
      <c r="D158" s="335" t="s">
        <v>784</v>
      </c>
      <c r="E158" s="335"/>
      <c r="F158" s="335"/>
      <c r="G158" s="336" t="s">
        <v>359</v>
      </c>
      <c r="H158" s="336"/>
      <c r="I158" s="336"/>
      <c r="J158" s="336">
        <v>34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23</v>
      </c>
      <c r="D159" s="335" t="s">
        <v>864</v>
      </c>
      <c r="E159" s="335"/>
      <c r="F159" s="335"/>
      <c r="G159" s="336" t="s">
        <v>403</v>
      </c>
      <c r="H159" s="336"/>
      <c r="I159" s="336"/>
      <c r="J159" s="336">
        <v>325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14</v>
      </c>
      <c r="D160" s="335" t="s">
        <v>865</v>
      </c>
      <c r="E160" s="335"/>
      <c r="F160" s="335"/>
      <c r="G160" s="336" t="s">
        <v>456</v>
      </c>
      <c r="H160" s="336"/>
      <c r="I160" s="336"/>
      <c r="J160" s="336">
        <v>18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19</v>
      </c>
      <c r="D161" s="335" t="s">
        <v>866</v>
      </c>
      <c r="E161" s="335"/>
      <c r="F161" s="335"/>
      <c r="G161" s="336" t="s">
        <v>361</v>
      </c>
      <c r="H161" s="336"/>
      <c r="I161" s="336"/>
      <c r="J161" s="336">
        <v>10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35"/>
      <c r="E162" s="335"/>
      <c r="F162" s="335"/>
      <c r="G162" s="336"/>
      <c r="H162" s="336"/>
      <c r="I162" s="336"/>
      <c r="J162" s="336"/>
      <c r="K162" s="336"/>
      <c r="L162" s="335"/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 t="s">
        <v>267</v>
      </c>
      <c r="C163" s="215">
        <v>18</v>
      </c>
      <c r="D163" s="335" t="s">
        <v>867</v>
      </c>
      <c r="E163" s="335"/>
      <c r="F163" s="335"/>
      <c r="G163" s="336" t="s">
        <v>357</v>
      </c>
      <c r="H163" s="336"/>
      <c r="I163" s="336"/>
      <c r="J163" s="336">
        <v>14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12</v>
      </c>
      <c r="D164" s="335" t="s">
        <v>868</v>
      </c>
      <c r="E164" s="335"/>
      <c r="F164" s="335"/>
      <c r="G164" s="336" t="s">
        <v>372</v>
      </c>
      <c r="H164" s="336"/>
      <c r="I164" s="336"/>
      <c r="J164" s="336" t="s">
        <v>869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13</v>
      </c>
      <c r="D165" s="335" t="s">
        <v>870</v>
      </c>
      <c r="E165" s="335"/>
      <c r="F165" s="335"/>
      <c r="G165" s="336" t="s">
        <v>382</v>
      </c>
      <c r="H165" s="336"/>
      <c r="I165" s="336"/>
      <c r="J165" s="336">
        <v>49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19</v>
      </c>
      <c r="D166" s="335" t="s">
        <v>871</v>
      </c>
      <c r="E166" s="335"/>
      <c r="F166" s="335"/>
      <c r="G166" s="336" t="s">
        <v>587</v>
      </c>
      <c r="H166" s="336"/>
      <c r="I166" s="336"/>
      <c r="J166" s="336">
        <v>18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 t="s">
        <v>376</v>
      </c>
      <c r="D167" s="335" t="s">
        <v>872</v>
      </c>
      <c r="E167" s="335"/>
      <c r="F167" s="335"/>
      <c r="G167" s="336" t="s">
        <v>357</v>
      </c>
      <c r="H167" s="336"/>
      <c r="I167" s="336"/>
      <c r="J167" s="336">
        <v>44</v>
      </c>
      <c r="K167" s="336"/>
      <c r="L167" s="335" t="s">
        <v>355</v>
      </c>
      <c r="M167" s="335"/>
    </row>
    <row r="168" spans="1:18" ht="14.25" x14ac:dyDescent="0.2">
      <c r="B168" s="216"/>
      <c r="C168" s="215" t="s">
        <v>378</v>
      </c>
      <c r="D168" s="335" t="s">
        <v>873</v>
      </c>
      <c r="E168" s="335"/>
      <c r="F168" s="335"/>
      <c r="G168" s="336" t="s">
        <v>367</v>
      </c>
      <c r="H168" s="336"/>
      <c r="I168" s="336"/>
      <c r="J168" s="336">
        <v>45</v>
      </c>
      <c r="K168" s="336"/>
      <c r="L168" s="335" t="s">
        <v>355</v>
      </c>
      <c r="M168" s="335"/>
    </row>
    <row r="169" spans="1:18" ht="14.25" x14ac:dyDescent="0.2">
      <c r="B169" s="216"/>
      <c r="C169" s="215"/>
      <c r="D169" s="335"/>
      <c r="E169" s="335"/>
      <c r="F169" s="335"/>
      <c r="G169" s="336"/>
      <c r="H169" s="336"/>
      <c r="I169" s="336"/>
      <c r="J169" s="336"/>
      <c r="K169" s="336"/>
      <c r="L169" s="335"/>
      <c r="M169" s="335"/>
    </row>
    <row r="170" spans="1:18" ht="14.25" x14ac:dyDescent="0.2">
      <c r="B170" s="216"/>
      <c r="C170" s="215"/>
      <c r="D170" s="335"/>
      <c r="E170" s="335"/>
      <c r="F170" s="335"/>
      <c r="G170" s="336"/>
      <c r="H170" s="336"/>
      <c r="I170" s="336"/>
      <c r="J170" s="336"/>
      <c r="K170" s="336"/>
      <c r="L170" s="335"/>
      <c r="M170" s="335"/>
    </row>
    <row r="171" spans="1:18" ht="14.25" x14ac:dyDescent="0.2">
      <c r="B171" s="216"/>
      <c r="C171" s="215"/>
      <c r="D171" s="337"/>
      <c r="E171" s="338"/>
      <c r="F171" s="339"/>
      <c r="G171" s="336"/>
      <c r="H171" s="336"/>
      <c r="I171" s="336"/>
      <c r="J171" s="336"/>
      <c r="K171" s="336"/>
      <c r="L171" s="335"/>
      <c r="M171" s="335"/>
    </row>
    <row r="172" spans="1:18" ht="14.25" x14ac:dyDescent="0.2">
      <c r="B172" s="216"/>
      <c r="C172" s="215"/>
      <c r="D172" s="335"/>
      <c r="E172" s="335"/>
      <c r="F172" s="335"/>
      <c r="G172" s="336"/>
      <c r="H172" s="336"/>
      <c r="I172" s="336"/>
      <c r="J172" s="336"/>
      <c r="K172" s="336"/>
      <c r="L172" s="335"/>
      <c r="M172" s="335"/>
    </row>
    <row r="173" spans="1:18" ht="14.25" x14ac:dyDescent="0.2">
      <c r="B173" s="216"/>
      <c r="C173" s="215"/>
      <c r="D173" s="335"/>
      <c r="E173" s="335"/>
      <c r="F173" s="335"/>
      <c r="G173" s="336"/>
      <c r="H173" s="336"/>
      <c r="I173" s="336"/>
      <c r="J173" s="336"/>
      <c r="K173" s="336"/>
      <c r="L173" s="335"/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A3945254-FD12-41D0-A8A0-1D6403924CD0}">
      <formula1>INDIRECT(D63)</formula1>
    </dataValidation>
  </dataValidations>
  <hyperlinks>
    <hyperlink ref="J14:L15" location="Summary!A1" display="MTD Summary " xr:uid="{CA0572B0-E4FA-4BB3-A45D-F75CA8F97127}"/>
    <hyperlink ref="J16:L17" location="Graph!A1" display="MTD Trendings" xr:uid="{25D0AFF0-79CE-4ED0-9367-F2B986AA5CE0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46F7EA0-83C0-4274-AD2C-65D38CD66111}">
          <x14:formula1>
            <xm:f>List!$C$5:$C$14</xm:f>
          </x14:formula1>
          <xm:sqref>D63:D131</xm:sqref>
        </x14:dataValidation>
        <x14:dataValidation type="list" allowBlank="1" showInputMessage="1" showErrorMessage="1" xr:uid="{71045BA7-B3A6-478E-8141-40342EE47F54}">
          <x14:formula1>
            <xm:f>List!$B$10:$B$12</xm:f>
          </x14:formula1>
          <xm:sqref>C63:C131</xm:sqref>
        </x14:dataValidation>
        <x14:dataValidation type="list" allowBlank="1" showInputMessage="1" showErrorMessage="1" xr:uid="{338E03B2-E378-45B1-A6E7-DDB002D5E17A}">
          <x14:formula1>
            <xm:f>List!$B$5:$B$8</xm:f>
          </x14:formula1>
          <xm:sqref>B63:B131</xm:sqref>
        </x14:dataValidation>
        <x14:dataValidation type="list" allowBlank="1" showInputMessage="1" showErrorMessage="1" xr:uid="{55EB21EC-DF5C-4DD3-8FEB-CA15ACD00F22}">
          <x14:formula1>
            <xm:f>Sheet3!$C$3:$C$4</xm:f>
          </x14:formula1>
          <xm:sqref>M63:M132</xm:sqref>
        </x14:dataValidation>
        <x14:dataValidation type="list" allowBlank="1" showInputMessage="1" xr:uid="{63A4B9AA-4526-4644-BAAE-24E94A244FB6}">
          <x14:formula1>
            <xm:f>Sheet3!$D$3:$D$11</xm:f>
          </x14:formula1>
          <xm:sqref>C132</xm:sqref>
        </x14:dataValidation>
        <x14:dataValidation type="list" allowBlank="1" showInputMessage="1" showErrorMessage="1" xr:uid="{234BDB18-365C-47F0-A761-F1A08A508E8F}">
          <x14:formula1>
            <xm:f>Sheet3!$B$3:$B$5</xm:f>
          </x14:formula1>
          <xm:sqref>B143:B165 B132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5A00-DC4F-4230-92AB-32E027591B3B}">
  <sheetPr>
    <pageSetUpPr fitToPage="1"/>
  </sheetPr>
  <dimension ref="A1:R188"/>
  <sheetViews>
    <sheetView showGridLines="0" view="pageBreakPreview" topLeftCell="A16" zoomScale="80" zoomScaleNormal="90" zoomScaleSheetLayoutView="80" zoomScalePageLayoutView="80" workbookViewId="0">
      <selection activeCell="N15" sqref="N15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15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1680.82</v>
      </c>
      <c r="K6" s="420"/>
      <c r="L6" s="420">
        <f ca="1">Summary!G22</f>
        <v>1575.61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120</v>
      </c>
      <c r="E7" s="84">
        <v>60</v>
      </c>
      <c r="F7" s="395">
        <v>50</v>
      </c>
      <c r="G7" s="396"/>
      <c r="H7" s="374">
        <f>SUM(D7:D10)</f>
        <v>580.33000000000004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140</v>
      </c>
      <c r="E8" s="86">
        <v>60</v>
      </c>
      <c r="F8" s="397">
        <v>50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150</v>
      </c>
      <c r="E9" s="86">
        <v>60</v>
      </c>
      <c r="F9" s="397">
        <v>50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170.33</v>
      </c>
      <c r="E10" s="88">
        <v>60</v>
      </c>
      <c r="F10" s="399">
        <v>50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110</v>
      </c>
      <c r="E11" s="90">
        <v>50</v>
      </c>
      <c r="F11" s="386">
        <v>50</v>
      </c>
      <c r="G11" s="387"/>
      <c r="H11" s="388">
        <f>SUM(D11:D14)</f>
        <v>550.27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110</v>
      </c>
      <c r="E12" s="92">
        <v>50</v>
      </c>
      <c r="F12" s="391">
        <v>50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140</v>
      </c>
      <c r="E13" s="92">
        <v>60</v>
      </c>
      <c r="F13" s="391">
        <v>50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190.27</v>
      </c>
      <c r="E14" s="94">
        <v>60</v>
      </c>
      <c r="F14" s="393">
        <v>50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120</v>
      </c>
      <c r="E15" s="96">
        <v>60</v>
      </c>
      <c r="F15" s="372">
        <v>50</v>
      </c>
      <c r="G15" s="373"/>
      <c r="H15" s="374">
        <f>SUM(D15:D18)</f>
        <v>550.22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150</v>
      </c>
      <c r="E16" s="98">
        <v>60</v>
      </c>
      <c r="F16" s="401">
        <v>50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140</v>
      </c>
      <c r="E17" s="98">
        <v>60</v>
      </c>
      <c r="F17" s="401">
        <v>50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140.22</v>
      </c>
      <c r="E18" s="100">
        <v>60</v>
      </c>
      <c r="F18" s="404">
        <v>50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1680.82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7</v>
      </c>
      <c r="D25" s="102">
        <v>120</v>
      </c>
      <c r="E25" s="56">
        <v>8</v>
      </c>
      <c r="F25" s="107"/>
      <c r="G25" s="410">
        <v>6</v>
      </c>
      <c r="H25" s="411"/>
      <c r="I25" s="111"/>
      <c r="J25" s="38">
        <f t="shared" ref="J25:J40" si="0">C25+E25+G25</f>
        <v>21</v>
      </c>
      <c r="K25" s="412">
        <f>D25+F25+I25</f>
        <v>120</v>
      </c>
      <c r="L25" s="413"/>
      <c r="M25" s="2"/>
    </row>
    <row r="26" spans="2:14" ht="14.1" customHeight="1" x14ac:dyDescent="0.2">
      <c r="B26" s="80" t="s">
        <v>281</v>
      </c>
      <c r="C26" s="45">
        <v>4</v>
      </c>
      <c r="D26" s="103">
        <v>72</v>
      </c>
      <c r="E26" s="57">
        <v>5</v>
      </c>
      <c r="F26" s="108">
        <v>158</v>
      </c>
      <c r="G26" s="406">
        <v>6</v>
      </c>
      <c r="H26" s="407"/>
      <c r="I26" s="112">
        <v>290</v>
      </c>
      <c r="J26" s="25">
        <f t="shared" si="0"/>
        <v>15</v>
      </c>
      <c r="K26" s="408">
        <f t="shared" ref="K26:K39" si="1">D26+F26+I26</f>
        <v>520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30</v>
      </c>
      <c r="E27" s="57"/>
      <c r="F27" s="108">
        <v>240</v>
      </c>
      <c r="G27" s="406"/>
      <c r="H27" s="407"/>
      <c r="I27" s="112">
        <v>120</v>
      </c>
      <c r="J27" s="25">
        <f t="shared" si="0"/>
        <v>0</v>
      </c>
      <c r="K27" s="408">
        <f t="shared" si="1"/>
        <v>390</v>
      </c>
      <c r="L27" s="409"/>
      <c r="M27" s="2"/>
    </row>
    <row r="28" spans="2:14" ht="14.1" customHeight="1" x14ac:dyDescent="0.2">
      <c r="B28" s="80" t="s">
        <v>283</v>
      </c>
      <c r="C28" s="45">
        <v>5</v>
      </c>
      <c r="D28" s="103"/>
      <c r="E28" s="57">
        <v>6</v>
      </c>
      <c r="F28" s="108"/>
      <c r="G28" s="406">
        <v>5</v>
      </c>
      <c r="H28" s="407"/>
      <c r="I28" s="112"/>
      <c r="J28" s="25">
        <f t="shared" si="0"/>
        <v>16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5</v>
      </c>
      <c r="D29" s="103"/>
      <c r="E29" s="57">
        <v>4</v>
      </c>
      <c r="F29" s="108"/>
      <c r="G29" s="406">
        <v>4</v>
      </c>
      <c r="H29" s="407"/>
      <c r="I29" s="112"/>
      <c r="J29" s="25">
        <f t="shared" si="0"/>
        <v>13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>
        <v>1</v>
      </c>
      <c r="D30" s="103"/>
      <c r="E30" s="57"/>
      <c r="F30" s="108"/>
      <c r="G30" s="406">
        <v>3</v>
      </c>
      <c r="H30" s="407"/>
      <c r="I30" s="112"/>
      <c r="J30" s="25">
        <f t="shared" si="0"/>
        <v>4</v>
      </c>
      <c r="K30" s="408">
        <f t="shared" si="1"/>
        <v>0</v>
      </c>
      <c r="L30" s="409"/>
    </row>
    <row r="31" spans="2:14" ht="14.1" customHeight="1" x14ac:dyDescent="0.2">
      <c r="B31" s="80" t="s">
        <v>286</v>
      </c>
      <c r="C31" s="45">
        <v>1</v>
      </c>
      <c r="D31" s="103"/>
      <c r="E31" s="57">
        <v>3</v>
      </c>
      <c r="F31" s="108"/>
      <c r="G31" s="406"/>
      <c r="H31" s="407"/>
      <c r="I31" s="112"/>
      <c r="J31" s="25">
        <f t="shared" si="0"/>
        <v>4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1</v>
      </c>
      <c r="F32" s="108"/>
      <c r="G32" s="406">
        <v>1</v>
      </c>
      <c r="H32" s="407"/>
      <c r="I32" s="112"/>
      <c r="J32" s="25">
        <f t="shared" si="0"/>
        <v>3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>
        <v>25.05</v>
      </c>
      <c r="E33" s="57"/>
      <c r="F33" s="108"/>
      <c r="G33" s="406"/>
      <c r="H33" s="407"/>
      <c r="I33" s="112"/>
      <c r="J33" s="25">
        <f t="shared" si="0"/>
        <v>0</v>
      </c>
      <c r="K33" s="408">
        <f t="shared" si="1"/>
        <v>25.05</v>
      </c>
      <c r="L33" s="409"/>
    </row>
    <row r="34" spans="1:16" ht="14.1" customHeight="1" x14ac:dyDescent="0.2">
      <c r="B34" s="80" t="s">
        <v>289</v>
      </c>
      <c r="C34" s="45">
        <v>1</v>
      </c>
      <c r="D34" s="103"/>
      <c r="E34" s="57"/>
      <c r="F34" s="108"/>
      <c r="G34" s="406"/>
      <c r="H34" s="407"/>
      <c r="I34" s="112"/>
      <c r="J34" s="25">
        <f t="shared" si="0"/>
        <v>1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/>
      <c r="E36" s="58"/>
      <c r="F36" s="109">
        <v>13</v>
      </c>
      <c r="G36" s="406"/>
      <c r="H36" s="407"/>
      <c r="I36" s="113"/>
      <c r="J36" s="25">
        <f t="shared" si="0"/>
        <v>0</v>
      </c>
      <c r="K36" s="408">
        <f t="shared" si="1"/>
        <v>13</v>
      </c>
      <c r="L36" s="409"/>
    </row>
    <row r="37" spans="1:16" ht="14.1" customHeight="1" x14ac:dyDescent="0.2">
      <c r="B37" s="37" t="s">
        <v>292</v>
      </c>
      <c r="C37" s="55"/>
      <c r="D37" s="104"/>
      <c r="E37" s="58"/>
      <c r="F37" s="109"/>
      <c r="G37" s="406"/>
      <c r="H37" s="407"/>
      <c r="I37" s="113"/>
      <c r="J37" s="25">
        <f t="shared" si="0"/>
        <v>0</v>
      </c>
      <c r="K37" s="408">
        <f t="shared" si="1"/>
        <v>0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v>120</v>
      </c>
      <c r="J38" s="25">
        <f t="shared" si="0"/>
        <v>0</v>
      </c>
      <c r="K38" s="408">
        <f t="shared" si="1"/>
        <v>120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150</v>
      </c>
      <c r="J39" s="25">
        <f t="shared" si="0"/>
        <v>0</v>
      </c>
      <c r="K39" s="408">
        <f t="shared" si="1"/>
        <v>150</v>
      </c>
      <c r="L39" s="409"/>
    </row>
    <row r="40" spans="1:16" ht="14.1" customHeight="1" thickBot="1" x14ac:dyDescent="0.25">
      <c r="B40" s="81" t="s">
        <v>295</v>
      </c>
      <c r="C40" s="47"/>
      <c r="D40" s="105">
        <v>66.12</v>
      </c>
      <c r="E40" s="59"/>
      <c r="F40" s="110">
        <v>145.80000000000001</v>
      </c>
      <c r="G40" s="473"/>
      <c r="H40" s="474"/>
      <c r="I40" s="114">
        <v>116.64</v>
      </c>
      <c r="J40" s="26">
        <f t="shared" si="0"/>
        <v>0</v>
      </c>
      <c r="K40" s="475">
        <f>D40+F40+I40</f>
        <v>328.56</v>
      </c>
      <c r="L40" s="476"/>
    </row>
    <row r="41" spans="1:16" ht="17.25" customHeight="1" x14ac:dyDescent="0.2">
      <c r="B41" s="15" t="s">
        <v>273</v>
      </c>
      <c r="C41" s="16">
        <f>SUM(C25:C40)</f>
        <v>25</v>
      </c>
      <c r="D41" s="106">
        <f>SUM(D25:D40)</f>
        <v>313.17</v>
      </c>
      <c r="E41" s="16">
        <f>SUM(E25:E40)</f>
        <v>27</v>
      </c>
      <c r="F41" s="106">
        <f>SUM(F25:F40)</f>
        <v>556.79999999999995</v>
      </c>
      <c r="G41" s="430">
        <f>SUM(G25:H40)</f>
        <v>25</v>
      </c>
      <c r="H41" s="430"/>
      <c r="I41" s="106">
        <f>SUM(I25:I40)</f>
        <v>796.64</v>
      </c>
      <c r="J41" s="16">
        <f>SUM(J25:J40)</f>
        <v>77</v>
      </c>
      <c r="K41" s="477">
        <f>SUM(K25:L40)</f>
        <v>1666.61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/>
      <c r="D45" s="210"/>
      <c r="E45" s="209"/>
      <c r="F45" s="210"/>
      <c r="G45" s="471"/>
      <c r="H45" s="472"/>
      <c r="I45" s="210"/>
      <c r="J45" s="210">
        <v>0.4</v>
      </c>
      <c r="K45" s="209">
        <v>0.3</v>
      </c>
      <c r="L45" s="210"/>
      <c r="M45" s="211"/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20</v>
      </c>
      <c r="K46" s="40">
        <f>K45*50</f>
        <v>15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/>
      <c r="D48" s="209"/>
      <c r="E48" s="209"/>
      <c r="F48" s="209">
        <v>0.2</v>
      </c>
      <c r="G48" s="442">
        <v>0.3</v>
      </c>
      <c r="H48" s="443"/>
      <c r="I48" s="209">
        <v>0.5</v>
      </c>
      <c r="J48" s="209">
        <v>0</v>
      </c>
      <c r="K48" s="209">
        <v>0.1</v>
      </c>
      <c r="L48" s="209">
        <v>0.5</v>
      </c>
      <c r="M48" s="211">
        <v>0.1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438">
        <f>G48*100</f>
        <v>30</v>
      </c>
      <c r="H49" s="439"/>
      <c r="I49" s="40">
        <f>I48*100</f>
        <v>50</v>
      </c>
      <c r="J49" s="40">
        <f>J48*150</f>
        <v>0</v>
      </c>
      <c r="K49" s="40">
        <f>K48*70</f>
        <v>7</v>
      </c>
      <c r="L49" s="40">
        <f>L48*70</f>
        <v>35</v>
      </c>
      <c r="M49" s="79">
        <f>M48*70</f>
        <v>7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0.1</v>
      </c>
      <c r="D51" s="213">
        <v>0</v>
      </c>
      <c r="E51" s="214">
        <v>0.3</v>
      </c>
      <c r="F51" s="209"/>
      <c r="G51" s="442"/>
      <c r="H51" s="443"/>
      <c r="I51" s="209">
        <v>0</v>
      </c>
      <c r="J51" s="209">
        <v>0</v>
      </c>
      <c r="K51" s="209">
        <v>0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7</v>
      </c>
      <c r="D52" s="41">
        <f>D51*70</f>
        <v>0</v>
      </c>
      <c r="E52" s="41">
        <f>E51*70</f>
        <v>21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224</v>
      </c>
      <c r="F54" s="39" t="s">
        <v>309</v>
      </c>
      <c r="G54" s="188"/>
      <c r="H54" s="188"/>
      <c r="I54" s="30">
        <f>'14'!D54</f>
        <v>286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/>
      <c r="D58" s="60"/>
      <c r="E58" s="124">
        <f>SUM(C58:D58)</f>
        <v>0</v>
      </c>
      <c r="F58" s="425"/>
      <c r="G58" s="426"/>
      <c r="H58" s="60"/>
      <c r="I58" s="61"/>
      <c r="J58" s="422"/>
      <c r="K58" s="428"/>
      <c r="L58" s="60">
        <v>6874.55</v>
      </c>
      <c r="M58" s="61">
        <f>L58/3</f>
        <v>2291.5166666666669</v>
      </c>
      <c r="N58" s="288">
        <v>4.09</v>
      </c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0</v>
      </c>
      <c r="D59" s="432"/>
      <c r="E59" s="433"/>
      <c r="F59" s="434" t="s">
        <v>321</v>
      </c>
      <c r="G59" s="435"/>
      <c r="H59" s="436">
        <f>IF(ISERROR(SUM(H58:I58)/$H$19),"",(SUM(H58:I58)/$H$19))</f>
        <v>0</v>
      </c>
      <c r="I59" s="437"/>
      <c r="J59" s="434" t="s">
        <v>322</v>
      </c>
      <c r="K59" s="435"/>
      <c r="L59" s="115">
        <f>IF(ISERROR(L58/$H$19),"",(L58/$H$19))</f>
        <v>4.0899977391987248</v>
      </c>
      <c r="M59" s="116">
        <f>IF(ISERROR(M58/$H$19),"",(M58/$H$19))</f>
        <v>1.3633325797329083</v>
      </c>
      <c r="N59" s="194">
        <f>N58*H19</f>
        <v>6874.5537999999997</v>
      </c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0.7777777777777779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322"/>
      <c r="F63" s="324"/>
      <c r="G63" s="322"/>
      <c r="H63" s="323"/>
      <c r="I63" s="323"/>
      <c r="J63" s="324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17</v>
      </c>
      <c r="C64" s="236" t="s">
        <v>22</v>
      </c>
      <c r="D64" s="236" t="s">
        <v>20</v>
      </c>
      <c r="E64" s="322" t="s">
        <v>112</v>
      </c>
      <c r="F64" s="324" t="s">
        <v>112</v>
      </c>
      <c r="G64" s="322" t="s">
        <v>874</v>
      </c>
      <c r="H64" s="323"/>
      <c r="I64" s="323"/>
      <c r="J64" s="324"/>
      <c r="K64" s="238">
        <v>0.33333333333333331</v>
      </c>
      <c r="L64" s="238">
        <v>0.45833333333333331</v>
      </c>
      <c r="M64" s="236" t="s">
        <v>9</v>
      </c>
      <c r="N64" s="237">
        <f t="shared" si="2"/>
        <v>0.125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26</v>
      </c>
      <c r="E65" s="322" t="s">
        <v>108</v>
      </c>
      <c r="F65" s="324" t="s">
        <v>108</v>
      </c>
      <c r="G65" s="322" t="s">
        <v>331</v>
      </c>
      <c r="H65" s="323"/>
      <c r="I65" s="323"/>
      <c r="J65" s="324"/>
      <c r="K65" s="239">
        <v>0.375</v>
      </c>
      <c r="L65" s="239">
        <v>0.40277777777777773</v>
      </c>
      <c r="M65" s="236" t="s">
        <v>9</v>
      </c>
      <c r="N65" s="237">
        <f t="shared" si="2"/>
        <v>2.7777777777777735E-2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29</v>
      </c>
      <c r="E66" s="322" t="s">
        <v>106</v>
      </c>
      <c r="F66" s="324" t="s">
        <v>106</v>
      </c>
      <c r="G66" s="322" t="s">
        <v>331</v>
      </c>
      <c r="H66" s="323"/>
      <c r="I66" s="323"/>
      <c r="J66" s="324"/>
      <c r="K66" s="239">
        <v>0.52083333333333337</v>
      </c>
      <c r="L66" s="239">
        <v>0.58333333333333337</v>
      </c>
      <c r="M66" s="236" t="s">
        <v>9</v>
      </c>
      <c r="N66" s="237"/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26</v>
      </c>
      <c r="E67" s="322"/>
      <c r="F67" s="324"/>
      <c r="G67" s="322" t="s">
        <v>875</v>
      </c>
      <c r="H67" s="323"/>
      <c r="I67" s="323"/>
      <c r="J67" s="324"/>
      <c r="K67" s="238">
        <v>0.52777777777777779</v>
      </c>
      <c r="L67" s="238"/>
      <c r="M67" s="236" t="s">
        <v>9</v>
      </c>
      <c r="N67" s="237">
        <f t="shared" si="2"/>
        <v>0.47222222222222221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322"/>
      <c r="F68" s="324"/>
      <c r="G68" s="322"/>
      <c r="H68" s="323"/>
      <c r="I68" s="323"/>
      <c r="J68" s="324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 t="s">
        <v>6</v>
      </c>
      <c r="C69" s="236" t="s">
        <v>25</v>
      </c>
      <c r="D69" s="236" t="s">
        <v>11</v>
      </c>
      <c r="E69" s="322" t="s">
        <v>36</v>
      </c>
      <c r="F69" s="324" t="s">
        <v>36</v>
      </c>
      <c r="G69" s="322" t="s">
        <v>876</v>
      </c>
      <c r="H69" s="323"/>
      <c r="I69" s="323"/>
      <c r="J69" s="324"/>
      <c r="K69" s="239">
        <v>0.625</v>
      </c>
      <c r="L69" s="239">
        <v>0.6875</v>
      </c>
      <c r="M69" s="236" t="s">
        <v>9</v>
      </c>
      <c r="N69" s="237">
        <f t="shared" si="2"/>
        <v>6.25E-2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26</v>
      </c>
      <c r="E70" s="322" t="s">
        <v>123</v>
      </c>
      <c r="F70" s="324" t="s">
        <v>123</v>
      </c>
      <c r="H70" t="s">
        <v>877</v>
      </c>
      <c r="K70" s="239">
        <v>0.625</v>
      </c>
      <c r="L70" s="239">
        <v>0.63888888888888895</v>
      </c>
      <c r="M70" s="236" t="s">
        <v>9</v>
      </c>
      <c r="N70" s="237">
        <f t="shared" si="2"/>
        <v>1.3888888888888951E-2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11</v>
      </c>
      <c r="E71" s="322"/>
      <c r="F71" s="324"/>
      <c r="G71" s="322" t="s">
        <v>878</v>
      </c>
      <c r="H71" s="323"/>
      <c r="I71" s="323"/>
      <c r="J71" s="324"/>
      <c r="K71" s="239">
        <v>0.82638888888888884</v>
      </c>
      <c r="L71" s="239">
        <v>0.84027777777777779</v>
      </c>
      <c r="M71" s="236" t="s">
        <v>9</v>
      </c>
      <c r="N71" s="237">
        <f t="shared" si="2"/>
        <v>1.3888888888888951E-2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322"/>
      <c r="F72" s="324"/>
      <c r="G72" s="322"/>
      <c r="H72" s="323"/>
      <c r="I72" s="323"/>
      <c r="J72" s="324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 t="s">
        <v>10</v>
      </c>
      <c r="C73" s="236" t="s">
        <v>28</v>
      </c>
      <c r="D73" s="236" t="s">
        <v>23</v>
      </c>
      <c r="E73" s="322"/>
      <c r="F73" s="324"/>
      <c r="G73" s="322" t="s">
        <v>879</v>
      </c>
      <c r="H73" s="323"/>
      <c r="I73" s="323"/>
      <c r="J73" s="324"/>
      <c r="K73" s="239">
        <v>0.97222222222222221</v>
      </c>
      <c r="L73" s="239">
        <v>1.0069444444444444</v>
      </c>
      <c r="M73" s="236" t="s">
        <v>339</v>
      </c>
      <c r="N73" s="237">
        <f t="shared" si="2"/>
        <v>3.472222222222221E-2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20</v>
      </c>
      <c r="E74" s="322"/>
      <c r="F74" s="324"/>
      <c r="G74" s="322" t="s">
        <v>880</v>
      </c>
      <c r="H74" s="323"/>
      <c r="I74" s="323"/>
      <c r="J74" s="324"/>
      <c r="K74" s="238">
        <v>0.125</v>
      </c>
      <c r="L74" s="238">
        <v>0.15277777777777776</v>
      </c>
      <c r="M74" s="236" t="s">
        <v>339</v>
      </c>
      <c r="N74" s="237">
        <f t="shared" si="2"/>
        <v>2.7777777777777762E-2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322"/>
      <c r="F75" s="324"/>
      <c r="G75" s="322"/>
      <c r="H75" s="323"/>
      <c r="I75" s="323"/>
      <c r="J75" s="324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322"/>
      <c r="F76" s="324"/>
      <c r="G76" s="322"/>
      <c r="H76" s="323"/>
      <c r="I76" s="323"/>
      <c r="J76" s="324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322"/>
      <c r="F77" s="324"/>
      <c r="G77" s="322"/>
      <c r="H77" s="323"/>
      <c r="I77" s="323"/>
      <c r="J77" s="324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/>
      <c r="H78" s="323"/>
      <c r="I78" s="323"/>
      <c r="J78" s="324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322"/>
      <c r="F79" s="324"/>
      <c r="G79" s="322"/>
      <c r="H79" s="323"/>
      <c r="I79" s="323"/>
      <c r="J79" s="324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322"/>
      <c r="F80" s="324"/>
      <c r="G80" s="322"/>
      <c r="H80" s="323"/>
      <c r="I80" s="323"/>
      <c r="J80" s="324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322"/>
      <c r="F81" s="324"/>
      <c r="G81" s="322"/>
      <c r="H81" s="323"/>
      <c r="I81" s="323"/>
      <c r="J81" s="324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322"/>
      <c r="F83" s="324"/>
      <c r="G83" s="322"/>
      <c r="H83" s="323"/>
      <c r="I83" s="323"/>
      <c r="J83" s="324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 t="s">
        <v>881</v>
      </c>
      <c r="D136" s="481"/>
      <c r="E136" s="463" t="s">
        <v>393</v>
      </c>
      <c r="F136" s="464"/>
      <c r="G136" s="452" t="s">
        <v>345</v>
      </c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438</v>
      </c>
      <c r="D137" s="479"/>
      <c r="E137" s="463" t="s">
        <v>395</v>
      </c>
      <c r="F137" s="464"/>
      <c r="G137" s="452"/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 t="s">
        <v>255</v>
      </c>
      <c r="C143" s="215">
        <v>18</v>
      </c>
      <c r="D143" s="335" t="s">
        <v>882</v>
      </c>
      <c r="E143" s="335"/>
      <c r="F143" s="335"/>
      <c r="G143" s="336" t="s">
        <v>538</v>
      </c>
      <c r="H143" s="336"/>
      <c r="I143" s="336"/>
      <c r="J143" s="336">
        <v>21</v>
      </c>
      <c r="K143" s="336"/>
      <c r="L143" s="335" t="s">
        <v>355</v>
      </c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/>
      <c r="C144" s="215">
        <v>15</v>
      </c>
      <c r="D144" s="335" t="s">
        <v>883</v>
      </c>
      <c r="E144" s="335"/>
      <c r="F144" s="335"/>
      <c r="G144" s="336" t="s">
        <v>884</v>
      </c>
      <c r="H144" s="336"/>
      <c r="I144" s="336"/>
      <c r="J144" s="336">
        <v>41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3</v>
      </c>
      <c r="D145" s="335" t="s">
        <v>885</v>
      </c>
      <c r="E145" s="335"/>
      <c r="F145" s="335"/>
      <c r="G145" s="336" t="s">
        <v>357</v>
      </c>
      <c r="H145" s="336"/>
      <c r="I145" s="336"/>
      <c r="J145" s="336">
        <v>45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9</v>
      </c>
      <c r="D146" s="335" t="s">
        <v>886</v>
      </c>
      <c r="E146" s="335"/>
      <c r="F146" s="335"/>
      <c r="G146" s="336" t="s">
        <v>367</v>
      </c>
      <c r="H146" s="336"/>
      <c r="I146" s="336"/>
      <c r="J146" s="336">
        <v>84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17</v>
      </c>
      <c r="D147" s="335" t="s">
        <v>887</v>
      </c>
      <c r="E147" s="335"/>
      <c r="F147" s="335"/>
      <c r="G147" s="336" t="s">
        <v>446</v>
      </c>
      <c r="H147" s="336"/>
      <c r="I147" s="336"/>
      <c r="J147" s="336">
        <v>14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13</v>
      </c>
      <c r="D148" s="335" t="s">
        <v>888</v>
      </c>
      <c r="E148" s="335"/>
      <c r="F148" s="335"/>
      <c r="G148" s="336" t="s">
        <v>359</v>
      </c>
      <c r="H148" s="336"/>
      <c r="I148" s="336"/>
      <c r="J148" s="336">
        <v>42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35" t="s">
        <v>889</v>
      </c>
      <c r="E149" s="335"/>
      <c r="F149" s="335"/>
      <c r="G149" s="336" t="s">
        <v>365</v>
      </c>
      <c r="H149" s="336"/>
      <c r="I149" s="336"/>
      <c r="J149" s="336" t="s">
        <v>890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35" t="s">
        <v>889</v>
      </c>
      <c r="E150" s="335"/>
      <c r="F150" s="335"/>
      <c r="G150" s="336" t="s">
        <v>365</v>
      </c>
      <c r="H150" s="336"/>
      <c r="I150" s="336"/>
      <c r="J150" s="336">
        <v>3050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12</v>
      </c>
      <c r="D151" s="335" t="s">
        <v>891</v>
      </c>
      <c r="E151" s="335"/>
      <c r="F151" s="335"/>
      <c r="G151" s="336" t="s">
        <v>372</v>
      </c>
      <c r="H151" s="336"/>
      <c r="I151" s="336"/>
      <c r="J151" s="336">
        <v>78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35"/>
      <c r="E152" s="335"/>
      <c r="F152" s="335"/>
      <c r="G152" s="336"/>
      <c r="H152" s="336"/>
      <c r="I152" s="336"/>
      <c r="J152" s="336"/>
      <c r="K152" s="336"/>
      <c r="L152" s="335"/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 t="s">
        <v>261</v>
      </c>
      <c r="C153" s="215">
        <v>12</v>
      </c>
      <c r="D153" s="335" t="s">
        <v>892</v>
      </c>
      <c r="E153" s="335"/>
      <c r="F153" s="335"/>
      <c r="G153" s="336" t="s">
        <v>372</v>
      </c>
      <c r="H153" s="336"/>
      <c r="I153" s="336"/>
      <c r="J153" s="336">
        <v>50</v>
      </c>
      <c r="K153" s="336"/>
      <c r="L153" s="335" t="s">
        <v>355</v>
      </c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 t="s">
        <v>376</v>
      </c>
      <c r="D154" s="335" t="s">
        <v>893</v>
      </c>
      <c r="E154" s="335"/>
      <c r="F154" s="335"/>
      <c r="G154" s="336" t="s">
        <v>357</v>
      </c>
      <c r="H154" s="336"/>
      <c r="I154" s="336"/>
      <c r="J154" s="336">
        <v>67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 t="s">
        <v>378</v>
      </c>
      <c r="D155" s="335" t="s">
        <v>894</v>
      </c>
      <c r="E155" s="335"/>
      <c r="F155" s="335"/>
      <c r="G155" s="336" t="s">
        <v>367</v>
      </c>
      <c r="H155" s="336"/>
      <c r="I155" s="336"/>
      <c r="J155" s="336">
        <v>39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14</v>
      </c>
      <c r="D156" s="335" t="s">
        <v>895</v>
      </c>
      <c r="E156" s="335"/>
      <c r="F156" s="335"/>
      <c r="G156" s="336" t="s">
        <v>456</v>
      </c>
      <c r="H156" s="336"/>
      <c r="I156" s="336"/>
      <c r="J156" s="336">
        <v>25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19</v>
      </c>
      <c r="D157" s="335" t="s">
        <v>896</v>
      </c>
      <c r="E157" s="335"/>
      <c r="F157" s="335"/>
      <c r="G157" s="336" t="s">
        <v>367</v>
      </c>
      <c r="H157" s="336"/>
      <c r="I157" s="336"/>
      <c r="J157" s="336">
        <v>13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13</v>
      </c>
      <c r="D158" s="335" t="s">
        <v>897</v>
      </c>
      <c r="E158" s="335"/>
      <c r="F158" s="335"/>
      <c r="G158" s="336" t="s">
        <v>359</v>
      </c>
      <c r="H158" s="336"/>
      <c r="I158" s="336"/>
      <c r="J158" s="336">
        <v>48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18</v>
      </c>
      <c r="D159" s="335" t="s">
        <v>898</v>
      </c>
      <c r="E159" s="335"/>
      <c r="F159" s="335"/>
      <c r="G159" s="336" t="s">
        <v>359</v>
      </c>
      <c r="H159" s="336"/>
      <c r="I159" s="336"/>
      <c r="J159" s="336">
        <v>22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 t="s">
        <v>376</v>
      </c>
      <c r="D160" s="335" t="s">
        <v>893</v>
      </c>
      <c r="E160" s="335"/>
      <c r="F160" s="335"/>
      <c r="G160" s="336" t="s">
        <v>357</v>
      </c>
      <c r="H160" s="336"/>
      <c r="I160" s="336"/>
      <c r="J160" s="336">
        <v>22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335"/>
      <c r="E161" s="335"/>
      <c r="F161" s="335"/>
      <c r="G161" s="336"/>
      <c r="H161" s="336"/>
      <c r="I161" s="336"/>
      <c r="J161" s="336"/>
      <c r="K161" s="336"/>
      <c r="L161" s="335"/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35"/>
      <c r="E162" s="335"/>
      <c r="F162" s="335"/>
      <c r="G162" s="336"/>
      <c r="H162" s="336"/>
      <c r="I162" s="336"/>
      <c r="J162" s="336"/>
      <c r="K162" s="336"/>
      <c r="L162" s="335"/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 t="s">
        <v>267</v>
      </c>
      <c r="C163" s="215" t="s">
        <v>376</v>
      </c>
      <c r="D163" s="335" t="s">
        <v>899</v>
      </c>
      <c r="E163" s="335"/>
      <c r="F163" s="335"/>
      <c r="G163" s="336" t="s">
        <v>766</v>
      </c>
      <c r="H163" s="336"/>
      <c r="I163" s="336"/>
      <c r="J163" s="336">
        <v>108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10</v>
      </c>
      <c r="D164" s="335" t="s">
        <v>900</v>
      </c>
      <c r="E164" s="335"/>
      <c r="F164" s="335"/>
      <c r="G164" s="336" t="s">
        <v>766</v>
      </c>
      <c r="H164" s="336"/>
      <c r="I164" s="336"/>
      <c r="J164" s="336">
        <v>179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17</v>
      </c>
      <c r="D165" s="335" t="s">
        <v>901</v>
      </c>
      <c r="E165" s="335"/>
      <c r="F165" s="335"/>
      <c r="G165" s="336" t="s">
        <v>367</v>
      </c>
      <c r="H165" s="336"/>
      <c r="I165" s="336"/>
      <c r="J165" s="336">
        <v>12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12</v>
      </c>
      <c r="D166" s="335" t="s">
        <v>902</v>
      </c>
      <c r="E166" s="335"/>
      <c r="F166" s="335"/>
      <c r="G166" s="336" t="s">
        <v>372</v>
      </c>
      <c r="H166" s="336"/>
      <c r="I166" s="336"/>
      <c r="J166" s="336" t="s">
        <v>903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>
        <v>5</v>
      </c>
      <c r="D167" s="335" t="s">
        <v>899</v>
      </c>
      <c r="E167" s="335"/>
      <c r="F167" s="335"/>
      <c r="G167" s="336" t="s">
        <v>766</v>
      </c>
      <c r="H167" s="336"/>
      <c r="I167" s="336"/>
      <c r="J167" s="336">
        <v>84</v>
      </c>
      <c r="K167" s="336"/>
      <c r="L167" s="335" t="s">
        <v>355</v>
      </c>
      <c r="M167" s="335"/>
    </row>
    <row r="168" spans="1:18" ht="14.25" x14ac:dyDescent="0.2">
      <c r="B168" s="216"/>
      <c r="C168" s="215">
        <v>9</v>
      </c>
      <c r="D168" s="335" t="s">
        <v>900</v>
      </c>
      <c r="E168" s="335"/>
      <c r="F168" s="335"/>
      <c r="G168" s="336" t="s">
        <v>367</v>
      </c>
      <c r="H168" s="336"/>
      <c r="I168" s="336"/>
      <c r="J168" s="336" t="s">
        <v>904</v>
      </c>
      <c r="K168" s="336"/>
      <c r="L168" s="335" t="s">
        <v>355</v>
      </c>
      <c r="M168" s="335"/>
    </row>
    <row r="169" spans="1:18" ht="14.25" x14ac:dyDescent="0.2">
      <c r="B169" s="216"/>
      <c r="C169" s="215">
        <v>13</v>
      </c>
      <c r="D169" s="335" t="s">
        <v>905</v>
      </c>
      <c r="E169" s="335"/>
      <c r="F169" s="335"/>
      <c r="G169" s="336" t="s">
        <v>857</v>
      </c>
      <c r="H169" s="336"/>
      <c r="I169" s="336"/>
      <c r="J169" s="336">
        <v>50</v>
      </c>
      <c r="K169" s="336"/>
      <c r="L169" s="335" t="s">
        <v>355</v>
      </c>
      <c r="M169" s="335"/>
    </row>
    <row r="170" spans="1:18" ht="14.25" x14ac:dyDescent="0.2">
      <c r="B170" s="216"/>
      <c r="C170" s="215">
        <v>18</v>
      </c>
      <c r="D170" s="335" t="s">
        <v>906</v>
      </c>
      <c r="E170" s="335"/>
      <c r="F170" s="335"/>
      <c r="G170" s="336" t="s">
        <v>382</v>
      </c>
      <c r="H170" s="336"/>
      <c r="I170" s="336"/>
      <c r="J170" s="336">
        <v>14</v>
      </c>
      <c r="K170" s="336"/>
      <c r="L170" s="335" t="s">
        <v>355</v>
      </c>
      <c r="M170" s="335"/>
    </row>
    <row r="171" spans="1:18" ht="14.25" x14ac:dyDescent="0.2">
      <c r="B171" s="216"/>
      <c r="C171" s="215"/>
      <c r="D171" s="337"/>
      <c r="E171" s="338"/>
      <c r="F171" s="339"/>
      <c r="G171" s="336"/>
      <c r="H171" s="336"/>
      <c r="I171" s="336"/>
      <c r="J171" s="336"/>
      <c r="K171" s="336"/>
      <c r="L171" s="335"/>
      <c r="M171" s="335"/>
    </row>
    <row r="172" spans="1:18" ht="14.25" x14ac:dyDescent="0.2">
      <c r="B172" s="216"/>
      <c r="C172" s="215"/>
      <c r="D172" s="335"/>
      <c r="E172" s="335"/>
      <c r="F172" s="335"/>
      <c r="G172" s="336"/>
      <c r="H172" s="336"/>
      <c r="I172" s="336"/>
      <c r="J172" s="336"/>
      <c r="K172" s="336"/>
      <c r="L172" s="335"/>
      <c r="M172" s="335"/>
    </row>
    <row r="173" spans="1:18" ht="14.25" x14ac:dyDescent="0.2">
      <c r="B173" s="216"/>
      <c r="C173" s="215"/>
      <c r="D173" s="335"/>
      <c r="E173" s="335"/>
      <c r="F173" s="335"/>
      <c r="G173" s="336"/>
      <c r="H173" s="336"/>
      <c r="I173" s="336"/>
      <c r="J173" s="336"/>
      <c r="K173" s="336"/>
      <c r="L173" s="335"/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E4A39BA6-AFC5-40CE-9745-87497C7FD0A8}">
      <formula1>INDIRECT(D63)</formula1>
    </dataValidation>
  </dataValidations>
  <hyperlinks>
    <hyperlink ref="J14:L15" location="Summary!A1" display="MTD Summary " xr:uid="{8B49EFD2-571B-4C06-BA84-B9660D69FAEB}"/>
    <hyperlink ref="J16:L17" location="Graph!A1" display="MTD Trendings" xr:uid="{DF39DC17-DC3D-49C1-9370-10558B678960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1E6A07E-F408-4623-A41B-19AF18C163B1}">
          <x14:formula1>
            <xm:f>Sheet3!$B$3:$B$5</xm:f>
          </x14:formula1>
          <xm:sqref>B143:B165 B132</xm:sqref>
        </x14:dataValidation>
        <x14:dataValidation type="list" allowBlank="1" showInputMessage="1" xr:uid="{064EF00C-9BAB-42DC-A55A-4331E4C7146F}">
          <x14:formula1>
            <xm:f>Sheet3!$D$3:$D$11</xm:f>
          </x14:formula1>
          <xm:sqref>C132</xm:sqref>
        </x14:dataValidation>
        <x14:dataValidation type="list" allowBlank="1" showInputMessage="1" showErrorMessage="1" xr:uid="{0E070E62-DDB6-4CAF-954E-544C6D7E2934}">
          <x14:formula1>
            <xm:f>Sheet3!$C$3:$C$4</xm:f>
          </x14:formula1>
          <xm:sqref>M63:M132</xm:sqref>
        </x14:dataValidation>
        <x14:dataValidation type="list" allowBlank="1" showInputMessage="1" showErrorMessage="1" xr:uid="{281A4F88-8B7F-4094-AFAC-EF8271E12235}">
          <x14:formula1>
            <xm:f>List!$B$5:$B$8</xm:f>
          </x14:formula1>
          <xm:sqref>B63:B131</xm:sqref>
        </x14:dataValidation>
        <x14:dataValidation type="list" allowBlank="1" showInputMessage="1" showErrorMessage="1" xr:uid="{C3827776-0CE2-4641-ABC1-6680A02BDB17}">
          <x14:formula1>
            <xm:f>List!$B$10:$B$12</xm:f>
          </x14:formula1>
          <xm:sqref>C63:C131</xm:sqref>
        </x14:dataValidation>
        <x14:dataValidation type="list" allowBlank="1" showInputMessage="1" showErrorMessage="1" xr:uid="{4B12D603-E286-45C5-8D0A-84A44C556AE1}">
          <x14:formula1>
            <xm:f>List!$C$5:$C$14</xm:f>
          </x14:formula1>
          <xm:sqref>D63:D131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97F9-26BC-4368-8A6B-385C8682D559}">
  <sheetPr>
    <pageSetUpPr fitToPage="1"/>
  </sheetPr>
  <dimension ref="A1:R188"/>
  <sheetViews>
    <sheetView showGridLines="0" view="pageBreakPreview" topLeftCell="A115" zoomScale="80" zoomScaleNormal="90" zoomScaleSheetLayoutView="80" zoomScalePageLayoutView="80" workbookViewId="0">
      <selection activeCell="J14" sqref="J14:L15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16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1660.6</v>
      </c>
      <c r="K6" s="420"/>
      <c r="L6" s="420">
        <f ca="1">Summary!G23</f>
        <v>1614.94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130</v>
      </c>
      <c r="E7" s="84">
        <v>60</v>
      </c>
      <c r="F7" s="395">
        <v>50</v>
      </c>
      <c r="G7" s="396"/>
      <c r="H7" s="374">
        <f>SUM(D7:D10)</f>
        <v>550.33000000000004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140</v>
      </c>
      <c r="E8" s="86">
        <v>60</v>
      </c>
      <c r="F8" s="397">
        <v>50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140</v>
      </c>
      <c r="E9" s="86">
        <v>60</v>
      </c>
      <c r="F9" s="397">
        <v>50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140.33000000000001</v>
      </c>
      <c r="E10" s="88">
        <v>60</v>
      </c>
      <c r="F10" s="399">
        <v>50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110</v>
      </c>
      <c r="E11" s="90">
        <v>50</v>
      </c>
      <c r="F11" s="386">
        <v>50</v>
      </c>
      <c r="G11" s="387"/>
      <c r="H11" s="388">
        <f>SUM(D11:D14)</f>
        <v>550.27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140</v>
      </c>
      <c r="E12" s="92">
        <v>60</v>
      </c>
      <c r="F12" s="391">
        <v>50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140</v>
      </c>
      <c r="E13" s="92">
        <v>60</v>
      </c>
      <c r="F13" s="391">
        <v>50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160.27000000000001</v>
      </c>
      <c r="E14" s="94">
        <v>60</v>
      </c>
      <c r="F14" s="393">
        <v>50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120</v>
      </c>
      <c r="E15" s="96">
        <v>70</v>
      </c>
      <c r="F15" s="372">
        <v>40</v>
      </c>
      <c r="G15" s="373"/>
      <c r="H15" s="374">
        <f>SUM(D15:D18)</f>
        <v>560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150</v>
      </c>
      <c r="E16" s="98">
        <v>70</v>
      </c>
      <c r="F16" s="401">
        <v>40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140</v>
      </c>
      <c r="E17" s="98">
        <v>70</v>
      </c>
      <c r="F17" s="401">
        <v>40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150</v>
      </c>
      <c r="E18" s="100">
        <v>70</v>
      </c>
      <c r="F18" s="404">
        <v>40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1660.6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6</v>
      </c>
      <c r="D25" s="102">
        <v>50</v>
      </c>
      <c r="E25" s="56">
        <v>7</v>
      </c>
      <c r="F25" s="107"/>
      <c r="G25" s="410">
        <v>8</v>
      </c>
      <c r="H25" s="411"/>
      <c r="I25" s="111">
        <v>50</v>
      </c>
      <c r="J25" s="38">
        <f t="shared" ref="J25:J40" si="0">C25+E25+G25</f>
        <v>21</v>
      </c>
      <c r="K25" s="412">
        <f>D25+F25+I25</f>
        <v>100</v>
      </c>
      <c r="L25" s="413"/>
      <c r="M25" s="2"/>
    </row>
    <row r="26" spans="2:14" ht="14.1" customHeight="1" x14ac:dyDescent="0.2">
      <c r="B26" s="80" t="s">
        <v>281</v>
      </c>
      <c r="C26" s="45">
        <v>6</v>
      </c>
      <c r="D26" s="103">
        <v>90</v>
      </c>
      <c r="E26" s="57">
        <v>5</v>
      </c>
      <c r="F26" s="108">
        <v>178</v>
      </c>
      <c r="G26" s="406">
        <v>5</v>
      </c>
      <c r="H26" s="407"/>
      <c r="I26" s="112">
        <v>148</v>
      </c>
      <c r="J26" s="25">
        <f t="shared" si="0"/>
        <v>16</v>
      </c>
      <c r="K26" s="408">
        <f t="shared" ref="K26:K39" si="1">D26+F26+I26</f>
        <v>416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116</v>
      </c>
      <c r="E27" s="57"/>
      <c r="F27" s="108">
        <v>170</v>
      </c>
      <c r="G27" s="406"/>
      <c r="H27" s="407"/>
      <c r="I27" s="112">
        <v>182</v>
      </c>
      <c r="J27" s="25">
        <f t="shared" si="0"/>
        <v>0</v>
      </c>
      <c r="K27" s="408">
        <f t="shared" si="1"/>
        <v>468</v>
      </c>
      <c r="L27" s="409"/>
      <c r="M27" s="2"/>
    </row>
    <row r="28" spans="2:14" ht="14.1" customHeight="1" x14ac:dyDescent="0.2">
      <c r="B28" s="80" t="s">
        <v>283</v>
      </c>
      <c r="C28" s="45">
        <v>7</v>
      </c>
      <c r="D28" s="103"/>
      <c r="E28" s="57">
        <v>5</v>
      </c>
      <c r="F28" s="108"/>
      <c r="G28" s="406">
        <v>5</v>
      </c>
      <c r="H28" s="407"/>
      <c r="I28" s="112"/>
      <c r="J28" s="25">
        <f t="shared" si="0"/>
        <v>17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3</v>
      </c>
      <c r="D29" s="103"/>
      <c r="E29" s="57">
        <v>5</v>
      </c>
      <c r="F29" s="108"/>
      <c r="G29" s="406">
        <v>4</v>
      </c>
      <c r="H29" s="407"/>
      <c r="I29" s="112"/>
      <c r="J29" s="25">
        <f t="shared" si="0"/>
        <v>12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/>
      <c r="D30" s="103">
        <v>49.5</v>
      </c>
      <c r="E30" s="57">
        <v>1</v>
      </c>
      <c r="F30" s="108"/>
      <c r="G30" s="406"/>
      <c r="H30" s="407"/>
      <c r="I30" s="112"/>
      <c r="J30" s="25">
        <f t="shared" si="0"/>
        <v>1</v>
      </c>
      <c r="K30" s="408">
        <f t="shared" si="1"/>
        <v>49.5</v>
      </c>
      <c r="L30" s="409"/>
    </row>
    <row r="31" spans="2:14" ht="14.1" customHeight="1" x14ac:dyDescent="0.2">
      <c r="B31" s="80" t="s">
        <v>286</v>
      </c>
      <c r="C31" s="45">
        <v>3</v>
      </c>
      <c r="D31" s="103"/>
      <c r="E31" s="57">
        <v>2</v>
      </c>
      <c r="F31" s="108"/>
      <c r="G31" s="406">
        <v>2</v>
      </c>
      <c r="H31" s="407"/>
      <c r="I31" s="112"/>
      <c r="J31" s="25">
        <f t="shared" si="0"/>
        <v>7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1</v>
      </c>
      <c r="F32" s="108"/>
      <c r="G32" s="406">
        <v>1</v>
      </c>
      <c r="H32" s="407"/>
      <c r="I32" s="112"/>
      <c r="J32" s="25">
        <f t="shared" si="0"/>
        <v>3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/>
      <c r="G33" s="406">
        <v>1</v>
      </c>
      <c r="H33" s="407"/>
      <c r="I33" s="112"/>
      <c r="J33" s="25">
        <f t="shared" si="0"/>
        <v>1</v>
      </c>
      <c r="K33" s="408">
        <f t="shared" si="1"/>
        <v>0</v>
      </c>
      <c r="L33" s="409"/>
    </row>
    <row r="34" spans="1:16" ht="14.1" customHeight="1" x14ac:dyDescent="0.2">
      <c r="B34" s="80" t="s">
        <v>289</v>
      </c>
      <c r="C34" s="45">
        <v>1</v>
      </c>
      <c r="D34" s="103"/>
      <c r="E34" s="57"/>
      <c r="F34" s="108"/>
      <c r="G34" s="406"/>
      <c r="H34" s="407"/>
      <c r="I34" s="112"/>
      <c r="J34" s="25">
        <f t="shared" si="0"/>
        <v>1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/>
      <c r="E36" s="58"/>
      <c r="F36" s="109">
        <v>38</v>
      </c>
      <c r="G36" s="406"/>
      <c r="H36" s="407"/>
      <c r="I36" s="113"/>
      <c r="J36" s="25">
        <f t="shared" si="0"/>
        <v>0</v>
      </c>
      <c r="K36" s="408">
        <f t="shared" si="1"/>
        <v>38</v>
      </c>
      <c r="L36" s="409"/>
    </row>
    <row r="37" spans="1:16" ht="14.1" customHeight="1" x14ac:dyDescent="0.2">
      <c r="B37" s="37" t="s">
        <v>292</v>
      </c>
      <c r="C37" s="55"/>
      <c r="D37" s="104"/>
      <c r="E37" s="58"/>
      <c r="F37" s="109"/>
      <c r="G37" s="406"/>
      <c r="H37" s="407"/>
      <c r="I37" s="113"/>
      <c r="J37" s="25">
        <f t="shared" si="0"/>
        <v>0</v>
      </c>
      <c r="K37" s="408">
        <f t="shared" si="1"/>
        <v>0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v>120</v>
      </c>
      <c r="J38" s="25">
        <f t="shared" si="0"/>
        <v>0</v>
      </c>
      <c r="K38" s="408">
        <f t="shared" si="1"/>
        <v>120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180</v>
      </c>
      <c r="J39" s="25">
        <f t="shared" si="0"/>
        <v>0</v>
      </c>
      <c r="K39" s="408">
        <f t="shared" si="1"/>
        <v>180</v>
      </c>
      <c r="L39" s="409"/>
    </row>
    <row r="40" spans="1:16" ht="14.1" customHeight="1" thickBot="1" x14ac:dyDescent="0.25">
      <c r="B40" s="81" t="s">
        <v>295</v>
      </c>
      <c r="C40" s="47"/>
      <c r="D40" s="105">
        <v>116.64</v>
      </c>
      <c r="E40" s="59"/>
      <c r="F40" s="110">
        <v>128.52000000000001</v>
      </c>
      <c r="G40" s="473"/>
      <c r="H40" s="474"/>
      <c r="I40" s="114">
        <v>68.28</v>
      </c>
      <c r="J40" s="26">
        <f t="shared" si="0"/>
        <v>0</v>
      </c>
      <c r="K40" s="475">
        <f>D40+F40+I40</f>
        <v>313.44000000000005</v>
      </c>
      <c r="L40" s="476"/>
    </row>
    <row r="41" spans="1:16" ht="17.25" customHeight="1" x14ac:dyDescent="0.2">
      <c r="B41" s="15" t="s">
        <v>273</v>
      </c>
      <c r="C41" s="16">
        <f>SUM(C25:C40)</f>
        <v>27</v>
      </c>
      <c r="D41" s="106">
        <f>SUM(D25:D40)</f>
        <v>422.14</v>
      </c>
      <c r="E41" s="16">
        <f>SUM(E25:E40)</f>
        <v>26</v>
      </c>
      <c r="F41" s="106">
        <f>SUM(F25:F40)</f>
        <v>514.52</v>
      </c>
      <c r="G41" s="430">
        <f>SUM(G25:H40)</f>
        <v>26</v>
      </c>
      <c r="H41" s="430"/>
      <c r="I41" s="106">
        <f>SUM(I25:I40)</f>
        <v>748.28</v>
      </c>
      <c r="J41" s="16">
        <f>SUM(J25:J40)</f>
        <v>79</v>
      </c>
      <c r="K41" s="477">
        <f>SUM(K25:L40)</f>
        <v>1684.94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>
        <v>0.05</v>
      </c>
      <c r="D45" s="210"/>
      <c r="E45" s="209">
        <v>0.5</v>
      </c>
      <c r="F45" s="210"/>
      <c r="G45" s="442">
        <v>0</v>
      </c>
      <c r="H45" s="472"/>
      <c r="I45" s="209">
        <v>0</v>
      </c>
      <c r="J45" s="209">
        <v>0.2</v>
      </c>
      <c r="K45" s="209">
        <v>0.2</v>
      </c>
      <c r="L45" s="209">
        <v>0.1</v>
      </c>
      <c r="M45" s="211">
        <v>0</v>
      </c>
      <c r="N45" s="136"/>
    </row>
    <row r="46" spans="1:16" s="11" customFormat="1" ht="14.45" customHeight="1" x14ac:dyDescent="0.2">
      <c r="B46" s="212" t="s">
        <v>299</v>
      </c>
      <c r="C46" s="40">
        <f>C45*65</f>
        <v>3.25</v>
      </c>
      <c r="D46" s="40">
        <f>D45*50</f>
        <v>0</v>
      </c>
      <c r="E46" s="40">
        <f>E45*50</f>
        <v>25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10</v>
      </c>
      <c r="K46" s="40">
        <f>K45*50</f>
        <v>10</v>
      </c>
      <c r="L46" s="40">
        <f>L45*50</f>
        <v>5</v>
      </c>
      <c r="M46" s="79">
        <f>M45*50</f>
        <v>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>
        <v>0</v>
      </c>
      <c r="D48" s="209">
        <v>0</v>
      </c>
      <c r="E48" s="209">
        <v>0</v>
      </c>
      <c r="F48" s="209">
        <v>0.1</v>
      </c>
      <c r="G48" s="442">
        <v>0.1</v>
      </c>
      <c r="H48" s="443"/>
      <c r="I48" s="209">
        <v>0.4</v>
      </c>
      <c r="J48" s="209">
        <v>0</v>
      </c>
      <c r="K48" s="209">
        <v>0</v>
      </c>
      <c r="L48" s="209">
        <v>0.1</v>
      </c>
      <c r="M48" s="211">
        <v>0.05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16</v>
      </c>
      <c r="G49" s="438">
        <f>G48*100</f>
        <v>10</v>
      </c>
      <c r="H49" s="439"/>
      <c r="I49" s="40">
        <f>I48*100</f>
        <v>40</v>
      </c>
      <c r="J49" s="40">
        <f>J48*150</f>
        <v>0</v>
      </c>
      <c r="K49" s="40">
        <f>K48*70</f>
        <v>0</v>
      </c>
      <c r="L49" s="40">
        <f>L48*70</f>
        <v>7</v>
      </c>
      <c r="M49" s="79">
        <f>M48*70</f>
        <v>3.5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/>
      <c r="D51" s="213"/>
      <c r="E51" s="214"/>
      <c r="F51" s="209"/>
      <c r="G51" s="442"/>
      <c r="H51" s="443"/>
      <c r="I51" s="209">
        <v>0</v>
      </c>
      <c r="J51" s="209">
        <v>0.02</v>
      </c>
      <c r="K51" s="209">
        <v>0</v>
      </c>
      <c r="L51" s="209">
        <v>0.06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5</v>
      </c>
      <c r="K52" s="41">
        <f>K51*250</f>
        <v>0</v>
      </c>
      <c r="L52" s="41">
        <f>L51*250</f>
        <v>15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149.75</v>
      </c>
      <c r="F54" s="39" t="s">
        <v>309</v>
      </c>
      <c r="G54" s="188"/>
      <c r="H54" s="188"/>
      <c r="I54" s="30">
        <f>'15'!D54</f>
        <v>224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/>
      <c r="D58" s="60"/>
      <c r="E58" s="124">
        <f>SUM(C58:D58)</f>
        <v>0</v>
      </c>
      <c r="F58" s="425"/>
      <c r="G58" s="426"/>
      <c r="H58" s="60"/>
      <c r="I58" s="61"/>
      <c r="J58" s="422"/>
      <c r="K58" s="428"/>
      <c r="L58" s="60">
        <v>6758.64</v>
      </c>
      <c r="M58" s="61">
        <f>L58/3</f>
        <v>2252.88</v>
      </c>
      <c r="N58" s="288">
        <v>4.07</v>
      </c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0</v>
      </c>
      <c r="D59" s="432"/>
      <c r="E59" s="433"/>
      <c r="F59" s="434" t="s">
        <v>321</v>
      </c>
      <c r="G59" s="435"/>
      <c r="H59" s="436">
        <f>IF(ISERROR(SUM(H58:I58)/$H$19),"",(SUM(H58:I58)/$H$19))</f>
        <v>0</v>
      </c>
      <c r="I59" s="437"/>
      <c r="J59" s="434" t="s">
        <v>322</v>
      </c>
      <c r="K59" s="435"/>
      <c r="L59" s="115">
        <f>IF(ISERROR(L58/$H$19),"",(L58/$H$19))</f>
        <v>4.0699987956160424</v>
      </c>
      <c r="M59" s="116">
        <f>IF(ISERROR(M58/$H$19),"",(M58/$H$19))</f>
        <v>1.3566662652053476</v>
      </c>
      <c r="N59" s="194">
        <f>N58*H19</f>
        <v>6758.6419999999998</v>
      </c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0.1111111111111111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322"/>
      <c r="F63" s="324"/>
      <c r="G63" s="322"/>
      <c r="H63" s="323"/>
      <c r="I63" s="323"/>
      <c r="J63" s="324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17</v>
      </c>
      <c r="C64" s="236" t="s">
        <v>22</v>
      </c>
      <c r="D64" s="236" t="s">
        <v>26</v>
      </c>
      <c r="E64" s="322" t="s">
        <v>122</v>
      </c>
      <c r="F64" s="324" t="s">
        <v>122</v>
      </c>
      <c r="G64" s="322" t="s">
        <v>907</v>
      </c>
      <c r="H64" s="323"/>
      <c r="I64" s="323"/>
      <c r="J64" s="324"/>
      <c r="K64" s="238">
        <v>0.4375</v>
      </c>
      <c r="L64" s="238">
        <v>0.4513888888888889</v>
      </c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26</v>
      </c>
      <c r="E65" s="322"/>
      <c r="F65" s="324"/>
      <c r="G65" s="322" t="s">
        <v>908</v>
      </c>
      <c r="H65" s="323"/>
      <c r="I65" s="323"/>
      <c r="J65" s="324"/>
      <c r="K65" s="239">
        <v>0.5</v>
      </c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322"/>
      <c r="F66" s="324"/>
      <c r="G66" s="322"/>
      <c r="H66" s="323"/>
      <c r="I66" s="323"/>
      <c r="J66" s="324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 t="s">
        <v>6</v>
      </c>
      <c r="C67" s="236"/>
      <c r="D67" s="236"/>
      <c r="E67" s="322"/>
      <c r="F67" s="324"/>
      <c r="G67" s="322"/>
      <c r="H67" s="323"/>
      <c r="I67" s="323"/>
      <c r="J67" s="324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322"/>
      <c r="F68" s="324"/>
      <c r="G68" s="322"/>
      <c r="H68" s="323"/>
      <c r="I68" s="323"/>
      <c r="J68" s="324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 t="s">
        <v>14</v>
      </c>
      <c r="C69" s="236" t="s">
        <v>28</v>
      </c>
      <c r="D69" s="236" t="s">
        <v>11</v>
      </c>
      <c r="E69" s="322"/>
      <c r="F69" s="324"/>
      <c r="G69" s="322" t="s">
        <v>909</v>
      </c>
      <c r="H69" s="323"/>
      <c r="I69" s="323"/>
      <c r="J69" s="324"/>
      <c r="K69" s="239">
        <v>1</v>
      </c>
      <c r="L69" s="239"/>
      <c r="M69" s="236" t="s">
        <v>9</v>
      </c>
      <c r="N69" s="237">
        <f t="shared" si="2"/>
        <v>0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26</v>
      </c>
      <c r="E70" s="322"/>
      <c r="F70" s="324"/>
      <c r="H70" t="s">
        <v>910</v>
      </c>
      <c r="K70" s="239">
        <v>0.1875</v>
      </c>
      <c r="L70" s="239">
        <v>0.24305555555555555</v>
      </c>
      <c r="M70" s="236" t="s">
        <v>9</v>
      </c>
      <c r="N70" s="237">
        <f t="shared" si="2"/>
        <v>5.5555555555555552E-2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29</v>
      </c>
      <c r="E71" s="322"/>
      <c r="F71" s="324"/>
      <c r="G71" s="322" t="s">
        <v>911</v>
      </c>
      <c r="H71" s="323"/>
      <c r="I71" s="323"/>
      <c r="J71" s="324"/>
      <c r="K71" s="239">
        <v>0.20833333333333334</v>
      </c>
      <c r="L71" s="239">
        <v>0.23611111111111113</v>
      </c>
      <c r="M71" s="236" t="s">
        <v>9</v>
      </c>
      <c r="N71" s="237">
        <f t="shared" si="2"/>
        <v>2.777777777777779E-2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29</v>
      </c>
      <c r="E72" s="322"/>
      <c r="F72" s="324"/>
      <c r="G72" s="322" t="s">
        <v>912</v>
      </c>
      <c r="H72" s="323"/>
      <c r="I72" s="323"/>
      <c r="J72" s="324"/>
      <c r="K72" s="239">
        <v>0.23611111111111113</v>
      </c>
      <c r="L72" s="239">
        <v>0.2638888888888889</v>
      </c>
      <c r="M72" s="236" t="s">
        <v>9</v>
      </c>
      <c r="N72" s="237">
        <f t="shared" si="2"/>
        <v>2.7777777777777762E-2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29</v>
      </c>
      <c r="E73" s="322"/>
      <c r="F73" s="324"/>
      <c r="G73" s="322" t="s">
        <v>913</v>
      </c>
      <c r="H73" s="323"/>
      <c r="I73" s="323"/>
      <c r="J73" s="324"/>
      <c r="K73" s="239">
        <v>1</v>
      </c>
      <c r="L73" s="239"/>
      <c r="M73" s="236" t="s">
        <v>9</v>
      </c>
      <c r="N73" s="237">
        <f t="shared" si="2"/>
        <v>0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322"/>
      <c r="F74" s="324"/>
      <c r="G74" s="322"/>
      <c r="H74" s="323"/>
      <c r="I74" s="323"/>
      <c r="J74" s="324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322"/>
      <c r="F75" s="324"/>
      <c r="G75" s="322"/>
      <c r="H75" s="323"/>
      <c r="I75" s="323"/>
      <c r="J75" s="324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322"/>
      <c r="F76" s="324"/>
      <c r="G76" s="322"/>
      <c r="H76" s="323"/>
      <c r="I76" s="323"/>
      <c r="J76" s="324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322"/>
      <c r="F77" s="324"/>
      <c r="G77" s="322"/>
      <c r="H77" s="323"/>
      <c r="I77" s="323"/>
      <c r="J77" s="324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/>
      <c r="H78" s="323"/>
      <c r="I78" s="323"/>
      <c r="J78" s="324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322"/>
      <c r="F79" s="324"/>
      <c r="G79" s="322"/>
      <c r="H79" s="323"/>
      <c r="I79" s="323"/>
      <c r="J79" s="324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322"/>
      <c r="F80" s="324"/>
      <c r="G80" s="322"/>
      <c r="H80" s="323"/>
      <c r="I80" s="323"/>
      <c r="J80" s="324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322"/>
      <c r="F81" s="324"/>
      <c r="G81" s="322"/>
      <c r="H81" s="323"/>
      <c r="I81" s="323"/>
      <c r="J81" s="324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322"/>
      <c r="F83" s="324"/>
      <c r="G83" s="322"/>
      <c r="H83" s="323"/>
      <c r="I83" s="323"/>
      <c r="J83" s="324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 t="s">
        <v>881</v>
      </c>
      <c r="D136" s="481"/>
      <c r="E136" s="463" t="s">
        <v>393</v>
      </c>
      <c r="F136" s="464"/>
      <c r="G136" s="452" t="s">
        <v>651</v>
      </c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438</v>
      </c>
      <c r="D137" s="479"/>
      <c r="E137" s="463" t="s">
        <v>395</v>
      </c>
      <c r="F137" s="464"/>
      <c r="G137" s="452" t="s">
        <v>347</v>
      </c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 t="s">
        <v>255</v>
      </c>
      <c r="C143" s="215">
        <v>3</v>
      </c>
      <c r="D143" s="335" t="s">
        <v>914</v>
      </c>
      <c r="E143" s="335"/>
      <c r="F143" s="335"/>
      <c r="G143" s="336" t="s">
        <v>357</v>
      </c>
      <c r="H143" s="336"/>
      <c r="I143" s="336"/>
      <c r="J143" s="336">
        <v>21</v>
      </c>
      <c r="K143" s="336"/>
      <c r="L143" s="335" t="s">
        <v>355</v>
      </c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/>
      <c r="C144" s="215">
        <v>9</v>
      </c>
      <c r="D144" s="335" t="s">
        <v>915</v>
      </c>
      <c r="E144" s="335"/>
      <c r="F144" s="335"/>
      <c r="G144" s="336" t="s">
        <v>367</v>
      </c>
      <c r="H144" s="336"/>
      <c r="I144" s="336"/>
      <c r="J144" s="336">
        <v>44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23</v>
      </c>
      <c r="D145" s="335" t="s">
        <v>916</v>
      </c>
      <c r="E145" s="335"/>
      <c r="F145" s="335"/>
      <c r="G145" s="336" t="s">
        <v>403</v>
      </c>
      <c r="H145" s="336"/>
      <c r="I145" s="336"/>
      <c r="J145" s="336">
        <v>384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18</v>
      </c>
      <c r="D146" s="335" t="s">
        <v>917</v>
      </c>
      <c r="E146" s="335"/>
      <c r="F146" s="335"/>
      <c r="G146" s="336" t="s">
        <v>357</v>
      </c>
      <c r="H146" s="336"/>
      <c r="I146" s="336"/>
      <c r="J146" s="336">
        <v>13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8</v>
      </c>
      <c r="D147" s="335" t="s">
        <v>914</v>
      </c>
      <c r="E147" s="335"/>
      <c r="F147" s="335"/>
      <c r="G147" s="336" t="s">
        <v>753</v>
      </c>
      <c r="H147" s="336"/>
      <c r="I147" s="336"/>
      <c r="J147" s="336">
        <v>112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13</v>
      </c>
      <c r="D148" s="335" t="s">
        <v>918</v>
      </c>
      <c r="E148" s="335"/>
      <c r="F148" s="335"/>
      <c r="G148" s="336" t="s">
        <v>919</v>
      </c>
      <c r="H148" s="336"/>
      <c r="I148" s="336"/>
      <c r="J148" s="336">
        <v>43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17</v>
      </c>
      <c r="D149" s="335" t="s">
        <v>920</v>
      </c>
      <c r="E149" s="335"/>
      <c r="F149" s="335"/>
      <c r="G149" s="336" t="s">
        <v>446</v>
      </c>
      <c r="H149" s="336"/>
      <c r="I149" s="336"/>
      <c r="J149" s="336">
        <v>10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13</v>
      </c>
      <c r="D150" s="335" t="s">
        <v>921</v>
      </c>
      <c r="E150" s="335"/>
      <c r="F150" s="335"/>
      <c r="G150" s="336" t="s">
        <v>357</v>
      </c>
      <c r="H150" s="336"/>
      <c r="I150" s="336"/>
      <c r="J150" s="336">
        <v>44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35"/>
      <c r="E151" s="335"/>
      <c r="F151" s="335"/>
      <c r="G151" s="336"/>
      <c r="H151" s="336"/>
      <c r="I151" s="336"/>
      <c r="J151" s="336"/>
      <c r="K151" s="336"/>
      <c r="L151" s="335"/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 t="s">
        <v>261</v>
      </c>
      <c r="C152" s="193">
        <v>12</v>
      </c>
      <c r="D152" s="335" t="s">
        <v>922</v>
      </c>
      <c r="E152" s="335"/>
      <c r="F152" s="335"/>
      <c r="G152" s="336" t="s">
        <v>372</v>
      </c>
      <c r="H152" s="336"/>
      <c r="I152" s="336"/>
      <c r="J152" s="336">
        <v>50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 t="s">
        <v>376</v>
      </c>
      <c r="D153" s="335" t="s">
        <v>923</v>
      </c>
      <c r="E153" s="335"/>
      <c r="F153" s="335"/>
      <c r="G153" s="336" t="s">
        <v>357</v>
      </c>
      <c r="H153" s="336"/>
      <c r="I153" s="336"/>
      <c r="J153" s="336">
        <v>20</v>
      </c>
      <c r="K153" s="336"/>
      <c r="L153" s="335" t="s">
        <v>355</v>
      </c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 t="s">
        <v>378</v>
      </c>
      <c r="D154" s="335" t="s">
        <v>924</v>
      </c>
      <c r="E154" s="335"/>
      <c r="F154" s="335"/>
      <c r="G154" s="336" t="s">
        <v>367</v>
      </c>
      <c r="H154" s="336"/>
      <c r="I154" s="336"/>
      <c r="J154" s="336">
        <v>32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14</v>
      </c>
      <c r="D155" s="335" t="s">
        <v>925</v>
      </c>
      <c r="E155" s="335"/>
      <c r="F155" s="335"/>
      <c r="G155" s="336" t="s">
        <v>456</v>
      </c>
      <c r="H155" s="336"/>
      <c r="I155" s="336"/>
      <c r="J155" s="336">
        <v>24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19</v>
      </c>
      <c r="D156" s="335" t="s">
        <v>926</v>
      </c>
      <c r="E156" s="335"/>
      <c r="F156" s="335"/>
      <c r="G156" s="336" t="s">
        <v>367</v>
      </c>
      <c r="H156" s="336"/>
      <c r="I156" s="336"/>
      <c r="J156" s="336">
        <v>9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13</v>
      </c>
      <c r="D157" s="335" t="s">
        <v>927</v>
      </c>
      <c r="E157" s="335"/>
      <c r="F157" s="335"/>
      <c r="G157" s="336" t="s">
        <v>359</v>
      </c>
      <c r="H157" s="336"/>
      <c r="I157" s="336"/>
      <c r="J157" s="336">
        <v>36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18</v>
      </c>
      <c r="D158" s="335" t="s">
        <v>928</v>
      </c>
      <c r="E158" s="335"/>
      <c r="F158" s="335"/>
      <c r="G158" s="336" t="s">
        <v>359</v>
      </c>
      <c r="H158" s="336"/>
      <c r="I158" s="336"/>
      <c r="J158" s="336">
        <v>13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35"/>
      <c r="E159" s="335"/>
      <c r="F159" s="335"/>
      <c r="G159" s="336"/>
      <c r="H159" s="336"/>
      <c r="I159" s="336"/>
      <c r="J159" s="336"/>
      <c r="K159" s="336"/>
      <c r="L159" s="335"/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35"/>
      <c r="E160" s="335"/>
      <c r="F160" s="335"/>
      <c r="G160" s="336"/>
      <c r="H160" s="336"/>
      <c r="I160" s="336"/>
      <c r="J160" s="336"/>
      <c r="K160" s="336"/>
      <c r="L160" s="335"/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 t="s">
        <v>267</v>
      </c>
      <c r="C161" s="215">
        <v>9</v>
      </c>
      <c r="D161" s="335" t="s">
        <v>929</v>
      </c>
      <c r="E161" s="335"/>
      <c r="F161" s="335"/>
      <c r="G161" s="336" t="s">
        <v>753</v>
      </c>
      <c r="H161" s="336"/>
      <c r="I161" s="336"/>
      <c r="J161" s="336">
        <v>31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18</v>
      </c>
      <c r="D162" s="335" t="s">
        <v>930</v>
      </c>
      <c r="E162" s="335"/>
      <c r="F162" s="335"/>
      <c r="G162" s="336" t="s">
        <v>357</v>
      </c>
      <c r="H162" s="336"/>
      <c r="I162" s="336"/>
      <c r="J162" s="336">
        <v>19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13</v>
      </c>
      <c r="D163" s="335" t="s">
        <v>931</v>
      </c>
      <c r="E163" s="335"/>
      <c r="F163" s="335"/>
      <c r="G163" s="336" t="s">
        <v>359</v>
      </c>
      <c r="H163" s="336"/>
      <c r="I163" s="336"/>
      <c r="J163" s="336">
        <v>41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8</v>
      </c>
      <c r="D164" s="335" t="s">
        <v>932</v>
      </c>
      <c r="E164" s="335"/>
      <c r="F164" s="335"/>
      <c r="G164" s="336" t="s">
        <v>363</v>
      </c>
      <c r="H164" s="336"/>
      <c r="I164" s="336"/>
      <c r="J164" s="336">
        <v>135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19</v>
      </c>
      <c r="D165" s="335" t="s">
        <v>933</v>
      </c>
      <c r="E165" s="335"/>
      <c r="F165" s="335"/>
      <c r="G165" s="336" t="s">
        <v>361</v>
      </c>
      <c r="H165" s="336"/>
      <c r="I165" s="336"/>
      <c r="J165" s="336">
        <v>17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12</v>
      </c>
      <c r="D166" s="335" t="s">
        <v>934</v>
      </c>
      <c r="E166" s="335"/>
      <c r="F166" s="335"/>
      <c r="G166" s="336" t="s">
        <v>372</v>
      </c>
      <c r="H166" s="336"/>
      <c r="I166" s="336"/>
      <c r="J166" s="336">
        <v>41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/>
      <c r="D167" s="335"/>
      <c r="E167" s="335"/>
      <c r="F167" s="335"/>
      <c r="G167" s="336"/>
      <c r="H167" s="336"/>
      <c r="I167" s="336"/>
      <c r="J167" s="336"/>
      <c r="K167" s="336"/>
      <c r="L167" s="335"/>
      <c r="M167" s="335"/>
    </row>
    <row r="168" spans="1:18" ht="14.25" x14ac:dyDescent="0.2">
      <c r="B168" s="216"/>
      <c r="C168" s="215"/>
      <c r="D168" s="335"/>
      <c r="E168" s="335"/>
      <c r="F168" s="335"/>
      <c r="G168" s="336"/>
      <c r="H168" s="336"/>
      <c r="I168" s="336"/>
      <c r="J168" s="336"/>
      <c r="K168" s="336"/>
      <c r="L168" s="335"/>
      <c r="M168" s="335"/>
    </row>
    <row r="169" spans="1:18" ht="14.25" x14ac:dyDescent="0.2">
      <c r="B169" s="216"/>
      <c r="C169" s="215"/>
      <c r="D169" s="335"/>
      <c r="E169" s="335"/>
      <c r="F169" s="335"/>
      <c r="G169" s="336"/>
      <c r="H169" s="336"/>
      <c r="I169" s="336"/>
      <c r="J169" s="336"/>
      <c r="K169" s="336"/>
      <c r="L169" s="335"/>
      <c r="M169" s="335"/>
    </row>
    <row r="170" spans="1:18" ht="14.25" x14ac:dyDescent="0.2">
      <c r="B170" s="216"/>
      <c r="C170" s="215"/>
      <c r="D170" s="335"/>
      <c r="E170" s="335"/>
      <c r="F170" s="335"/>
      <c r="G170" s="336"/>
      <c r="H170" s="336"/>
      <c r="I170" s="336"/>
      <c r="J170" s="336"/>
      <c r="K170" s="336"/>
      <c r="L170" s="335"/>
      <c r="M170" s="335"/>
    </row>
    <row r="171" spans="1:18" ht="14.25" x14ac:dyDescent="0.2">
      <c r="B171" s="216"/>
      <c r="C171" s="215"/>
      <c r="D171" s="337"/>
      <c r="E171" s="338"/>
      <c r="F171" s="339"/>
      <c r="G171" s="336"/>
      <c r="H171" s="336"/>
      <c r="I171" s="336"/>
      <c r="J171" s="336"/>
      <c r="K171" s="336"/>
      <c r="L171" s="335"/>
      <c r="M171" s="335"/>
    </row>
    <row r="172" spans="1:18" ht="14.25" x14ac:dyDescent="0.2">
      <c r="B172" s="216"/>
      <c r="C172" s="215"/>
      <c r="D172" s="335"/>
      <c r="E172" s="335"/>
      <c r="F172" s="335"/>
      <c r="G172" s="336"/>
      <c r="H172" s="336"/>
      <c r="I172" s="336"/>
      <c r="J172" s="336"/>
      <c r="K172" s="336"/>
      <c r="L172" s="335"/>
      <c r="M172" s="335"/>
    </row>
    <row r="173" spans="1:18" ht="14.25" x14ac:dyDescent="0.2">
      <c r="B173" s="216"/>
      <c r="C173" s="215"/>
      <c r="D173" s="335"/>
      <c r="E173" s="335"/>
      <c r="F173" s="335"/>
      <c r="G173" s="336"/>
      <c r="H173" s="336"/>
      <c r="I173" s="336"/>
      <c r="J173" s="336"/>
      <c r="K173" s="336"/>
      <c r="L173" s="335"/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DF10D699-8F7B-4290-8D99-910B14DB076E}">
      <formula1>INDIRECT(D63)</formula1>
    </dataValidation>
  </dataValidations>
  <hyperlinks>
    <hyperlink ref="J14:L15" location="Summary!A1" display="MTD Summary " xr:uid="{672E2BEB-7334-4B68-987A-AB6F5CF29DAB}"/>
    <hyperlink ref="J16:L17" location="Graph!A1" display="MTD Trendings" xr:uid="{86AA6C4E-DADD-4215-8761-3F505821CBA1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ignoredErrors>
    <ignoredError sqref="K2" evalError="1"/>
  </ignoredError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53A439E-2045-4183-9D8C-6FAC9FED1FF6}">
          <x14:formula1>
            <xm:f>List!$C$5:$C$14</xm:f>
          </x14:formula1>
          <xm:sqref>D63:D131</xm:sqref>
        </x14:dataValidation>
        <x14:dataValidation type="list" allowBlank="1" showInputMessage="1" showErrorMessage="1" xr:uid="{F8F3B883-F6B5-4849-AFC2-84EF9B076D3C}">
          <x14:formula1>
            <xm:f>List!$B$10:$B$12</xm:f>
          </x14:formula1>
          <xm:sqref>C63:C131</xm:sqref>
        </x14:dataValidation>
        <x14:dataValidation type="list" allowBlank="1" showInputMessage="1" showErrorMessage="1" xr:uid="{53C22629-E9AF-4A1A-98DB-33044075F330}">
          <x14:formula1>
            <xm:f>List!$B$5:$B$8</xm:f>
          </x14:formula1>
          <xm:sqref>B63:B131</xm:sqref>
        </x14:dataValidation>
        <x14:dataValidation type="list" allowBlank="1" showInputMessage="1" showErrorMessage="1" xr:uid="{0EF1C126-8045-4B8A-9323-458733B25727}">
          <x14:formula1>
            <xm:f>Sheet3!$C$3:$C$4</xm:f>
          </x14:formula1>
          <xm:sqref>M63:M132</xm:sqref>
        </x14:dataValidation>
        <x14:dataValidation type="list" allowBlank="1" showInputMessage="1" xr:uid="{0C962018-2B30-4DE9-AAF6-775074F4DB41}">
          <x14:formula1>
            <xm:f>Sheet3!$D$3:$D$11</xm:f>
          </x14:formula1>
          <xm:sqref>C132</xm:sqref>
        </x14:dataValidation>
        <x14:dataValidation type="list" allowBlank="1" showInputMessage="1" showErrorMessage="1" xr:uid="{AD24CD11-1FF5-433B-B04F-D7DCD5BC0001}">
          <x14:formula1>
            <xm:f>Sheet3!$B$3:$B$5</xm:f>
          </x14:formula1>
          <xm:sqref>B143:B165 B132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6FE9-BCA1-4741-9FB5-C2A201C6BF18}">
  <sheetPr>
    <pageSetUpPr fitToPage="1"/>
  </sheetPr>
  <dimension ref="A1:R188"/>
  <sheetViews>
    <sheetView showGridLines="0" view="pageBreakPreview" topLeftCell="A16" zoomScale="80" zoomScaleNormal="90" zoomScaleSheetLayoutView="80" zoomScalePageLayoutView="80" workbookViewId="0">
      <selection activeCell="K38" sqref="K38:L38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17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1710.5500000000002</v>
      </c>
      <c r="K6" s="420"/>
      <c r="L6" s="420">
        <f ca="1">Summary!G24</f>
        <v>1409.7249999999999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130</v>
      </c>
      <c r="E7" s="84">
        <v>60</v>
      </c>
      <c r="F7" s="395">
        <v>50</v>
      </c>
      <c r="G7" s="396"/>
      <c r="H7" s="374">
        <f>SUM(D7:D10)</f>
        <v>600.33000000000004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150</v>
      </c>
      <c r="E8" s="86">
        <v>60</v>
      </c>
      <c r="F8" s="397">
        <v>50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160</v>
      </c>
      <c r="E9" s="86">
        <v>60</v>
      </c>
      <c r="F9" s="397">
        <v>50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160.33000000000001</v>
      </c>
      <c r="E10" s="88">
        <v>60</v>
      </c>
      <c r="F10" s="399">
        <v>50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120</v>
      </c>
      <c r="E11" s="90">
        <v>60</v>
      </c>
      <c r="F11" s="386">
        <v>50</v>
      </c>
      <c r="G11" s="387"/>
      <c r="H11" s="388">
        <f>SUM(D11:D14)</f>
        <v>570.22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160</v>
      </c>
      <c r="E12" s="92">
        <v>60</v>
      </c>
      <c r="F12" s="391">
        <v>50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160</v>
      </c>
      <c r="E13" s="92">
        <v>60</v>
      </c>
      <c r="F13" s="391">
        <v>50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130.22</v>
      </c>
      <c r="E14" s="94">
        <v>60</v>
      </c>
      <c r="F14" s="393">
        <v>50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130</v>
      </c>
      <c r="E15" s="96">
        <v>60</v>
      </c>
      <c r="F15" s="372">
        <v>30</v>
      </c>
      <c r="G15" s="373"/>
      <c r="H15" s="374">
        <f>SUM(D15:D18)</f>
        <v>540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150</v>
      </c>
      <c r="E16" s="98">
        <v>60</v>
      </c>
      <c r="F16" s="401">
        <v>30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150</v>
      </c>
      <c r="E17" s="98">
        <v>60</v>
      </c>
      <c r="F17" s="401">
        <v>30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110</v>
      </c>
      <c r="E18" s="100">
        <v>60</v>
      </c>
      <c r="F18" s="404">
        <v>30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1710.5500000000002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7</v>
      </c>
      <c r="D25" s="102">
        <v>137</v>
      </c>
      <c r="E25" s="56">
        <v>7</v>
      </c>
      <c r="F25" s="107">
        <v>10</v>
      </c>
      <c r="G25" s="410">
        <v>7</v>
      </c>
      <c r="H25" s="411"/>
      <c r="I25" s="111">
        <v>60</v>
      </c>
      <c r="J25" s="38">
        <f t="shared" ref="J25:J40" si="0">C25+E25+G25</f>
        <v>21</v>
      </c>
      <c r="K25" s="412">
        <f>D25+F25+I25</f>
        <v>207</v>
      </c>
      <c r="L25" s="413"/>
      <c r="M25" s="2"/>
    </row>
    <row r="26" spans="2:14" ht="14.1" customHeight="1" x14ac:dyDescent="0.2">
      <c r="B26" s="80" t="s">
        <v>281</v>
      </c>
      <c r="C26" s="45">
        <v>5</v>
      </c>
      <c r="D26" s="103">
        <v>56</v>
      </c>
      <c r="E26" s="57">
        <v>5</v>
      </c>
      <c r="F26" s="108">
        <v>117</v>
      </c>
      <c r="G26" s="406">
        <v>6</v>
      </c>
      <c r="H26" s="407"/>
      <c r="I26" s="112">
        <v>154</v>
      </c>
      <c r="J26" s="25">
        <f t="shared" si="0"/>
        <v>16</v>
      </c>
      <c r="K26" s="408">
        <f t="shared" ref="K26:K39" si="1">D26+F26+I26</f>
        <v>327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86</v>
      </c>
      <c r="E27" s="57"/>
      <c r="F27" s="108">
        <v>156</v>
      </c>
      <c r="G27" s="406"/>
      <c r="H27" s="407"/>
      <c r="I27" s="112">
        <v>153.4</v>
      </c>
      <c r="J27" s="25">
        <f t="shared" si="0"/>
        <v>0</v>
      </c>
      <c r="K27" s="408">
        <f t="shared" si="1"/>
        <v>395.4</v>
      </c>
      <c r="L27" s="409"/>
      <c r="M27" s="2"/>
    </row>
    <row r="28" spans="2:14" ht="14.1" customHeight="1" x14ac:dyDescent="0.2">
      <c r="B28" s="80" t="s">
        <v>283</v>
      </c>
      <c r="C28" s="45">
        <v>5</v>
      </c>
      <c r="D28" s="103"/>
      <c r="E28" s="57">
        <v>5</v>
      </c>
      <c r="F28" s="108"/>
      <c r="G28" s="406">
        <v>4</v>
      </c>
      <c r="H28" s="407"/>
      <c r="I28" s="112"/>
      <c r="J28" s="25">
        <f t="shared" si="0"/>
        <v>14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3</v>
      </c>
      <c r="D29" s="103"/>
      <c r="E29" s="57">
        <v>3</v>
      </c>
      <c r="F29" s="108"/>
      <c r="G29" s="406">
        <v>4</v>
      </c>
      <c r="H29" s="407"/>
      <c r="I29" s="112"/>
      <c r="J29" s="25">
        <f t="shared" si="0"/>
        <v>10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>
        <v>1</v>
      </c>
      <c r="D30" s="103"/>
      <c r="E30" s="57"/>
      <c r="F30" s="108">
        <v>48</v>
      </c>
      <c r="G30" s="406"/>
      <c r="H30" s="407"/>
      <c r="I30" s="112"/>
      <c r="J30" s="25">
        <f t="shared" si="0"/>
        <v>1</v>
      </c>
      <c r="K30" s="408">
        <f t="shared" si="1"/>
        <v>48</v>
      </c>
      <c r="L30" s="409"/>
    </row>
    <row r="31" spans="2:14" ht="14.1" customHeight="1" x14ac:dyDescent="0.2">
      <c r="B31" s="80" t="s">
        <v>286</v>
      </c>
      <c r="C31" s="45">
        <v>1</v>
      </c>
      <c r="D31" s="103"/>
      <c r="E31" s="57">
        <v>3</v>
      </c>
      <c r="F31" s="108"/>
      <c r="G31" s="406">
        <v>3</v>
      </c>
      <c r="H31" s="407"/>
      <c r="I31" s="112"/>
      <c r="J31" s="25">
        <f t="shared" si="0"/>
        <v>7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1</v>
      </c>
      <c r="F32" s="108"/>
      <c r="G32" s="406">
        <v>1</v>
      </c>
      <c r="H32" s="407"/>
      <c r="I32" s="112"/>
      <c r="J32" s="25">
        <f t="shared" si="0"/>
        <v>3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>
        <v>25.5</v>
      </c>
      <c r="E33" s="57"/>
      <c r="F33" s="108"/>
      <c r="G33" s="406"/>
      <c r="H33" s="407"/>
      <c r="I33" s="112"/>
      <c r="J33" s="25">
        <f t="shared" si="0"/>
        <v>0</v>
      </c>
      <c r="K33" s="408">
        <f t="shared" si="1"/>
        <v>25.5</v>
      </c>
      <c r="L33" s="409"/>
    </row>
    <row r="34" spans="1:16" ht="14.1" customHeight="1" x14ac:dyDescent="0.2">
      <c r="B34" s="80" t="s">
        <v>289</v>
      </c>
      <c r="C34" s="45">
        <v>1</v>
      </c>
      <c r="D34" s="103"/>
      <c r="E34" s="57"/>
      <c r="F34" s="108"/>
      <c r="G34" s="406"/>
      <c r="H34" s="407"/>
      <c r="I34" s="112"/>
      <c r="J34" s="25">
        <f t="shared" si="0"/>
        <v>1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>
        <v>3.2250000000000001</v>
      </c>
      <c r="E36" s="58"/>
      <c r="F36" s="109"/>
      <c r="G36" s="406"/>
      <c r="H36" s="407"/>
      <c r="I36" s="113"/>
      <c r="J36" s="25">
        <f t="shared" si="0"/>
        <v>0</v>
      </c>
      <c r="K36" s="408">
        <f t="shared" si="1"/>
        <v>3.2250000000000001</v>
      </c>
      <c r="L36" s="409"/>
    </row>
    <row r="37" spans="1:16" ht="14.1" customHeight="1" x14ac:dyDescent="0.2">
      <c r="B37" s="37" t="s">
        <v>292</v>
      </c>
      <c r="C37" s="55"/>
      <c r="D37" s="104"/>
      <c r="E37" s="58"/>
      <c r="F37" s="109"/>
      <c r="G37" s="406"/>
      <c r="H37" s="407"/>
      <c r="I37" s="113"/>
      <c r="J37" s="25">
        <f t="shared" si="0"/>
        <v>0</v>
      </c>
      <c r="K37" s="408">
        <f t="shared" si="1"/>
        <v>0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v>90</v>
      </c>
      <c r="J38" s="25">
        <f t="shared" si="0"/>
        <v>0</v>
      </c>
      <c r="K38" s="408">
        <f t="shared" si="1"/>
        <v>90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195</v>
      </c>
      <c r="J39" s="25">
        <f t="shared" si="0"/>
        <v>0</v>
      </c>
      <c r="K39" s="408">
        <f t="shared" si="1"/>
        <v>195</v>
      </c>
      <c r="L39" s="409"/>
    </row>
    <row r="40" spans="1:16" ht="14.1" customHeight="1" thickBot="1" x14ac:dyDescent="0.25">
      <c r="B40" s="81" t="s">
        <v>295</v>
      </c>
      <c r="C40" s="47"/>
      <c r="D40" s="105">
        <v>24.84</v>
      </c>
      <c r="E40" s="59"/>
      <c r="F40" s="110">
        <v>106.92</v>
      </c>
      <c r="G40" s="473"/>
      <c r="H40" s="474"/>
      <c r="I40" s="114">
        <v>51.84</v>
      </c>
      <c r="J40" s="26">
        <f t="shared" si="0"/>
        <v>0</v>
      </c>
      <c r="K40" s="475">
        <f>D40+F40+I40</f>
        <v>183.6</v>
      </c>
      <c r="L40" s="476"/>
    </row>
    <row r="41" spans="1:16" ht="17.25" customHeight="1" x14ac:dyDescent="0.2">
      <c r="B41" s="15" t="s">
        <v>273</v>
      </c>
      <c r="C41" s="16">
        <f>SUM(C25:C40)</f>
        <v>24</v>
      </c>
      <c r="D41" s="106">
        <f>SUM(D25:D40)</f>
        <v>332.565</v>
      </c>
      <c r="E41" s="16">
        <f>SUM(E25:E40)</f>
        <v>24</v>
      </c>
      <c r="F41" s="106">
        <f>SUM(F25:F40)</f>
        <v>437.92</v>
      </c>
      <c r="G41" s="430">
        <f>SUM(G25:H40)</f>
        <v>25</v>
      </c>
      <c r="H41" s="430"/>
      <c r="I41" s="106">
        <f>SUM(I25:I40)</f>
        <v>704.24</v>
      </c>
      <c r="J41" s="16">
        <f>SUM(J25:J40)</f>
        <v>73</v>
      </c>
      <c r="K41" s="477">
        <f>SUM(K25:L40)</f>
        <v>1474.7249999999999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/>
      <c r="D45" s="210"/>
      <c r="E45" s="209"/>
      <c r="F45" s="210"/>
      <c r="G45" s="471"/>
      <c r="H45" s="472"/>
      <c r="I45" s="210"/>
      <c r="J45" s="210">
        <v>0.2</v>
      </c>
      <c r="K45" s="209">
        <v>0.1</v>
      </c>
      <c r="L45" s="210"/>
      <c r="M45" s="211"/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10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/>
      <c r="D48" s="209"/>
      <c r="E48" s="209"/>
      <c r="F48" s="209">
        <v>0.2</v>
      </c>
      <c r="G48" s="442"/>
      <c r="H48" s="443"/>
      <c r="I48" s="209">
        <v>0.7</v>
      </c>
      <c r="J48" s="209"/>
      <c r="K48" s="209"/>
      <c r="L48" s="209"/>
      <c r="M48" s="211"/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438">
        <f>G48*100</f>
        <v>0</v>
      </c>
      <c r="H49" s="439"/>
      <c r="I49" s="40">
        <f>I48*100</f>
        <v>70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0.1</v>
      </c>
      <c r="D51" s="213"/>
      <c r="E51" s="214"/>
      <c r="F51" s="209"/>
      <c r="G51" s="442"/>
      <c r="H51" s="443"/>
      <c r="I51" s="209"/>
      <c r="J51" s="209">
        <v>0</v>
      </c>
      <c r="K51" s="209">
        <v>0.2</v>
      </c>
      <c r="L51" s="209">
        <v>0.12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7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0</v>
      </c>
      <c r="K52" s="41">
        <f>K51*250</f>
        <v>50</v>
      </c>
      <c r="L52" s="41">
        <f>L51*250</f>
        <v>30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204</v>
      </c>
      <c r="F54" s="39" t="s">
        <v>309</v>
      </c>
      <c r="G54" s="188"/>
      <c r="H54" s="188"/>
      <c r="I54" s="30">
        <f>'16'!D54</f>
        <v>149.75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/>
      <c r="D58" s="60"/>
      <c r="E58" s="124">
        <f>SUM(C58:D58)</f>
        <v>0</v>
      </c>
      <c r="F58" s="425"/>
      <c r="G58" s="426"/>
      <c r="H58" s="60"/>
      <c r="I58" s="61"/>
      <c r="J58" s="422"/>
      <c r="K58" s="428"/>
      <c r="L58" s="60">
        <v>6739.57</v>
      </c>
      <c r="M58" s="61">
        <f>L58/3</f>
        <v>2246.5233333333331</v>
      </c>
      <c r="N58" s="288">
        <v>3.94</v>
      </c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0</v>
      </c>
      <c r="D59" s="432"/>
      <c r="E59" s="433"/>
      <c r="F59" s="434" t="s">
        <v>321</v>
      </c>
      <c r="G59" s="435"/>
      <c r="H59" s="436">
        <f>IF(ISERROR(SUM(H58:I58)/$H$19),"",(SUM(H58:I58)/$H$19))</f>
        <v>0</v>
      </c>
      <c r="I59" s="437"/>
      <c r="J59" s="434" t="s">
        <v>322</v>
      </c>
      <c r="K59" s="435"/>
      <c r="L59" s="115">
        <f>IF(ISERROR(L58/$H$19),"",(L58/$H$19))</f>
        <v>3.9400017538218695</v>
      </c>
      <c r="M59" s="116">
        <f>IF(ISERROR(M58/$H$19),"",(M58/$H$19))</f>
        <v>1.3133339179406232</v>
      </c>
      <c r="N59" s="194">
        <f>N58*H19</f>
        <v>6739.5670000000009</v>
      </c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0.27083333333333331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322"/>
      <c r="F63" s="324"/>
      <c r="G63" s="322"/>
      <c r="H63" s="323"/>
      <c r="I63" s="323"/>
      <c r="J63" s="324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17</v>
      </c>
      <c r="C64" s="236" t="s">
        <v>22</v>
      </c>
      <c r="D64" s="236" t="s">
        <v>18</v>
      </c>
      <c r="E64" s="322"/>
      <c r="F64" s="324"/>
      <c r="G64" s="322" t="s">
        <v>935</v>
      </c>
      <c r="H64" s="323"/>
      <c r="I64" s="323"/>
      <c r="J64" s="324"/>
      <c r="K64" s="238">
        <v>0.45833333333333331</v>
      </c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11</v>
      </c>
      <c r="E65" s="322" t="s">
        <v>43</v>
      </c>
      <c r="F65" s="324" t="s">
        <v>43</v>
      </c>
      <c r="G65" s="322" t="s">
        <v>936</v>
      </c>
      <c r="H65" s="323"/>
      <c r="I65" s="323"/>
      <c r="J65" s="324"/>
      <c r="K65" s="239">
        <v>0.33333333333333331</v>
      </c>
      <c r="L65" s="239">
        <v>0.40277777777777773</v>
      </c>
      <c r="M65" s="236" t="s">
        <v>9</v>
      </c>
      <c r="N65" s="237">
        <f t="shared" si="2"/>
        <v>6.944444444444442E-2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18</v>
      </c>
      <c r="E66" s="322"/>
      <c r="F66" s="324"/>
      <c r="G66" s="322" t="s">
        <v>937</v>
      </c>
      <c r="H66" s="323"/>
      <c r="I66" s="323"/>
      <c r="J66" s="324"/>
      <c r="K66" s="239">
        <v>0.60416666666666663</v>
      </c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322"/>
      <c r="F67" s="324"/>
      <c r="G67" s="322"/>
      <c r="H67" s="323"/>
      <c r="I67" s="323"/>
      <c r="J67" s="324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 t="s">
        <v>10</v>
      </c>
      <c r="C68" s="236" t="s">
        <v>25</v>
      </c>
      <c r="D68" s="236" t="s">
        <v>23</v>
      </c>
      <c r="E68" s="322"/>
      <c r="F68" s="324"/>
      <c r="G68" s="322" t="s">
        <v>938</v>
      </c>
      <c r="H68" s="323"/>
      <c r="I68" s="323"/>
      <c r="J68" s="324"/>
      <c r="K68" s="239">
        <v>0.61805555555555558</v>
      </c>
      <c r="L68" s="239">
        <v>0.65972222222222221</v>
      </c>
      <c r="M68" s="236" t="s">
        <v>339</v>
      </c>
      <c r="N68" s="237">
        <f t="shared" si="2"/>
        <v>4.166666666666663E-2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11</v>
      </c>
      <c r="E69" s="322"/>
      <c r="F69" s="324"/>
      <c r="G69" s="322" t="s">
        <v>939</v>
      </c>
      <c r="H69" s="323"/>
      <c r="I69" s="323"/>
      <c r="J69" s="324"/>
      <c r="K69" s="239">
        <v>0.76388888888888884</v>
      </c>
      <c r="L69" s="239">
        <v>0.77777777777777779</v>
      </c>
      <c r="M69" s="236" t="s">
        <v>339</v>
      </c>
      <c r="N69" s="237">
        <f t="shared" si="2"/>
        <v>1.3888888888888951E-2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31</v>
      </c>
      <c r="E70" s="322"/>
      <c r="F70" s="324"/>
      <c r="H70" t="s">
        <v>940</v>
      </c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11</v>
      </c>
      <c r="E71" s="322"/>
      <c r="F71" s="324"/>
      <c r="G71" s="322" t="s">
        <v>941</v>
      </c>
      <c r="H71" s="323"/>
      <c r="I71" s="323"/>
      <c r="J71" s="324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322"/>
      <c r="F72" s="324"/>
      <c r="G72" s="322"/>
      <c r="H72" s="323"/>
      <c r="I72" s="323"/>
      <c r="J72" s="324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 t="s">
        <v>14</v>
      </c>
      <c r="C73" s="236" t="s">
        <v>28</v>
      </c>
      <c r="D73" s="236" t="s">
        <v>11</v>
      </c>
      <c r="E73" s="322"/>
      <c r="F73" s="324"/>
      <c r="G73" s="322" t="s">
        <v>942</v>
      </c>
      <c r="H73" s="323"/>
      <c r="I73" s="323"/>
      <c r="J73" s="324"/>
      <c r="K73" s="239">
        <v>0.97916666666666663</v>
      </c>
      <c r="L73" s="239"/>
      <c r="M73" s="236" t="s">
        <v>9</v>
      </c>
      <c r="N73" s="237">
        <f t="shared" si="2"/>
        <v>2.083333333333337E-2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322"/>
      <c r="F74" s="324"/>
      <c r="G74" s="322" t="s">
        <v>943</v>
      </c>
      <c r="H74" s="323"/>
      <c r="I74" s="323"/>
      <c r="J74" s="324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26</v>
      </c>
      <c r="E75" s="322"/>
      <c r="F75" s="324"/>
      <c r="G75" s="322" t="s">
        <v>910</v>
      </c>
      <c r="H75" s="323"/>
      <c r="I75" s="323"/>
      <c r="J75" s="324"/>
      <c r="K75" s="239">
        <v>0.97916666666666663</v>
      </c>
      <c r="L75" s="239">
        <v>1.0208333333333333</v>
      </c>
      <c r="M75" s="236" t="s">
        <v>9</v>
      </c>
      <c r="N75" s="237">
        <f t="shared" si="2"/>
        <v>4.166666666666663E-2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20</v>
      </c>
      <c r="E76" s="322" t="s">
        <v>109</v>
      </c>
      <c r="F76" s="324" t="s">
        <v>109</v>
      </c>
      <c r="G76" s="322" t="s">
        <v>331</v>
      </c>
      <c r="H76" s="323"/>
      <c r="I76" s="323"/>
      <c r="J76" s="324"/>
      <c r="K76" s="239">
        <v>4.1666666666666664E-2</v>
      </c>
      <c r="L76" s="239">
        <v>8.3333333333333329E-2</v>
      </c>
      <c r="M76" s="236" t="s">
        <v>9</v>
      </c>
      <c r="N76" s="237">
        <f t="shared" si="2"/>
        <v>4.1666666666666664E-2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23</v>
      </c>
      <c r="E77" s="322" t="s">
        <v>106</v>
      </c>
      <c r="F77" s="324" t="s">
        <v>106</v>
      </c>
      <c r="G77" s="322" t="s">
        <v>944</v>
      </c>
      <c r="H77" s="323"/>
      <c r="I77" s="323"/>
      <c r="J77" s="324"/>
      <c r="K77" s="238">
        <v>1.0138888888888888</v>
      </c>
      <c r="L77" s="238">
        <v>1.0347222222222221</v>
      </c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29</v>
      </c>
      <c r="E78" s="322" t="s">
        <v>109</v>
      </c>
      <c r="F78" s="324" t="s">
        <v>109</v>
      </c>
      <c r="G78" s="322" t="s">
        <v>945</v>
      </c>
      <c r="H78" s="323"/>
      <c r="I78" s="323"/>
      <c r="J78" s="324"/>
      <c r="K78" s="239">
        <v>0.125</v>
      </c>
      <c r="L78" s="239">
        <v>0.16666666666666666</v>
      </c>
      <c r="M78" s="236" t="s">
        <v>9</v>
      </c>
      <c r="N78" s="237">
        <f t="shared" si="2"/>
        <v>4.1666666666666657E-2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322"/>
      <c r="F79" s="324"/>
      <c r="G79" s="322"/>
      <c r="H79" s="323"/>
      <c r="I79" s="323"/>
      <c r="J79" s="324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322"/>
      <c r="F80" s="324"/>
      <c r="G80" s="322"/>
      <c r="H80" s="323"/>
      <c r="I80" s="323"/>
      <c r="J80" s="324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322"/>
      <c r="F81" s="324"/>
      <c r="G81" s="322"/>
      <c r="H81" s="323"/>
      <c r="I81" s="323"/>
      <c r="J81" s="324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322"/>
      <c r="F83" s="324"/>
      <c r="G83" s="322"/>
      <c r="H83" s="323"/>
      <c r="I83" s="323"/>
      <c r="J83" s="324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 t="s">
        <v>691</v>
      </c>
      <c r="D136" s="481"/>
      <c r="E136" s="463" t="s">
        <v>345</v>
      </c>
      <c r="F136" s="464"/>
      <c r="G136" s="452" t="s">
        <v>651</v>
      </c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692</v>
      </c>
      <c r="D137" s="479"/>
      <c r="E137" s="463"/>
      <c r="F137" s="464"/>
      <c r="G137" s="452" t="s">
        <v>347</v>
      </c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 t="s">
        <v>255</v>
      </c>
      <c r="C143" s="215">
        <v>3</v>
      </c>
      <c r="D143" s="335" t="s">
        <v>946</v>
      </c>
      <c r="E143" s="335"/>
      <c r="F143" s="335"/>
      <c r="G143" s="336" t="s">
        <v>357</v>
      </c>
      <c r="H143" s="336"/>
      <c r="I143" s="336"/>
      <c r="J143" s="336">
        <v>17</v>
      </c>
      <c r="K143" s="336"/>
      <c r="L143" s="335" t="s">
        <v>355</v>
      </c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/>
      <c r="C144" s="215">
        <v>9</v>
      </c>
      <c r="D144" s="335" t="s">
        <v>947</v>
      </c>
      <c r="E144" s="335"/>
      <c r="F144" s="335"/>
      <c r="G144" s="336" t="s">
        <v>367</v>
      </c>
      <c r="H144" s="336"/>
      <c r="I144" s="336"/>
      <c r="J144" s="336">
        <v>31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18</v>
      </c>
      <c r="D145" s="335" t="s">
        <v>948</v>
      </c>
      <c r="E145" s="335"/>
      <c r="F145" s="335"/>
      <c r="G145" s="336" t="s">
        <v>538</v>
      </c>
      <c r="H145" s="336"/>
      <c r="I145" s="336"/>
      <c r="J145" s="336">
        <v>17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13</v>
      </c>
      <c r="D146" s="335" t="s">
        <v>949</v>
      </c>
      <c r="E146" s="335"/>
      <c r="F146" s="335"/>
      <c r="G146" s="336" t="s">
        <v>357</v>
      </c>
      <c r="H146" s="336"/>
      <c r="I146" s="336"/>
      <c r="J146" s="336">
        <v>47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17</v>
      </c>
      <c r="D147" s="335" t="s">
        <v>950</v>
      </c>
      <c r="E147" s="335"/>
      <c r="F147" s="335"/>
      <c r="G147" s="336" t="s">
        <v>446</v>
      </c>
      <c r="H147" s="336"/>
      <c r="I147" s="336"/>
      <c r="J147" s="336">
        <v>15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13</v>
      </c>
      <c r="D148" s="335" t="s">
        <v>951</v>
      </c>
      <c r="E148" s="335"/>
      <c r="F148" s="335"/>
      <c r="G148" s="336" t="s">
        <v>359</v>
      </c>
      <c r="H148" s="336"/>
      <c r="I148" s="336"/>
      <c r="J148" s="336">
        <v>48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35" t="s">
        <v>952</v>
      </c>
      <c r="E149" s="335"/>
      <c r="F149" s="335"/>
      <c r="G149" s="336" t="s">
        <v>365</v>
      </c>
      <c r="H149" s="336"/>
      <c r="I149" s="336"/>
      <c r="J149" s="336">
        <v>3083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8</v>
      </c>
      <c r="D150" s="335" t="s">
        <v>946</v>
      </c>
      <c r="E150" s="335"/>
      <c r="F150" s="335"/>
      <c r="G150" s="336" t="s">
        <v>753</v>
      </c>
      <c r="H150" s="336"/>
      <c r="I150" s="336"/>
      <c r="J150" s="336" t="s">
        <v>953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12</v>
      </c>
      <c r="D151" s="335" t="s">
        <v>954</v>
      </c>
      <c r="E151" s="335"/>
      <c r="F151" s="335"/>
      <c r="G151" s="336" t="s">
        <v>372</v>
      </c>
      <c r="H151" s="336"/>
      <c r="I151" s="336"/>
      <c r="J151" s="336" t="s">
        <v>955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3</v>
      </c>
      <c r="D152" s="335" t="s">
        <v>893</v>
      </c>
      <c r="E152" s="335"/>
      <c r="F152" s="335"/>
      <c r="G152" s="336" t="s">
        <v>357</v>
      </c>
      <c r="H152" s="336"/>
      <c r="I152" s="336"/>
      <c r="J152" s="336">
        <v>50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35"/>
      <c r="E153" s="335"/>
      <c r="F153" s="335"/>
      <c r="G153" s="336"/>
      <c r="H153" s="336"/>
      <c r="I153" s="336"/>
      <c r="J153" s="336"/>
      <c r="K153" s="336"/>
      <c r="L153" s="335"/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 t="s">
        <v>261</v>
      </c>
      <c r="C154" s="215" t="s">
        <v>376</v>
      </c>
      <c r="D154" s="335" t="s">
        <v>956</v>
      </c>
      <c r="E154" s="335"/>
      <c r="F154" s="335"/>
      <c r="G154" s="336" t="s">
        <v>357</v>
      </c>
      <c r="H154" s="336"/>
      <c r="I154" s="336"/>
      <c r="J154" s="336">
        <v>18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 t="s">
        <v>378</v>
      </c>
      <c r="D155" s="335" t="s">
        <v>957</v>
      </c>
      <c r="E155" s="335"/>
      <c r="F155" s="335"/>
      <c r="G155" s="336" t="s">
        <v>367</v>
      </c>
      <c r="H155" s="336"/>
      <c r="I155" s="336"/>
      <c r="J155" s="336">
        <v>46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12</v>
      </c>
      <c r="D156" s="335" t="s">
        <v>958</v>
      </c>
      <c r="E156" s="335"/>
      <c r="F156" s="335"/>
      <c r="G156" s="336" t="s">
        <v>372</v>
      </c>
      <c r="H156" s="336"/>
      <c r="I156" s="336"/>
      <c r="J156" s="336">
        <v>50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18</v>
      </c>
      <c r="D157" s="335" t="s">
        <v>959</v>
      </c>
      <c r="E157" s="335"/>
      <c r="F157" s="335"/>
      <c r="G157" s="336" t="s">
        <v>357</v>
      </c>
      <c r="H157" s="336"/>
      <c r="I157" s="336"/>
      <c r="J157" s="336">
        <v>14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24</v>
      </c>
      <c r="D158" s="335" t="s">
        <v>960</v>
      </c>
      <c r="E158" s="335"/>
      <c r="F158" s="335"/>
      <c r="G158" s="336" t="s">
        <v>403</v>
      </c>
      <c r="H158" s="336"/>
      <c r="I158" s="336"/>
      <c r="J158" s="336">
        <v>366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19</v>
      </c>
      <c r="D159" s="335" t="s">
        <v>961</v>
      </c>
      <c r="E159" s="335"/>
      <c r="F159" s="335"/>
      <c r="G159" s="336" t="s">
        <v>587</v>
      </c>
      <c r="H159" s="336"/>
      <c r="I159" s="336"/>
      <c r="J159" s="336">
        <v>14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8</v>
      </c>
      <c r="D160" s="335" t="s">
        <v>956</v>
      </c>
      <c r="E160" s="335"/>
      <c r="F160" s="335"/>
      <c r="G160" s="336" t="s">
        <v>962</v>
      </c>
      <c r="H160" s="336"/>
      <c r="I160" s="336"/>
      <c r="J160" s="336">
        <v>51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13</v>
      </c>
      <c r="D161" s="335" t="s">
        <v>963</v>
      </c>
      <c r="E161" s="335"/>
      <c r="F161" s="335"/>
      <c r="G161" s="336" t="s">
        <v>359</v>
      </c>
      <c r="H161" s="336"/>
      <c r="I161" s="336"/>
      <c r="J161" s="336">
        <v>47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35"/>
      <c r="E162" s="335"/>
      <c r="F162" s="335"/>
      <c r="G162" s="336"/>
      <c r="H162" s="336"/>
      <c r="I162" s="336"/>
      <c r="J162" s="336"/>
      <c r="K162" s="336"/>
      <c r="L162" s="335"/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35"/>
      <c r="E163" s="335"/>
      <c r="F163" s="335"/>
      <c r="G163" s="336"/>
      <c r="H163" s="336"/>
      <c r="I163" s="336"/>
      <c r="J163" s="336"/>
      <c r="K163" s="336"/>
      <c r="L163" s="335"/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 t="s">
        <v>267</v>
      </c>
      <c r="C164" s="215">
        <v>18</v>
      </c>
      <c r="D164" s="335" t="s">
        <v>964</v>
      </c>
      <c r="E164" s="335"/>
      <c r="F164" s="335"/>
      <c r="G164" s="336" t="s">
        <v>359</v>
      </c>
      <c r="H164" s="336"/>
      <c r="I164" s="336"/>
      <c r="J164" s="336">
        <v>18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8</v>
      </c>
      <c r="D165" s="335" t="s">
        <v>965</v>
      </c>
      <c r="E165" s="335"/>
      <c r="F165" s="335"/>
      <c r="G165" s="336" t="s">
        <v>753</v>
      </c>
      <c r="H165" s="336"/>
      <c r="I165" s="336"/>
      <c r="J165" s="336">
        <v>129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13</v>
      </c>
      <c r="D166" s="335" t="s">
        <v>966</v>
      </c>
      <c r="E166" s="335"/>
      <c r="F166" s="335"/>
      <c r="G166" s="336" t="s">
        <v>359</v>
      </c>
      <c r="H166" s="336"/>
      <c r="I166" s="336"/>
      <c r="J166" s="336">
        <v>70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>
        <v>3</v>
      </c>
      <c r="D167" s="335" t="s">
        <v>965</v>
      </c>
      <c r="E167" s="335"/>
      <c r="F167" s="335"/>
      <c r="G167" s="336" t="s">
        <v>357</v>
      </c>
      <c r="H167" s="336"/>
      <c r="I167" s="336"/>
      <c r="J167" s="336">
        <v>17</v>
      </c>
      <c r="K167" s="336"/>
      <c r="L167" s="335" t="s">
        <v>355</v>
      </c>
      <c r="M167" s="335"/>
    </row>
    <row r="168" spans="1:18" ht="14.25" x14ac:dyDescent="0.2">
      <c r="B168" s="216"/>
      <c r="C168" s="215" t="s">
        <v>378</v>
      </c>
      <c r="D168" s="335" t="s">
        <v>967</v>
      </c>
      <c r="E168" s="335"/>
      <c r="F168" s="335"/>
      <c r="G168" s="336" t="s">
        <v>968</v>
      </c>
      <c r="H168" s="336"/>
      <c r="I168" s="336"/>
      <c r="J168" s="336">
        <v>50</v>
      </c>
      <c r="K168" s="336"/>
      <c r="L168" s="335" t="s">
        <v>355</v>
      </c>
      <c r="M168" s="335"/>
    </row>
    <row r="169" spans="1:18" ht="14.25" x14ac:dyDescent="0.2">
      <c r="B169" s="216"/>
      <c r="C169" s="215">
        <v>19</v>
      </c>
      <c r="D169" s="335" t="s">
        <v>969</v>
      </c>
      <c r="E169" s="335"/>
      <c r="F169" s="335"/>
      <c r="G169" s="336" t="s">
        <v>361</v>
      </c>
      <c r="H169" s="336"/>
      <c r="I169" s="336"/>
      <c r="J169" s="336">
        <v>16</v>
      </c>
      <c r="K169" s="336"/>
      <c r="L169" s="335" t="s">
        <v>355</v>
      </c>
      <c r="M169" s="335"/>
    </row>
    <row r="170" spans="1:18" ht="14.25" x14ac:dyDescent="0.2">
      <c r="B170" s="216"/>
      <c r="C170" s="215">
        <v>12</v>
      </c>
      <c r="D170" s="335" t="s">
        <v>970</v>
      </c>
      <c r="E170" s="335"/>
      <c r="F170" s="335"/>
      <c r="G170" s="336" t="s">
        <v>372</v>
      </c>
      <c r="H170" s="336"/>
      <c r="I170" s="336"/>
      <c r="J170" s="336">
        <v>66</v>
      </c>
      <c r="K170" s="336"/>
      <c r="L170" s="335" t="s">
        <v>355</v>
      </c>
      <c r="M170" s="335"/>
    </row>
    <row r="171" spans="1:18" ht="14.25" x14ac:dyDescent="0.2">
      <c r="B171" s="216"/>
      <c r="C171" s="215">
        <v>13</v>
      </c>
      <c r="D171" s="337" t="s">
        <v>966</v>
      </c>
      <c r="E171" s="338"/>
      <c r="F171" s="339"/>
      <c r="G171" s="336" t="s">
        <v>359</v>
      </c>
      <c r="H171" s="336"/>
      <c r="I171" s="336"/>
      <c r="J171" s="336">
        <v>67</v>
      </c>
      <c r="K171" s="336"/>
      <c r="L171" s="335" t="s">
        <v>355</v>
      </c>
      <c r="M171" s="335"/>
    </row>
    <row r="172" spans="1:18" ht="14.25" x14ac:dyDescent="0.2">
      <c r="B172" s="216"/>
      <c r="C172" s="215"/>
      <c r="D172" s="335"/>
      <c r="E172" s="335"/>
      <c r="F172" s="335"/>
      <c r="G172" s="336"/>
      <c r="H172" s="336"/>
      <c r="I172" s="336"/>
      <c r="J172" s="336"/>
      <c r="K172" s="336"/>
      <c r="L172" s="335"/>
      <c r="M172" s="335"/>
    </row>
    <row r="173" spans="1:18" ht="14.25" x14ac:dyDescent="0.2">
      <c r="B173" s="216"/>
      <c r="C173" s="215"/>
      <c r="D173" s="335"/>
      <c r="E173" s="335"/>
      <c r="F173" s="335"/>
      <c r="G173" s="336"/>
      <c r="H173" s="336"/>
      <c r="I173" s="336"/>
      <c r="J173" s="336"/>
      <c r="K173" s="336"/>
      <c r="L173" s="335"/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B16FBF95-1EAD-4809-BAE4-D83BDBCED7D8}">
      <formula1>INDIRECT(D63)</formula1>
    </dataValidation>
  </dataValidations>
  <hyperlinks>
    <hyperlink ref="J14:L15" location="Summary!A1" display="MTD Summary " xr:uid="{A9A8C63D-DFFF-4DEC-AC95-338A199634BF}"/>
    <hyperlink ref="J16:L17" location="Graph!A1" display="MTD Trendings" xr:uid="{8377BE0E-7F89-4015-9869-AA309AE1128B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8ECF68B-6D3D-4A3C-8E84-1EE9DDC99376}">
          <x14:formula1>
            <xm:f>Sheet3!$B$3:$B$5</xm:f>
          </x14:formula1>
          <xm:sqref>B143:B165 B132</xm:sqref>
        </x14:dataValidation>
        <x14:dataValidation type="list" allowBlank="1" showInputMessage="1" xr:uid="{BC19C13D-1CF8-4232-95A4-B1EFE0CE1D33}">
          <x14:formula1>
            <xm:f>Sheet3!$D$3:$D$11</xm:f>
          </x14:formula1>
          <xm:sqref>C132</xm:sqref>
        </x14:dataValidation>
        <x14:dataValidation type="list" allowBlank="1" showInputMessage="1" showErrorMessage="1" xr:uid="{80BF93E7-4CEE-46D3-B5A2-57BA04713828}">
          <x14:formula1>
            <xm:f>Sheet3!$C$3:$C$4</xm:f>
          </x14:formula1>
          <xm:sqref>M63:M132</xm:sqref>
        </x14:dataValidation>
        <x14:dataValidation type="list" allowBlank="1" showInputMessage="1" showErrorMessage="1" xr:uid="{F22843FD-1F13-46F3-B968-EB82EACFD66E}">
          <x14:formula1>
            <xm:f>List!$B$5:$B$8</xm:f>
          </x14:formula1>
          <xm:sqref>B63:B131</xm:sqref>
        </x14:dataValidation>
        <x14:dataValidation type="list" allowBlank="1" showInputMessage="1" showErrorMessage="1" xr:uid="{0A367648-9782-4DEF-A0CF-32045BBE7E56}">
          <x14:formula1>
            <xm:f>List!$B$10:$B$12</xm:f>
          </x14:formula1>
          <xm:sqref>C63:C131</xm:sqref>
        </x14:dataValidation>
        <x14:dataValidation type="list" allowBlank="1" showInputMessage="1" showErrorMessage="1" xr:uid="{3EBCEADF-9919-4A68-930A-E34F93B4FD49}">
          <x14:formula1>
            <xm:f>List!$C$5:$C$14</xm:f>
          </x14:formula1>
          <xm:sqref>D63:D131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4491-1770-428E-8FC4-4B00FEDC7C12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L51" sqref="L51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18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1700.49</v>
      </c>
      <c r="K6" s="420"/>
      <c r="L6" s="420">
        <f ca="1">Summary!G25</f>
        <v>1369.23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120</v>
      </c>
      <c r="E7" s="84">
        <v>60</v>
      </c>
      <c r="F7" s="395">
        <v>40</v>
      </c>
      <c r="G7" s="396"/>
      <c r="H7" s="374">
        <f>SUM(D7:D10)</f>
        <v>560.27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130</v>
      </c>
      <c r="E8" s="86">
        <v>70</v>
      </c>
      <c r="F8" s="397">
        <v>40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150</v>
      </c>
      <c r="E9" s="86">
        <v>70</v>
      </c>
      <c r="F9" s="397">
        <v>40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160.27000000000001</v>
      </c>
      <c r="E10" s="88">
        <v>70</v>
      </c>
      <c r="F10" s="399">
        <v>40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120</v>
      </c>
      <c r="E11" s="90">
        <v>70</v>
      </c>
      <c r="F11" s="386">
        <v>40</v>
      </c>
      <c r="G11" s="387"/>
      <c r="H11" s="388">
        <f>SUM(D11:D14)</f>
        <v>540.22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150</v>
      </c>
      <c r="E12" s="92">
        <v>70</v>
      </c>
      <c r="F12" s="391">
        <v>40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120</v>
      </c>
      <c r="E13" s="92">
        <v>70</v>
      </c>
      <c r="F13" s="391">
        <v>40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150.22</v>
      </c>
      <c r="E14" s="94">
        <v>70</v>
      </c>
      <c r="F14" s="393">
        <v>40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140</v>
      </c>
      <c r="E15" s="96">
        <v>70</v>
      </c>
      <c r="F15" s="372">
        <v>40</v>
      </c>
      <c r="G15" s="373"/>
      <c r="H15" s="374">
        <f>SUM(D15:D18)</f>
        <v>600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150</v>
      </c>
      <c r="E16" s="98">
        <v>70</v>
      </c>
      <c r="F16" s="401">
        <v>40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150</v>
      </c>
      <c r="E17" s="98">
        <v>70</v>
      </c>
      <c r="F17" s="401">
        <v>40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160</v>
      </c>
      <c r="E18" s="100">
        <v>70</v>
      </c>
      <c r="F18" s="404">
        <v>40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1700.49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7</v>
      </c>
      <c r="D25" s="102">
        <v>130</v>
      </c>
      <c r="E25" s="56">
        <v>8</v>
      </c>
      <c r="F25" s="107">
        <v>50</v>
      </c>
      <c r="G25" s="410">
        <v>6</v>
      </c>
      <c r="H25" s="411"/>
      <c r="I25" s="111">
        <v>70</v>
      </c>
      <c r="J25" s="38">
        <f t="shared" ref="J25:J40" si="0">C25+E25+G25</f>
        <v>21</v>
      </c>
      <c r="K25" s="412">
        <f>D25+F25+I25</f>
        <v>250</v>
      </c>
      <c r="L25" s="413"/>
      <c r="M25" s="2"/>
    </row>
    <row r="26" spans="2:14" ht="14.1" customHeight="1" x14ac:dyDescent="0.2">
      <c r="B26" s="80" t="s">
        <v>281</v>
      </c>
      <c r="C26" s="45">
        <v>5</v>
      </c>
      <c r="D26" s="103">
        <v>118</v>
      </c>
      <c r="E26" s="57">
        <v>6</v>
      </c>
      <c r="F26" s="108">
        <v>150</v>
      </c>
      <c r="G26" s="406">
        <v>5</v>
      </c>
      <c r="H26" s="407"/>
      <c r="I26" s="112">
        <v>166</v>
      </c>
      <c r="J26" s="25">
        <f t="shared" si="0"/>
        <v>16</v>
      </c>
      <c r="K26" s="408">
        <f t="shared" ref="K26:K39" si="1">D26+F26+I26</f>
        <v>434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100</v>
      </c>
      <c r="E27" s="57"/>
      <c r="F27" s="108">
        <v>158</v>
      </c>
      <c r="G27" s="406"/>
      <c r="H27" s="407"/>
      <c r="I27" s="112">
        <v>164</v>
      </c>
      <c r="J27" s="25">
        <f t="shared" si="0"/>
        <v>0</v>
      </c>
      <c r="K27" s="408">
        <f t="shared" si="1"/>
        <v>422</v>
      </c>
      <c r="L27" s="409"/>
      <c r="M27" s="2"/>
    </row>
    <row r="28" spans="2:14" ht="14.1" customHeight="1" x14ac:dyDescent="0.2">
      <c r="B28" s="80" t="s">
        <v>283</v>
      </c>
      <c r="C28" s="45">
        <v>5</v>
      </c>
      <c r="D28" s="103"/>
      <c r="E28" s="57">
        <v>6</v>
      </c>
      <c r="F28" s="108"/>
      <c r="G28" s="406">
        <v>5</v>
      </c>
      <c r="H28" s="407"/>
      <c r="I28" s="112"/>
      <c r="J28" s="25">
        <f t="shared" si="0"/>
        <v>16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3</v>
      </c>
      <c r="D29" s="103"/>
      <c r="E29" s="57">
        <v>1</v>
      </c>
      <c r="F29" s="108"/>
      <c r="G29" s="406">
        <v>5</v>
      </c>
      <c r="H29" s="407"/>
      <c r="I29" s="112"/>
      <c r="J29" s="25">
        <f t="shared" si="0"/>
        <v>9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>
        <v>1</v>
      </c>
      <c r="D30" s="103">
        <v>23.75</v>
      </c>
      <c r="E30" s="57">
        <v>3</v>
      </c>
      <c r="F30" s="108">
        <v>32.200000000000003</v>
      </c>
      <c r="G30" s="406"/>
      <c r="H30" s="407"/>
      <c r="I30" s="112"/>
      <c r="J30" s="25">
        <f t="shared" si="0"/>
        <v>4</v>
      </c>
      <c r="K30" s="408">
        <f t="shared" si="1"/>
        <v>55.95</v>
      </c>
      <c r="L30" s="409"/>
    </row>
    <row r="31" spans="2:14" ht="14.1" customHeight="1" x14ac:dyDescent="0.2">
      <c r="B31" s="80" t="s">
        <v>286</v>
      </c>
      <c r="C31" s="45">
        <v>2</v>
      </c>
      <c r="D31" s="103"/>
      <c r="E31" s="57">
        <v>3</v>
      </c>
      <c r="F31" s="108"/>
      <c r="G31" s="406">
        <v>2</v>
      </c>
      <c r="H31" s="407"/>
      <c r="I31" s="112"/>
      <c r="J31" s="25">
        <f t="shared" si="0"/>
        <v>7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1</v>
      </c>
      <c r="F32" s="108"/>
      <c r="G32" s="406">
        <v>1</v>
      </c>
      <c r="H32" s="407"/>
      <c r="I32" s="112"/>
      <c r="J32" s="25">
        <f t="shared" si="0"/>
        <v>3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/>
      <c r="G33" s="406">
        <v>1</v>
      </c>
      <c r="H33" s="407"/>
      <c r="I33" s="112"/>
      <c r="J33" s="25">
        <f t="shared" si="0"/>
        <v>1</v>
      </c>
      <c r="K33" s="408">
        <f t="shared" si="1"/>
        <v>0</v>
      </c>
      <c r="L33" s="409"/>
    </row>
    <row r="34" spans="1:16" ht="14.1" customHeight="1" x14ac:dyDescent="0.2">
      <c r="B34" s="80" t="s">
        <v>289</v>
      </c>
      <c r="C34" s="45">
        <v>1</v>
      </c>
      <c r="D34" s="103"/>
      <c r="E34" s="57"/>
      <c r="F34" s="108"/>
      <c r="G34" s="406">
        <v>1</v>
      </c>
      <c r="H34" s="407"/>
      <c r="I34" s="112"/>
      <c r="J34" s="25">
        <f t="shared" si="0"/>
        <v>2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>
        <v>28</v>
      </c>
      <c r="E36" s="58"/>
      <c r="F36" s="109">
        <v>8</v>
      </c>
      <c r="G36" s="406"/>
      <c r="H36" s="407"/>
      <c r="I36" s="113"/>
      <c r="J36" s="25">
        <f t="shared" si="0"/>
        <v>0</v>
      </c>
      <c r="K36" s="408">
        <f t="shared" si="1"/>
        <v>36</v>
      </c>
      <c r="L36" s="409"/>
    </row>
    <row r="37" spans="1:16" ht="14.1" customHeight="1" x14ac:dyDescent="0.2">
      <c r="B37" s="37" t="s">
        <v>292</v>
      </c>
      <c r="C37" s="55"/>
      <c r="D37" s="104"/>
      <c r="E37" s="58"/>
      <c r="F37" s="109"/>
      <c r="G37" s="406"/>
      <c r="H37" s="407"/>
      <c r="I37" s="113"/>
      <c r="J37" s="25">
        <f t="shared" si="0"/>
        <v>0</v>
      </c>
      <c r="K37" s="408">
        <f t="shared" si="1"/>
        <v>0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/>
      <c r="J38" s="25">
        <f t="shared" si="0"/>
        <v>0</v>
      </c>
      <c r="K38" s="408">
        <f t="shared" si="1"/>
        <v>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135</v>
      </c>
      <c r="J39" s="25">
        <f t="shared" si="0"/>
        <v>0</v>
      </c>
      <c r="K39" s="408">
        <f t="shared" si="1"/>
        <v>135</v>
      </c>
      <c r="L39" s="409"/>
    </row>
    <row r="40" spans="1:16" ht="14.1" customHeight="1" thickBot="1" x14ac:dyDescent="0.25">
      <c r="B40" s="81" t="s">
        <v>295</v>
      </c>
      <c r="C40" s="47"/>
      <c r="D40" s="105">
        <v>21.6</v>
      </c>
      <c r="E40" s="59"/>
      <c r="F40" s="110">
        <v>37.799999999999997</v>
      </c>
      <c r="G40" s="473"/>
      <c r="H40" s="474"/>
      <c r="I40" s="114">
        <v>38.880000000000003</v>
      </c>
      <c r="J40" s="26">
        <f t="shared" si="0"/>
        <v>0</v>
      </c>
      <c r="K40" s="475">
        <f>D40+F40+I40</f>
        <v>98.28</v>
      </c>
      <c r="L40" s="476"/>
    </row>
    <row r="41" spans="1:16" ht="17.25" customHeight="1" x14ac:dyDescent="0.2">
      <c r="B41" s="15" t="s">
        <v>273</v>
      </c>
      <c r="C41" s="16">
        <f>SUM(C25:C40)</f>
        <v>25</v>
      </c>
      <c r="D41" s="106">
        <f>SUM(D25:D40)</f>
        <v>421.35</v>
      </c>
      <c r="E41" s="16">
        <f>SUM(E25:E40)</f>
        <v>28</v>
      </c>
      <c r="F41" s="106">
        <f>SUM(F25:F40)</f>
        <v>436</v>
      </c>
      <c r="G41" s="430">
        <f>SUM(G25:H40)</f>
        <v>26</v>
      </c>
      <c r="H41" s="430"/>
      <c r="I41" s="106">
        <f>SUM(I25:I40)</f>
        <v>573.88</v>
      </c>
      <c r="J41" s="16">
        <f>SUM(J25:J40)</f>
        <v>79</v>
      </c>
      <c r="K41" s="477">
        <f>SUM(K25:L40)</f>
        <v>1431.23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/>
      <c r="D45" s="210"/>
      <c r="E45" s="209"/>
      <c r="F45" s="210"/>
      <c r="G45" s="471"/>
      <c r="H45" s="472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/>
      <c r="D48" s="209"/>
      <c r="E48" s="209"/>
      <c r="F48" s="209">
        <v>0.3</v>
      </c>
      <c r="G48" s="442">
        <v>0.2</v>
      </c>
      <c r="H48" s="443"/>
      <c r="I48" s="209">
        <v>0.7</v>
      </c>
      <c r="J48" s="209">
        <v>0</v>
      </c>
      <c r="K48" s="209">
        <v>0</v>
      </c>
      <c r="L48" s="209">
        <v>0.8</v>
      </c>
      <c r="M48" s="211">
        <v>0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48</v>
      </c>
      <c r="G49" s="438">
        <f>G48*100</f>
        <v>20</v>
      </c>
      <c r="H49" s="439"/>
      <c r="I49" s="40">
        <f>I48*100</f>
        <v>70</v>
      </c>
      <c r="J49" s="40">
        <f>J48*150</f>
        <v>0</v>
      </c>
      <c r="K49" s="40">
        <f>K48*70</f>
        <v>0</v>
      </c>
      <c r="L49" s="40">
        <f>L48*70</f>
        <v>56</v>
      </c>
      <c r="M49" s="79">
        <f>M48*70</f>
        <v>0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0.3</v>
      </c>
      <c r="D51" s="213">
        <v>0</v>
      </c>
      <c r="E51" s="214">
        <v>0</v>
      </c>
      <c r="F51" s="209"/>
      <c r="G51" s="442"/>
      <c r="H51" s="443"/>
      <c r="I51" s="209">
        <v>0</v>
      </c>
      <c r="J51" s="209">
        <v>0</v>
      </c>
      <c r="K51" s="209">
        <v>0.15</v>
      </c>
      <c r="L51" s="209"/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21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0</v>
      </c>
      <c r="K52" s="41">
        <f>K51*250</f>
        <v>37.5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252.5</v>
      </c>
      <c r="F54" s="39" t="s">
        <v>309</v>
      </c>
      <c r="G54" s="188"/>
      <c r="H54" s="188"/>
      <c r="I54" s="30">
        <f>'17'!D54</f>
        <v>204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>
        <v>173900</v>
      </c>
      <c r="D58" s="60">
        <v>18940</v>
      </c>
      <c r="E58" s="124">
        <f>SUM(C58:D58)</f>
        <v>192840</v>
      </c>
      <c r="F58" s="425"/>
      <c r="G58" s="426"/>
      <c r="H58" s="60">
        <v>3723</v>
      </c>
      <c r="I58" s="61">
        <v>2881</v>
      </c>
      <c r="J58" s="422"/>
      <c r="K58" s="428"/>
      <c r="L58" s="60">
        <v>6869.98</v>
      </c>
      <c r="M58" s="61">
        <f>L58/3</f>
        <v>2289.9933333333333</v>
      </c>
      <c r="N58" s="288">
        <v>4.04</v>
      </c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113.40260748372528</v>
      </c>
      <c r="D59" s="432"/>
      <c r="E59" s="433"/>
      <c r="F59" s="434" t="s">
        <v>321</v>
      </c>
      <c r="G59" s="435"/>
      <c r="H59" s="436">
        <f>IF(ISERROR(SUM(H58:I58)/$H$19),"",(SUM(H58:I58)/$H$19))</f>
        <v>3.8835864956571342</v>
      </c>
      <c r="I59" s="437"/>
      <c r="J59" s="434" t="s">
        <v>322</v>
      </c>
      <c r="K59" s="435"/>
      <c r="L59" s="115">
        <f>IF(ISERROR(L58/$H$19),"",(L58/$H$19))</f>
        <v>4.0400002352263167</v>
      </c>
      <c r="M59" s="116">
        <f>IF(ISERROR(M58/$H$19),"",(M58/$H$19))</f>
        <v>1.346666745075439</v>
      </c>
      <c r="N59" s="194">
        <f>N58*H19</f>
        <v>6869.9795999999997</v>
      </c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0.77430555555555569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6</v>
      </c>
      <c r="C63" s="236" t="s">
        <v>22</v>
      </c>
      <c r="D63" s="236" t="s">
        <v>11</v>
      </c>
      <c r="E63" s="322" t="s">
        <v>43</v>
      </c>
      <c r="F63" s="324" t="s">
        <v>43</v>
      </c>
      <c r="G63" s="322" t="s">
        <v>971</v>
      </c>
      <c r="H63" s="323"/>
      <c r="I63" s="323"/>
      <c r="J63" s="324"/>
      <c r="K63" s="238">
        <v>0.29166666666666669</v>
      </c>
      <c r="L63" s="238">
        <v>0.45833333333333331</v>
      </c>
      <c r="M63" s="236" t="s">
        <v>9</v>
      </c>
      <c r="N63" s="237">
        <f t="shared" ref="N63:N126" si="2">IF(M63="No","",IF(M63="Yes",(L63-K63+(L63&lt;K63)),""))</f>
        <v>0.16666666666666663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11</v>
      </c>
      <c r="E64" s="322" t="s">
        <v>43</v>
      </c>
      <c r="F64" s="324" t="s">
        <v>43</v>
      </c>
      <c r="G64" s="322" t="s">
        <v>972</v>
      </c>
      <c r="H64" s="323"/>
      <c r="I64" s="323"/>
      <c r="J64" s="324"/>
      <c r="K64" s="238">
        <v>0.29166666666666669</v>
      </c>
      <c r="L64" s="238">
        <v>0.5</v>
      </c>
      <c r="M64" s="236" t="s">
        <v>9</v>
      </c>
      <c r="N64" s="237">
        <f t="shared" si="2"/>
        <v>0.20833333333333331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20</v>
      </c>
      <c r="E65" s="322" t="s">
        <v>107</v>
      </c>
      <c r="F65" s="324" t="s">
        <v>107</v>
      </c>
      <c r="G65" s="322" t="s">
        <v>973</v>
      </c>
      <c r="H65" s="323"/>
      <c r="I65" s="323"/>
      <c r="J65" s="324"/>
      <c r="K65" s="239">
        <v>0.27083333333333331</v>
      </c>
      <c r="L65" s="239">
        <v>0.2986111111111111</v>
      </c>
      <c r="M65" s="236" t="s">
        <v>9</v>
      </c>
      <c r="N65" s="237">
        <f t="shared" si="2"/>
        <v>2.777777777777779E-2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23</v>
      </c>
      <c r="E66" s="322" t="s">
        <v>106</v>
      </c>
      <c r="F66" s="324" t="s">
        <v>106</v>
      </c>
      <c r="G66" s="322" t="s">
        <v>567</v>
      </c>
      <c r="H66" s="323"/>
      <c r="I66" s="323"/>
      <c r="J66" s="324"/>
      <c r="K66" s="239">
        <v>0.27777777777777779</v>
      </c>
      <c r="L66" s="239">
        <v>0.2986111111111111</v>
      </c>
      <c r="M66" s="236" t="s">
        <v>9</v>
      </c>
      <c r="N66" s="237">
        <f t="shared" si="2"/>
        <v>2.0833333333333315E-2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23</v>
      </c>
      <c r="E67" s="322"/>
      <c r="F67" s="324"/>
      <c r="G67" s="322" t="s">
        <v>974</v>
      </c>
      <c r="H67" s="323"/>
      <c r="I67" s="323"/>
      <c r="J67" s="324"/>
      <c r="K67" s="238">
        <v>0.31944444444444448</v>
      </c>
      <c r="L67" s="238">
        <v>0.33333333333333331</v>
      </c>
      <c r="M67" s="236" t="s">
        <v>9</v>
      </c>
      <c r="N67" s="237">
        <f t="shared" si="2"/>
        <v>1.388888888888884E-2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26</v>
      </c>
      <c r="E68" s="322"/>
      <c r="F68" s="324"/>
      <c r="G68" s="322" t="s">
        <v>974</v>
      </c>
      <c r="H68" s="323"/>
      <c r="I68" s="323"/>
      <c r="J68" s="324"/>
      <c r="K68" s="239">
        <v>0.30555555555555552</v>
      </c>
      <c r="L68" s="239">
        <v>0.31944444444444448</v>
      </c>
      <c r="M68" s="236" t="s">
        <v>9</v>
      </c>
      <c r="N68" s="237">
        <f t="shared" si="2"/>
        <v>1.3888888888888951E-2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29</v>
      </c>
      <c r="E69" s="322"/>
      <c r="F69" s="324"/>
      <c r="G69" s="322" t="s">
        <v>974</v>
      </c>
      <c r="H69" s="323"/>
      <c r="I69" s="323"/>
      <c r="J69" s="324"/>
      <c r="K69" s="239">
        <v>0.30555555555555552</v>
      </c>
      <c r="L69" s="239">
        <v>0.3263888888888889</v>
      </c>
      <c r="M69" s="236" t="s">
        <v>9</v>
      </c>
      <c r="N69" s="237">
        <f t="shared" si="2"/>
        <v>2.083333333333337E-2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322"/>
      <c r="F70" s="324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18</v>
      </c>
      <c r="E71" s="322" t="s">
        <v>91</v>
      </c>
      <c r="F71" s="324" t="s">
        <v>91</v>
      </c>
      <c r="G71" s="322" t="s">
        <v>975</v>
      </c>
      <c r="H71" s="323"/>
      <c r="I71" s="323"/>
      <c r="J71" s="324"/>
      <c r="K71" s="239">
        <v>0.34722222222222227</v>
      </c>
      <c r="L71" s="239">
        <v>0.39583333333333331</v>
      </c>
      <c r="M71" s="236" t="s">
        <v>9</v>
      </c>
      <c r="N71" s="237">
        <f t="shared" si="2"/>
        <v>4.8611111111111049E-2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322"/>
      <c r="F72" s="324"/>
      <c r="G72" s="322"/>
      <c r="H72" s="323"/>
      <c r="I72" s="323"/>
      <c r="J72" s="324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 t="s">
        <v>10</v>
      </c>
      <c r="C73" s="236" t="s">
        <v>25</v>
      </c>
      <c r="D73" s="236" t="s">
        <v>23</v>
      </c>
      <c r="E73" s="322"/>
      <c r="F73" s="324"/>
      <c r="G73" s="322" t="s">
        <v>976</v>
      </c>
      <c r="H73" s="323"/>
      <c r="I73" s="323"/>
      <c r="J73" s="324"/>
      <c r="K73" s="239">
        <v>0.79861111111111116</v>
      </c>
      <c r="L73" s="239">
        <v>0.83333333333333337</v>
      </c>
      <c r="M73" s="236" t="s">
        <v>9</v>
      </c>
      <c r="N73" s="237">
        <f t="shared" si="2"/>
        <v>3.472222222222221E-2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11</v>
      </c>
      <c r="E74" s="322"/>
      <c r="F74" s="324"/>
      <c r="G74" s="322" t="s">
        <v>977</v>
      </c>
      <c r="H74" s="323"/>
      <c r="I74" s="323"/>
      <c r="J74" s="324"/>
      <c r="K74" s="238">
        <v>0.67708333333333337</v>
      </c>
      <c r="L74" s="238">
        <v>0.6875</v>
      </c>
      <c r="M74" s="236" t="s">
        <v>9</v>
      </c>
      <c r="N74" s="237">
        <f t="shared" si="2"/>
        <v>1.041666666666663E-2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322"/>
      <c r="F75" s="324"/>
      <c r="G75" s="322"/>
      <c r="H75" s="323"/>
      <c r="I75" s="323"/>
      <c r="J75" s="324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 t="s">
        <v>14</v>
      </c>
      <c r="C76" s="236" t="s">
        <v>28</v>
      </c>
      <c r="D76" s="236" t="s">
        <v>23</v>
      </c>
      <c r="E76" s="322"/>
      <c r="F76" s="324"/>
      <c r="G76" s="322" t="s">
        <v>976</v>
      </c>
      <c r="H76" s="323"/>
      <c r="I76" s="323"/>
      <c r="J76" s="324"/>
      <c r="K76" s="239">
        <v>0.93055555555555547</v>
      </c>
      <c r="L76" s="239">
        <v>0.95833333333333337</v>
      </c>
      <c r="M76" s="236" t="s">
        <v>9</v>
      </c>
      <c r="N76" s="237">
        <f t="shared" si="2"/>
        <v>2.7777777777777901E-2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322"/>
      <c r="F77" s="324"/>
      <c r="G77" s="322" t="s">
        <v>519</v>
      </c>
      <c r="H77" s="323"/>
      <c r="I77" s="323"/>
      <c r="J77" s="324"/>
      <c r="K77" s="238">
        <v>0.99305555555555547</v>
      </c>
      <c r="L77" s="238">
        <v>1.0208333333333333</v>
      </c>
      <c r="M77" s="236" t="s">
        <v>9</v>
      </c>
      <c r="N77" s="237">
        <f t="shared" si="2"/>
        <v>2.777777777777779E-2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 t="s">
        <v>519</v>
      </c>
      <c r="H78" s="323"/>
      <c r="I78" s="323"/>
      <c r="J78" s="324"/>
      <c r="K78" s="239">
        <v>5.5555555555555552E-2</v>
      </c>
      <c r="L78" s="239">
        <v>0.1111111111111111</v>
      </c>
      <c r="M78" s="236" t="s">
        <v>9</v>
      </c>
      <c r="N78" s="237">
        <f t="shared" si="2"/>
        <v>5.5555555555555552E-2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322"/>
      <c r="F79" s="324"/>
      <c r="G79" s="322" t="s">
        <v>519</v>
      </c>
      <c r="H79" s="323"/>
      <c r="I79" s="323"/>
      <c r="J79" s="324"/>
      <c r="K79" s="239">
        <v>0.125</v>
      </c>
      <c r="L79" s="239">
        <v>0.16666666666666666</v>
      </c>
      <c r="M79" s="236" t="s">
        <v>9</v>
      </c>
      <c r="N79" s="237">
        <f t="shared" si="2"/>
        <v>4.1666666666666657E-2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 t="s">
        <v>26</v>
      </c>
      <c r="E80" s="322"/>
      <c r="F80" s="324"/>
      <c r="G80" s="322" t="s">
        <v>978</v>
      </c>
      <c r="H80" s="323"/>
      <c r="I80" s="323"/>
      <c r="J80" s="324"/>
      <c r="K80" s="239">
        <v>1.0347222222222221</v>
      </c>
      <c r="L80" s="239">
        <v>6.9444444444444434E-2</v>
      </c>
      <c r="M80" s="236" t="s">
        <v>9</v>
      </c>
      <c r="N80" s="237">
        <f t="shared" si="2"/>
        <v>3.4722222222222321E-2</v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 t="s">
        <v>26</v>
      </c>
      <c r="E81" s="322" t="s">
        <v>124</v>
      </c>
      <c r="F81" s="324" t="s">
        <v>124</v>
      </c>
      <c r="G81" s="322" t="s">
        <v>979</v>
      </c>
      <c r="H81" s="323"/>
      <c r="I81" s="323"/>
      <c r="J81" s="324"/>
      <c r="K81" s="239">
        <v>0.16666666666666666</v>
      </c>
      <c r="L81" s="239">
        <v>0.1875</v>
      </c>
      <c r="M81" s="236" t="s">
        <v>9</v>
      </c>
      <c r="N81" s="237">
        <f t="shared" si="2"/>
        <v>2.0833333333333343E-2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322"/>
      <c r="F83" s="324"/>
      <c r="G83" s="322"/>
      <c r="H83" s="323"/>
      <c r="I83" s="323"/>
      <c r="J83" s="324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 t="s">
        <v>393</v>
      </c>
      <c r="D136" s="481"/>
      <c r="E136" s="463"/>
      <c r="F136" s="464"/>
      <c r="G136" s="452" t="s">
        <v>651</v>
      </c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395</v>
      </c>
      <c r="D137" s="479"/>
      <c r="E137" s="463" t="s">
        <v>607</v>
      </c>
      <c r="F137" s="464"/>
      <c r="G137" s="452"/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35"/>
      <c r="E143" s="335"/>
      <c r="F143" s="335"/>
      <c r="G143" s="336"/>
      <c r="H143" s="336"/>
      <c r="I143" s="336"/>
      <c r="J143" s="336"/>
      <c r="K143" s="336"/>
      <c r="L143" s="335"/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 t="s">
        <v>255</v>
      </c>
      <c r="C144" s="215" t="s">
        <v>378</v>
      </c>
      <c r="D144" s="335" t="s">
        <v>980</v>
      </c>
      <c r="E144" s="335"/>
      <c r="F144" s="335"/>
      <c r="G144" s="336" t="s">
        <v>367</v>
      </c>
      <c r="H144" s="336"/>
      <c r="I144" s="336"/>
      <c r="J144" s="336">
        <v>47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8</v>
      </c>
      <c r="D145" s="335" t="s">
        <v>981</v>
      </c>
      <c r="E145" s="335"/>
      <c r="F145" s="335"/>
      <c r="G145" s="336" t="s">
        <v>753</v>
      </c>
      <c r="H145" s="336"/>
      <c r="I145" s="336"/>
      <c r="J145" s="336">
        <v>129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13</v>
      </c>
      <c r="D146" s="335" t="s">
        <v>982</v>
      </c>
      <c r="E146" s="335"/>
      <c r="F146" s="335"/>
      <c r="G146" s="336" t="s">
        <v>359</v>
      </c>
      <c r="H146" s="336"/>
      <c r="I146" s="336"/>
      <c r="J146" s="336">
        <v>49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17</v>
      </c>
      <c r="D147" s="335" t="s">
        <v>983</v>
      </c>
      <c r="E147" s="335"/>
      <c r="F147" s="335"/>
      <c r="G147" s="336" t="s">
        <v>361</v>
      </c>
      <c r="H147" s="336"/>
      <c r="I147" s="336"/>
      <c r="J147" s="336">
        <v>14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14</v>
      </c>
      <c r="D148" s="335" t="s">
        <v>984</v>
      </c>
      <c r="E148" s="335"/>
      <c r="F148" s="335"/>
      <c r="G148" s="336" t="s">
        <v>985</v>
      </c>
      <c r="H148" s="336"/>
      <c r="I148" s="336"/>
      <c r="J148" s="336">
        <v>30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18</v>
      </c>
      <c r="D149" s="335" t="s">
        <v>986</v>
      </c>
      <c r="E149" s="335"/>
      <c r="F149" s="335"/>
      <c r="G149" s="336" t="s">
        <v>538</v>
      </c>
      <c r="H149" s="336"/>
      <c r="I149" s="336"/>
      <c r="J149" s="336">
        <v>17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23</v>
      </c>
      <c r="D150" s="335" t="s">
        <v>987</v>
      </c>
      <c r="E150" s="335"/>
      <c r="F150" s="335"/>
      <c r="G150" s="336" t="s">
        <v>403</v>
      </c>
      <c r="H150" s="336"/>
      <c r="I150" s="336"/>
      <c r="J150" s="336">
        <v>330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12</v>
      </c>
      <c r="D151" s="335" t="s">
        <v>988</v>
      </c>
      <c r="E151" s="335"/>
      <c r="F151" s="335"/>
      <c r="G151" s="336" t="s">
        <v>372</v>
      </c>
      <c r="H151" s="336"/>
      <c r="I151" s="336"/>
      <c r="J151" s="336">
        <v>50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 t="s">
        <v>376</v>
      </c>
      <c r="D152" s="335" t="s">
        <v>981</v>
      </c>
      <c r="E152" s="335"/>
      <c r="F152" s="335"/>
      <c r="G152" s="336" t="s">
        <v>357</v>
      </c>
      <c r="H152" s="336"/>
      <c r="I152" s="336"/>
      <c r="J152" s="336">
        <v>37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9</v>
      </c>
      <c r="D153" s="335" t="s">
        <v>886</v>
      </c>
      <c r="E153" s="335"/>
      <c r="F153" s="335"/>
      <c r="G153" s="336" t="s">
        <v>367</v>
      </c>
      <c r="H153" s="336"/>
      <c r="I153" s="336"/>
      <c r="J153" s="336">
        <v>59</v>
      </c>
      <c r="K153" s="336"/>
      <c r="L153" s="335" t="s">
        <v>355</v>
      </c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9</v>
      </c>
      <c r="D154" s="335" t="s">
        <v>886</v>
      </c>
      <c r="E154" s="335"/>
      <c r="F154" s="335"/>
      <c r="G154" s="336" t="s">
        <v>367</v>
      </c>
      <c r="H154" s="336"/>
      <c r="I154" s="336"/>
      <c r="J154" s="336">
        <v>22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35"/>
      <c r="E155" s="335"/>
      <c r="F155" s="335"/>
      <c r="G155" s="336"/>
      <c r="H155" s="336"/>
      <c r="I155" s="336"/>
      <c r="J155" s="336"/>
      <c r="K155" s="336"/>
      <c r="L155" s="335"/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 t="s">
        <v>261</v>
      </c>
      <c r="C156" s="215" t="s">
        <v>378</v>
      </c>
      <c r="D156" s="335" t="s">
        <v>894</v>
      </c>
      <c r="E156" s="335"/>
      <c r="F156" s="335"/>
      <c r="G156" s="336" t="s">
        <v>989</v>
      </c>
      <c r="H156" s="336"/>
      <c r="I156" s="336"/>
      <c r="J156" s="336">
        <v>45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14</v>
      </c>
      <c r="D157" s="335" t="s">
        <v>990</v>
      </c>
      <c r="E157" s="335"/>
      <c r="F157" s="335"/>
      <c r="G157" s="336" t="s">
        <v>991</v>
      </c>
      <c r="H157" s="336"/>
      <c r="I157" s="336"/>
      <c r="J157" s="336">
        <v>30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13</v>
      </c>
      <c r="D158" s="335" t="s">
        <v>992</v>
      </c>
      <c r="E158" s="335"/>
      <c r="F158" s="335"/>
      <c r="G158" s="336" t="s">
        <v>413</v>
      </c>
      <c r="H158" s="336"/>
      <c r="I158" s="336"/>
      <c r="J158" s="336">
        <v>54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19</v>
      </c>
      <c r="D159" s="335" t="s">
        <v>993</v>
      </c>
      <c r="E159" s="335"/>
      <c r="F159" s="335"/>
      <c r="G159" s="336" t="s">
        <v>415</v>
      </c>
      <c r="H159" s="336"/>
      <c r="I159" s="336"/>
      <c r="J159" s="336">
        <v>10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22</v>
      </c>
      <c r="D160" s="335" t="s">
        <v>994</v>
      </c>
      <c r="E160" s="335"/>
      <c r="F160" s="335"/>
      <c r="G160" s="336" t="s">
        <v>995</v>
      </c>
      <c r="H160" s="336"/>
      <c r="I160" s="336"/>
      <c r="J160" s="336">
        <v>1240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13</v>
      </c>
      <c r="D161" s="335" t="s">
        <v>992</v>
      </c>
      <c r="E161" s="335"/>
      <c r="F161" s="335"/>
      <c r="G161" s="336" t="s">
        <v>413</v>
      </c>
      <c r="H161" s="336"/>
      <c r="I161" s="336"/>
      <c r="J161" s="336">
        <v>59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18</v>
      </c>
      <c r="D162" s="335" t="s">
        <v>996</v>
      </c>
      <c r="E162" s="335"/>
      <c r="F162" s="335"/>
      <c r="G162" s="336" t="s">
        <v>357</v>
      </c>
      <c r="H162" s="336"/>
      <c r="I162" s="336"/>
      <c r="J162" s="336">
        <v>13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8</v>
      </c>
      <c r="D163" s="335" t="s">
        <v>997</v>
      </c>
      <c r="E163" s="335"/>
      <c r="F163" s="335"/>
      <c r="G163" s="336" t="s">
        <v>998</v>
      </c>
      <c r="H163" s="336"/>
      <c r="I163" s="336"/>
      <c r="J163" s="336">
        <v>42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12</v>
      </c>
      <c r="D164" s="335" t="s">
        <v>999</v>
      </c>
      <c r="E164" s="335"/>
      <c r="F164" s="335"/>
      <c r="G164" s="336" t="s">
        <v>372</v>
      </c>
      <c r="H164" s="336"/>
      <c r="I164" s="336"/>
      <c r="J164" s="336">
        <v>50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11</v>
      </c>
      <c r="D165" s="335" t="s">
        <v>1000</v>
      </c>
      <c r="E165" s="335"/>
      <c r="F165" s="335"/>
      <c r="G165" s="336" t="s">
        <v>403</v>
      </c>
      <c r="H165" s="336"/>
      <c r="I165" s="336"/>
      <c r="J165" s="336">
        <v>356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 t="s">
        <v>376</v>
      </c>
      <c r="D166" s="335" t="s">
        <v>997</v>
      </c>
      <c r="E166" s="335"/>
      <c r="F166" s="335"/>
      <c r="G166" s="336" t="s">
        <v>357</v>
      </c>
      <c r="H166" s="336"/>
      <c r="I166" s="336"/>
      <c r="J166" s="336">
        <v>24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/>
      <c r="D167" s="335"/>
      <c r="E167" s="335"/>
      <c r="F167" s="335"/>
      <c r="G167" s="336"/>
      <c r="H167" s="336"/>
      <c r="I167" s="336"/>
      <c r="J167" s="336"/>
      <c r="K167" s="336"/>
      <c r="L167" s="335"/>
      <c r="M167" s="335"/>
    </row>
    <row r="168" spans="1:18" ht="14.25" x14ac:dyDescent="0.2">
      <c r="B168" s="216"/>
      <c r="C168" s="215"/>
      <c r="D168" s="335"/>
      <c r="E168" s="335"/>
      <c r="F168" s="335"/>
      <c r="G168" s="336"/>
      <c r="H168" s="336"/>
      <c r="I168" s="336"/>
      <c r="J168" s="336"/>
      <c r="K168" s="336"/>
      <c r="L168" s="335"/>
      <c r="M168" s="335"/>
    </row>
    <row r="169" spans="1:18" ht="14.25" x14ac:dyDescent="0.2">
      <c r="B169" s="216" t="s">
        <v>267</v>
      </c>
      <c r="C169" s="215">
        <v>18</v>
      </c>
      <c r="D169" s="335" t="s">
        <v>1001</v>
      </c>
      <c r="E169" s="335"/>
      <c r="F169" s="335"/>
      <c r="G169" s="336" t="s">
        <v>357</v>
      </c>
      <c r="H169" s="336"/>
      <c r="I169" s="336"/>
      <c r="J169" s="336">
        <v>17</v>
      </c>
      <c r="K169" s="336"/>
      <c r="L169" s="335" t="s">
        <v>355</v>
      </c>
      <c r="M169" s="335"/>
    </row>
    <row r="170" spans="1:18" ht="14.25" x14ac:dyDescent="0.2">
      <c r="B170" s="216"/>
      <c r="C170" s="215" t="s">
        <v>378</v>
      </c>
      <c r="D170" s="335" t="s">
        <v>1002</v>
      </c>
      <c r="E170" s="335"/>
      <c r="F170" s="335"/>
      <c r="G170" s="336" t="s">
        <v>367</v>
      </c>
      <c r="H170" s="336"/>
      <c r="I170" s="336"/>
      <c r="J170" s="336">
        <v>37</v>
      </c>
      <c r="K170" s="336"/>
      <c r="L170" s="335" t="s">
        <v>355</v>
      </c>
      <c r="M170" s="335"/>
    </row>
    <row r="171" spans="1:18" ht="14.25" x14ac:dyDescent="0.2">
      <c r="B171" s="216"/>
      <c r="C171" s="215">
        <v>1</v>
      </c>
      <c r="D171" s="337" t="s">
        <v>1003</v>
      </c>
      <c r="E171" s="338"/>
      <c r="F171" s="339"/>
      <c r="G171" s="336" t="s">
        <v>357</v>
      </c>
      <c r="H171" s="336"/>
      <c r="I171" s="336"/>
      <c r="J171" s="336">
        <v>47</v>
      </c>
      <c r="K171" s="336"/>
      <c r="L171" s="335" t="s">
        <v>355</v>
      </c>
      <c r="M171" s="335"/>
    </row>
    <row r="172" spans="1:18" ht="14.25" x14ac:dyDescent="0.2">
      <c r="B172" s="216"/>
      <c r="C172" s="215">
        <v>19</v>
      </c>
      <c r="D172" s="335" t="s">
        <v>1004</v>
      </c>
      <c r="E172" s="335"/>
      <c r="F172" s="335"/>
      <c r="G172" s="336" t="s">
        <v>557</v>
      </c>
      <c r="H172" s="336"/>
      <c r="I172" s="336"/>
      <c r="J172" s="336">
        <v>15</v>
      </c>
      <c r="K172" s="336"/>
      <c r="L172" s="335" t="s">
        <v>355</v>
      </c>
      <c r="M172" s="335"/>
    </row>
    <row r="173" spans="1:18" ht="14.25" x14ac:dyDescent="0.2">
      <c r="B173" s="216"/>
      <c r="C173" s="215">
        <v>13</v>
      </c>
      <c r="D173" s="335" t="s">
        <v>1002</v>
      </c>
      <c r="E173" s="335"/>
      <c r="F173" s="335"/>
      <c r="G173" s="336" t="s">
        <v>662</v>
      </c>
      <c r="H173" s="336"/>
      <c r="I173" s="336"/>
      <c r="J173" s="336">
        <v>47</v>
      </c>
      <c r="K173" s="336"/>
      <c r="L173" s="335" t="s">
        <v>355</v>
      </c>
      <c r="M173" s="335"/>
    </row>
    <row r="174" spans="1:18" ht="14.25" x14ac:dyDescent="0.2">
      <c r="B174" s="216"/>
      <c r="C174" s="215">
        <v>8</v>
      </c>
      <c r="D174" s="335" t="s">
        <v>1003</v>
      </c>
      <c r="E174" s="335"/>
      <c r="F174" s="335"/>
      <c r="G174" s="336" t="s">
        <v>1005</v>
      </c>
      <c r="H174" s="336"/>
      <c r="I174" s="336"/>
      <c r="J174" s="336" t="s">
        <v>1006</v>
      </c>
      <c r="K174" s="336"/>
      <c r="L174" s="335" t="s">
        <v>355</v>
      </c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DD6FF7A2-68B7-4FB8-BF05-4B4F5A4EFE83}">
      <formula1>INDIRECT(D63)</formula1>
    </dataValidation>
  </dataValidations>
  <hyperlinks>
    <hyperlink ref="J14:L15" location="Summary!A1" display="MTD Summary " xr:uid="{9A3C96C3-445F-45AE-A298-C33400EAB839}"/>
    <hyperlink ref="J16:L17" location="Graph!A1" display="MTD Trendings" xr:uid="{0FA1F269-9993-489C-915D-4F6C8FF1C59F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B278DF0-15D1-4F7B-80FA-3857506664E4}">
          <x14:formula1>
            <xm:f>List!$C$5:$C$14</xm:f>
          </x14:formula1>
          <xm:sqref>D63:D131</xm:sqref>
        </x14:dataValidation>
        <x14:dataValidation type="list" allowBlank="1" showInputMessage="1" showErrorMessage="1" xr:uid="{9C0FE097-72B1-4091-8B87-0B3EB3D64FFC}">
          <x14:formula1>
            <xm:f>List!$B$10:$B$12</xm:f>
          </x14:formula1>
          <xm:sqref>C63:C131</xm:sqref>
        </x14:dataValidation>
        <x14:dataValidation type="list" allowBlank="1" showInputMessage="1" showErrorMessage="1" xr:uid="{12C1505A-0F6F-4CFC-86A0-D13D20BD2078}">
          <x14:formula1>
            <xm:f>List!$B$5:$B$8</xm:f>
          </x14:formula1>
          <xm:sqref>B63:B131</xm:sqref>
        </x14:dataValidation>
        <x14:dataValidation type="list" allowBlank="1" showInputMessage="1" showErrorMessage="1" xr:uid="{ED9B3FD7-88E1-49AB-ABEE-39292141E710}">
          <x14:formula1>
            <xm:f>Sheet3!$C$3:$C$4</xm:f>
          </x14:formula1>
          <xm:sqref>M63:M132</xm:sqref>
        </x14:dataValidation>
        <x14:dataValidation type="list" allowBlank="1" showInputMessage="1" xr:uid="{7CD35652-F2ED-48A8-BF30-3CA00E16FC69}">
          <x14:formula1>
            <xm:f>Sheet3!$D$3:$D$11</xm:f>
          </x14:formula1>
          <xm:sqref>C132</xm:sqref>
        </x14:dataValidation>
        <x14:dataValidation type="list" allowBlank="1" showInputMessage="1" showErrorMessage="1" xr:uid="{D470DAFA-21C9-4F55-B065-9DBE5FDCF660}">
          <x14:formula1>
            <xm:f>Sheet3!$B$3:$B$5</xm:f>
          </x14:formula1>
          <xm:sqref>B143:B165 B132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8B0D-F0A1-4BC2-B862-447C997FA770}">
  <sheetPr>
    <pageSetUpPr fitToPage="1"/>
  </sheetPr>
  <dimension ref="A1:R188"/>
  <sheetViews>
    <sheetView showGridLines="0" view="pageBreakPreview" topLeftCell="A19" zoomScale="80" zoomScaleNormal="90" zoomScaleSheetLayoutView="80" zoomScalePageLayoutView="80" workbookViewId="0">
      <selection activeCell="L2" sqref="L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19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1620.82</v>
      </c>
      <c r="K6" s="420"/>
      <c r="L6" s="420">
        <f ca="1">Summary!G26</f>
        <v>1551.42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120</v>
      </c>
      <c r="E7" s="84">
        <v>70</v>
      </c>
      <c r="F7" s="395">
        <v>40</v>
      </c>
      <c r="G7" s="396"/>
      <c r="H7" s="374">
        <f>SUM(D7:D10)</f>
        <v>550.27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130</v>
      </c>
      <c r="E8" s="86">
        <v>70</v>
      </c>
      <c r="F8" s="397">
        <v>40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140</v>
      </c>
      <c r="E9" s="86">
        <v>70</v>
      </c>
      <c r="F9" s="397">
        <v>40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160.27000000000001</v>
      </c>
      <c r="E10" s="88">
        <v>70</v>
      </c>
      <c r="F10" s="399">
        <v>40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140</v>
      </c>
      <c r="E11" s="90">
        <v>70</v>
      </c>
      <c r="F11" s="386">
        <v>40</v>
      </c>
      <c r="G11" s="387"/>
      <c r="H11" s="388">
        <f>SUM(D11:D14)</f>
        <v>560.22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150</v>
      </c>
      <c r="E12" s="92">
        <v>70</v>
      </c>
      <c r="F12" s="391">
        <v>40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130</v>
      </c>
      <c r="E13" s="92">
        <v>70</v>
      </c>
      <c r="F13" s="391">
        <v>40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140.22</v>
      </c>
      <c r="E14" s="94">
        <v>70</v>
      </c>
      <c r="F14" s="393">
        <v>40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130</v>
      </c>
      <c r="E15" s="96">
        <v>60</v>
      </c>
      <c r="F15" s="372">
        <v>50</v>
      </c>
      <c r="G15" s="373"/>
      <c r="H15" s="374">
        <f>SUM(D15:D18)</f>
        <v>510.33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150</v>
      </c>
      <c r="E16" s="98">
        <v>60</v>
      </c>
      <c r="F16" s="401">
        <v>50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110</v>
      </c>
      <c r="E17" s="98">
        <v>60</v>
      </c>
      <c r="F17" s="401">
        <v>50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120.33</v>
      </c>
      <c r="E18" s="100">
        <v>60</v>
      </c>
      <c r="F18" s="404">
        <v>50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1620.82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1007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7</v>
      </c>
      <c r="D25" s="102">
        <v>80</v>
      </c>
      <c r="E25" s="56">
        <v>7</v>
      </c>
      <c r="F25" s="107">
        <v>56</v>
      </c>
      <c r="G25" s="410"/>
      <c r="H25" s="411"/>
      <c r="I25" s="111"/>
      <c r="J25" s="38">
        <f t="shared" ref="J25:J40" si="0">C25+E25+G25</f>
        <v>14</v>
      </c>
      <c r="K25" s="412">
        <f>D25+F25+I25</f>
        <v>136</v>
      </c>
      <c r="L25" s="413"/>
      <c r="M25" s="2"/>
    </row>
    <row r="26" spans="2:14" ht="14.1" customHeight="1" x14ac:dyDescent="0.2">
      <c r="B26" s="80" t="s">
        <v>281</v>
      </c>
      <c r="C26" s="45">
        <v>5</v>
      </c>
      <c r="D26" s="103">
        <v>106</v>
      </c>
      <c r="E26" s="57">
        <v>5</v>
      </c>
      <c r="F26" s="108">
        <v>116</v>
      </c>
      <c r="G26" s="406"/>
      <c r="H26" s="407"/>
      <c r="I26" s="112">
        <v>176</v>
      </c>
      <c r="J26" s="25">
        <f t="shared" si="0"/>
        <v>10</v>
      </c>
      <c r="K26" s="408">
        <f t="shared" ref="K26:K39" si="1">D26+F26+I26</f>
        <v>398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203</v>
      </c>
      <c r="E27" s="57"/>
      <c r="F27" s="108">
        <v>55</v>
      </c>
      <c r="G27" s="406"/>
      <c r="H27" s="407"/>
      <c r="I27" s="112">
        <v>180</v>
      </c>
      <c r="J27" s="25">
        <f t="shared" si="0"/>
        <v>0</v>
      </c>
      <c r="K27" s="408">
        <f t="shared" si="1"/>
        <v>438</v>
      </c>
      <c r="L27" s="409"/>
      <c r="M27" s="2"/>
    </row>
    <row r="28" spans="2:14" ht="14.1" customHeight="1" x14ac:dyDescent="0.2">
      <c r="B28" s="80" t="s">
        <v>283</v>
      </c>
      <c r="C28" s="45">
        <v>6</v>
      </c>
      <c r="D28" s="103"/>
      <c r="E28" s="57">
        <v>6</v>
      </c>
      <c r="F28" s="108"/>
      <c r="G28" s="406"/>
      <c r="H28" s="407"/>
      <c r="I28" s="112"/>
      <c r="J28" s="25">
        <f t="shared" si="0"/>
        <v>12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1</v>
      </c>
      <c r="D29" s="103"/>
      <c r="E29" s="57">
        <v>3</v>
      </c>
      <c r="F29" s="108"/>
      <c r="G29" s="406"/>
      <c r="H29" s="407"/>
      <c r="I29" s="112"/>
      <c r="J29" s="25">
        <f t="shared" si="0"/>
        <v>4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>
        <v>3</v>
      </c>
      <c r="D30" s="103">
        <v>21.4</v>
      </c>
      <c r="E30" s="57">
        <v>1</v>
      </c>
      <c r="F30" s="108">
        <v>33.5</v>
      </c>
      <c r="G30" s="406"/>
      <c r="H30" s="407"/>
      <c r="I30" s="112"/>
      <c r="J30" s="25">
        <f t="shared" si="0"/>
        <v>4</v>
      </c>
      <c r="K30" s="408">
        <f t="shared" si="1"/>
        <v>54.9</v>
      </c>
      <c r="L30" s="409"/>
    </row>
    <row r="31" spans="2:14" ht="14.1" customHeight="1" x14ac:dyDescent="0.2">
      <c r="B31" s="80" t="s">
        <v>286</v>
      </c>
      <c r="C31" s="45">
        <v>3</v>
      </c>
      <c r="D31" s="103"/>
      <c r="E31" s="57">
        <v>2</v>
      </c>
      <c r="F31" s="108"/>
      <c r="G31" s="406">
        <v>3</v>
      </c>
      <c r="H31" s="407"/>
      <c r="I31" s="112"/>
      <c r="J31" s="25">
        <f t="shared" si="0"/>
        <v>8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1</v>
      </c>
      <c r="F32" s="108"/>
      <c r="G32" s="406">
        <v>1</v>
      </c>
      <c r="H32" s="407"/>
      <c r="I32" s="112"/>
      <c r="J32" s="25">
        <f t="shared" si="0"/>
        <v>3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/>
      <c r="G33" s="406"/>
      <c r="H33" s="407"/>
      <c r="I33" s="112"/>
      <c r="J33" s="25">
        <f t="shared" si="0"/>
        <v>0</v>
      </c>
      <c r="K33" s="408">
        <f t="shared" si="1"/>
        <v>0</v>
      </c>
      <c r="L33" s="409"/>
    </row>
    <row r="34" spans="1:16" ht="14.1" customHeight="1" x14ac:dyDescent="0.2">
      <c r="B34" s="80" t="s">
        <v>289</v>
      </c>
      <c r="C34" s="45"/>
      <c r="D34" s="103"/>
      <c r="E34" s="57"/>
      <c r="F34" s="108"/>
      <c r="G34" s="406">
        <v>1</v>
      </c>
      <c r="H34" s="407"/>
      <c r="I34" s="112"/>
      <c r="J34" s="25">
        <f t="shared" si="0"/>
        <v>1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>
        <v>28</v>
      </c>
      <c r="E36" s="58"/>
      <c r="F36" s="109">
        <v>4</v>
      </c>
      <c r="G36" s="406"/>
      <c r="H36" s="407"/>
      <c r="I36" s="113"/>
      <c r="J36" s="25">
        <f t="shared" si="0"/>
        <v>0</v>
      </c>
      <c r="K36" s="408">
        <f t="shared" si="1"/>
        <v>32</v>
      </c>
      <c r="L36" s="409"/>
    </row>
    <row r="37" spans="1:16" ht="14.1" customHeight="1" x14ac:dyDescent="0.2">
      <c r="B37" s="37" t="s">
        <v>292</v>
      </c>
      <c r="C37" s="55"/>
      <c r="D37" s="104"/>
      <c r="E37" s="58"/>
      <c r="F37" s="109"/>
      <c r="G37" s="406"/>
      <c r="H37" s="407"/>
      <c r="I37" s="113"/>
      <c r="J37" s="25">
        <f t="shared" si="0"/>
        <v>0</v>
      </c>
      <c r="K37" s="408">
        <f t="shared" si="1"/>
        <v>0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v>90</v>
      </c>
      <c r="J38" s="25">
        <f t="shared" si="0"/>
        <v>0</v>
      </c>
      <c r="K38" s="408">
        <f t="shared" si="1"/>
        <v>90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180</v>
      </c>
      <c r="J39" s="25">
        <f t="shared" si="0"/>
        <v>0</v>
      </c>
      <c r="K39" s="408">
        <f t="shared" si="1"/>
        <v>180</v>
      </c>
      <c r="L39" s="409"/>
    </row>
    <row r="40" spans="1:16" ht="14.1" customHeight="1" thickBot="1" x14ac:dyDescent="0.25">
      <c r="B40" s="81" t="s">
        <v>295</v>
      </c>
      <c r="C40" s="47"/>
      <c r="D40" s="105">
        <v>75.599999999999994</v>
      </c>
      <c r="E40" s="59"/>
      <c r="F40" s="110">
        <v>127.44</v>
      </c>
      <c r="G40" s="473"/>
      <c r="H40" s="474"/>
      <c r="I40" s="114">
        <v>87.48</v>
      </c>
      <c r="J40" s="26">
        <f t="shared" si="0"/>
        <v>0</v>
      </c>
      <c r="K40" s="475">
        <f>D40+F40+I40</f>
        <v>290.52</v>
      </c>
      <c r="L40" s="476"/>
    </row>
    <row r="41" spans="1:16" ht="17.25" customHeight="1" x14ac:dyDescent="0.2">
      <c r="B41" s="15" t="s">
        <v>273</v>
      </c>
      <c r="C41" s="16">
        <f>SUM(C25:C40)</f>
        <v>26</v>
      </c>
      <c r="D41" s="106">
        <f>SUM(D25:D40)</f>
        <v>514</v>
      </c>
      <c r="E41" s="16">
        <f>SUM(E25:E40)</f>
        <v>25</v>
      </c>
      <c r="F41" s="106">
        <f>SUM(F25:F40)</f>
        <v>391.94</v>
      </c>
      <c r="G41" s="430">
        <f>SUM(G25:H40)</f>
        <v>5</v>
      </c>
      <c r="H41" s="430"/>
      <c r="I41" s="106">
        <f>SUM(I25:I40)</f>
        <v>713.48</v>
      </c>
      <c r="J41" s="16">
        <f>SUM(J25:J40)</f>
        <v>56</v>
      </c>
      <c r="K41" s="477">
        <f>SUM(K25:L40)</f>
        <v>1619.42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/>
      <c r="D45" s="210"/>
      <c r="E45" s="209"/>
      <c r="F45" s="210"/>
      <c r="G45" s="471"/>
      <c r="H45" s="472"/>
      <c r="I45" s="210"/>
      <c r="J45" s="210">
        <v>0.3</v>
      </c>
      <c r="K45" s="209">
        <v>0.1</v>
      </c>
      <c r="L45" s="210"/>
      <c r="M45" s="211"/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15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/>
      <c r="D48" s="209"/>
      <c r="E48" s="209"/>
      <c r="F48" s="209">
        <v>0.5</v>
      </c>
      <c r="G48" s="442">
        <v>0.3</v>
      </c>
      <c r="H48" s="443"/>
      <c r="I48" s="209">
        <v>0.7</v>
      </c>
      <c r="J48" s="209"/>
      <c r="K48" s="209">
        <v>0.1</v>
      </c>
      <c r="L48" s="209">
        <v>0.9</v>
      </c>
      <c r="M48" s="211">
        <v>0.2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80</v>
      </c>
      <c r="G49" s="438">
        <f>G48*100</f>
        <v>30</v>
      </c>
      <c r="H49" s="439"/>
      <c r="I49" s="40">
        <f>I48*100</f>
        <v>70</v>
      </c>
      <c r="J49" s="40">
        <f>J48*150</f>
        <v>0</v>
      </c>
      <c r="K49" s="40">
        <f>K48*70</f>
        <v>7</v>
      </c>
      <c r="L49" s="40">
        <f>L48*70</f>
        <v>63</v>
      </c>
      <c r="M49" s="79">
        <f>M48*70</f>
        <v>14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0.2</v>
      </c>
      <c r="D51" s="213">
        <v>0</v>
      </c>
      <c r="E51" s="214">
        <v>0</v>
      </c>
      <c r="F51" s="209"/>
      <c r="G51" s="442"/>
      <c r="H51" s="443"/>
      <c r="I51" s="209"/>
      <c r="J51" s="209"/>
      <c r="K51" s="209"/>
      <c r="L51" s="209">
        <v>0.05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14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12.5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310.5</v>
      </c>
      <c r="F54" s="39" t="s">
        <v>309</v>
      </c>
      <c r="G54" s="188"/>
      <c r="H54" s="188"/>
      <c r="I54" s="30">
        <f>'18'!D54</f>
        <v>252.5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>
        <v>174500</v>
      </c>
      <c r="D58" s="60">
        <v>18400</v>
      </c>
      <c r="E58" s="124">
        <f>SUM(C58:D58)</f>
        <v>192900</v>
      </c>
      <c r="F58" s="425"/>
      <c r="G58" s="426"/>
      <c r="H58" s="60">
        <v>3943</v>
      </c>
      <c r="I58" s="61">
        <v>2370</v>
      </c>
      <c r="J58" s="422"/>
      <c r="K58" s="428"/>
      <c r="L58" s="60">
        <v>6937.11</v>
      </c>
      <c r="M58" s="61">
        <f>L58/3</f>
        <v>2312.37</v>
      </c>
      <c r="N58" s="288">
        <v>4.28</v>
      </c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119.01383250453475</v>
      </c>
      <c r="D59" s="432"/>
      <c r="E59" s="433"/>
      <c r="F59" s="434" t="s">
        <v>321</v>
      </c>
      <c r="G59" s="435"/>
      <c r="H59" s="436">
        <f>IF(ISERROR(SUM(H58:I58)/$H$19),"",(SUM(H58:I58)/$H$19))</f>
        <v>3.8949420663614713</v>
      </c>
      <c r="I59" s="437"/>
      <c r="J59" s="434" t="s">
        <v>322</v>
      </c>
      <c r="K59" s="435"/>
      <c r="L59" s="115">
        <f>IF(ISERROR(L58/$H$19),"",(L58/$H$19))</f>
        <v>4.2800002467886626</v>
      </c>
      <c r="M59" s="116">
        <f>IF(ISERROR(M58/$H$19),"",(M58/$H$19))</f>
        <v>1.4266667489295541</v>
      </c>
      <c r="N59" s="194">
        <f>N58*H19</f>
        <v>6937.1095999999998</v>
      </c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1.2743055555555554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6</v>
      </c>
      <c r="C63" s="236" t="s">
        <v>22</v>
      </c>
      <c r="D63" s="236" t="s">
        <v>11</v>
      </c>
      <c r="E63" s="322"/>
      <c r="F63" s="324"/>
      <c r="G63" s="322" t="s">
        <v>1008</v>
      </c>
      <c r="H63" s="323"/>
      <c r="I63" s="323"/>
      <c r="J63" s="324"/>
      <c r="K63" s="238">
        <v>0.4375</v>
      </c>
      <c r="L63" s="238">
        <v>0.47222222222222227</v>
      </c>
      <c r="M63" s="236" t="s">
        <v>9</v>
      </c>
      <c r="N63" s="237">
        <f t="shared" ref="N63:N126" si="2">IF(M63="No","",IF(M63="Yes",(L63-K63+(L63&lt;K63)),""))</f>
        <v>3.4722222222222265E-2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26</v>
      </c>
      <c r="E64" s="322"/>
      <c r="F64" s="324"/>
      <c r="G64" s="322" t="s">
        <v>525</v>
      </c>
      <c r="H64" s="323"/>
      <c r="I64" s="323"/>
      <c r="J64" s="324"/>
      <c r="K64" s="238">
        <v>0.19791666666666666</v>
      </c>
      <c r="L64" s="238">
        <v>0.3263888888888889</v>
      </c>
      <c r="M64" s="236" t="s">
        <v>9</v>
      </c>
      <c r="N64" s="237">
        <f t="shared" si="2"/>
        <v>0.12847222222222224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322"/>
      <c r="F65" s="324"/>
      <c r="G65" s="322" t="s">
        <v>525</v>
      </c>
      <c r="H65" s="323"/>
      <c r="I65" s="323"/>
      <c r="J65" s="324"/>
      <c r="K65" s="239">
        <v>0.47916666666666669</v>
      </c>
      <c r="L65" s="239">
        <v>0.52083333333333337</v>
      </c>
      <c r="M65" s="236" t="s">
        <v>9</v>
      </c>
      <c r="N65" s="237">
        <f t="shared" si="2"/>
        <v>4.1666666666666685E-2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23</v>
      </c>
      <c r="E66" s="322"/>
      <c r="F66" s="324"/>
      <c r="G66" s="322" t="s">
        <v>1009</v>
      </c>
      <c r="H66" s="323"/>
      <c r="I66" s="323"/>
      <c r="J66" s="324"/>
      <c r="K66" s="239">
        <v>0.36805555555555558</v>
      </c>
      <c r="L66" s="239">
        <v>0.43055555555555558</v>
      </c>
      <c r="M66" s="236" t="s">
        <v>9</v>
      </c>
      <c r="N66" s="237">
        <f t="shared" si="2"/>
        <v>6.25E-2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322"/>
      <c r="F67" s="324"/>
      <c r="G67" s="322" t="s">
        <v>335</v>
      </c>
      <c r="H67" s="323"/>
      <c r="I67" s="323"/>
      <c r="J67" s="324"/>
      <c r="K67" s="238">
        <v>0.47222222222222227</v>
      </c>
      <c r="L67" s="238">
        <v>0.50694444444444442</v>
      </c>
      <c r="M67" s="236" t="s">
        <v>9</v>
      </c>
      <c r="N67" s="237">
        <f t="shared" si="2"/>
        <v>3.4722222222222154E-2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18</v>
      </c>
      <c r="E68" s="322" t="s">
        <v>91</v>
      </c>
      <c r="F68" s="324" t="s">
        <v>91</v>
      </c>
      <c r="G68" s="322" t="s">
        <v>1010</v>
      </c>
      <c r="H68" s="323"/>
      <c r="I68" s="323"/>
      <c r="J68" s="324"/>
      <c r="K68" s="239">
        <v>0.43055555555555558</v>
      </c>
      <c r="L68" s="239">
        <v>0.5625</v>
      </c>
      <c r="M68" s="236" t="s">
        <v>9</v>
      </c>
      <c r="N68" s="237">
        <f t="shared" si="2"/>
        <v>0.13194444444444442</v>
      </c>
      <c r="O68" s="134"/>
      <c r="P68" s="12"/>
      <c r="Q68" s="12"/>
      <c r="R68" s="12"/>
    </row>
    <row r="69" spans="1:18" ht="20.100000000000001" customHeight="1" x14ac:dyDescent="0.2">
      <c r="A69" s="12"/>
      <c r="B69" s="236" t="s">
        <v>10</v>
      </c>
      <c r="C69" s="236" t="s">
        <v>25</v>
      </c>
      <c r="D69" s="236" t="s">
        <v>26</v>
      </c>
      <c r="E69" s="322"/>
      <c r="F69" s="324"/>
      <c r="G69" s="322" t="s">
        <v>569</v>
      </c>
      <c r="H69" s="323"/>
      <c r="I69" s="323"/>
      <c r="J69" s="324"/>
      <c r="K69" s="239">
        <v>0.64583333333333337</v>
      </c>
      <c r="L69" s="239">
        <v>0.72916666666666663</v>
      </c>
      <c r="M69" s="236" t="s">
        <v>9</v>
      </c>
      <c r="N69" s="237">
        <f t="shared" si="2"/>
        <v>8.3333333333333259E-2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23</v>
      </c>
      <c r="E70" s="322"/>
      <c r="F70" s="324"/>
      <c r="H70" t="s">
        <v>1011</v>
      </c>
      <c r="K70" s="239">
        <v>0.92361111111111116</v>
      </c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322"/>
      <c r="F71" s="324"/>
      <c r="G71" s="322"/>
      <c r="H71" s="323"/>
      <c r="I71" s="323"/>
      <c r="J71" s="324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 t="s">
        <v>17</v>
      </c>
      <c r="C72" s="236" t="s">
        <v>28</v>
      </c>
      <c r="D72" s="236" t="s">
        <v>20</v>
      </c>
      <c r="E72" s="322"/>
      <c r="F72" s="324"/>
      <c r="G72" s="322" t="s">
        <v>1012</v>
      </c>
      <c r="H72" s="323"/>
      <c r="I72" s="323"/>
      <c r="J72" s="324"/>
      <c r="K72" s="239">
        <v>0.92361111111111116</v>
      </c>
      <c r="L72" s="239">
        <v>0.98611111111111116</v>
      </c>
      <c r="M72" s="236" t="s">
        <v>13</v>
      </c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23</v>
      </c>
      <c r="E73" s="322"/>
      <c r="F73" s="324"/>
      <c r="G73" s="322" t="s">
        <v>1013</v>
      </c>
      <c r="H73" s="323"/>
      <c r="I73" s="323"/>
      <c r="J73" s="324"/>
      <c r="K73" s="239">
        <v>4.1666666666666664E-2</v>
      </c>
      <c r="L73" s="239">
        <v>6.9444444444444434E-2</v>
      </c>
      <c r="M73" s="236" t="s">
        <v>9</v>
      </c>
      <c r="N73" s="237">
        <f t="shared" si="2"/>
        <v>2.7777777777777769E-2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26</v>
      </c>
      <c r="E74" s="322"/>
      <c r="F74" s="324"/>
      <c r="G74" s="322" t="s">
        <v>1014</v>
      </c>
      <c r="H74" s="323"/>
      <c r="I74" s="323"/>
      <c r="J74" s="324"/>
      <c r="K74" s="238">
        <v>0.27083333333333331</v>
      </c>
      <c r="L74" s="238"/>
      <c r="M74" s="236" t="s">
        <v>9</v>
      </c>
      <c r="N74" s="237">
        <f t="shared" si="2"/>
        <v>0.72916666666666674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11</v>
      </c>
      <c r="E75" s="322"/>
      <c r="F75" s="324"/>
      <c r="G75" s="322" t="s">
        <v>1015</v>
      </c>
      <c r="H75" s="323"/>
      <c r="I75" s="323"/>
      <c r="J75" s="324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322"/>
      <c r="F76" s="324"/>
      <c r="G76" s="322" t="s">
        <v>1016</v>
      </c>
      <c r="H76" s="323"/>
      <c r="I76" s="323"/>
      <c r="J76" s="324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322"/>
      <c r="F77" s="324"/>
      <c r="G77" s="322"/>
      <c r="H77" s="323"/>
      <c r="I77" s="323"/>
      <c r="J77" s="324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/>
      <c r="H78" s="323"/>
      <c r="I78" s="323"/>
      <c r="J78" s="324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322"/>
      <c r="F79" s="324"/>
      <c r="G79" s="322"/>
      <c r="H79" s="323"/>
      <c r="I79" s="323"/>
      <c r="J79" s="324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322"/>
      <c r="F80" s="324"/>
      <c r="G80" s="322"/>
      <c r="H80" s="323"/>
      <c r="I80" s="323"/>
      <c r="J80" s="324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322"/>
      <c r="F81" s="324"/>
      <c r="G81" s="322"/>
      <c r="H81" s="323"/>
      <c r="I81" s="323"/>
      <c r="J81" s="324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322"/>
      <c r="F83" s="324"/>
      <c r="G83" s="322"/>
      <c r="H83" s="323"/>
      <c r="I83" s="323"/>
      <c r="J83" s="324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 t="s">
        <v>393</v>
      </c>
      <c r="D136" s="481"/>
      <c r="E136" s="463"/>
      <c r="F136" s="464"/>
      <c r="G136" s="452"/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395</v>
      </c>
      <c r="D137" s="479"/>
      <c r="E137" s="463" t="s">
        <v>607</v>
      </c>
      <c r="F137" s="464"/>
      <c r="G137" s="452" t="s">
        <v>438</v>
      </c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35"/>
      <c r="E143" s="335"/>
      <c r="F143" s="335"/>
      <c r="G143" s="336"/>
      <c r="H143" s="336"/>
      <c r="I143" s="336"/>
      <c r="J143" s="336"/>
      <c r="K143" s="336"/>
      <c r="L143" s="335"/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 t="s">
        <v>255</v>
      </c>
      <c r="C144" s="215">
        <v>14</v>
      </c>
      <c r="D144" s="335" t="s">
        <v>1017</v>
      </c>
      <c r="E144" s="335"/>
      <c r="F144" s="335"/>
      <c r="G144" s="336" t="s">
        <v>985</v>
      </c>
      <c r="H144" s="336"/>
      <c r="I144" s="336"/>
      <c r="J144" s="336">
        <v>31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18</v>
      </c>
      <c r="D145" s="335" t="s">
        <v>1018</v>
      </c>
      <c r="E145" s="335"/>
      <c r="F145" s="335"/>
      <c r="G145" s="336" t="s">
        <v>357</v>
      </c>
      <c r="H145" s="336"/>
      <c r="I145" s="336"/>
      <c r="J145" s="336">
        <v>22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13</v>
      </c>
      <c r="D146" s="335" t="s">
        <v>1019</v>
      </c>
      <c r="E146" s="335"/>
      <c r="F146" s="335"/>
      <c r="G146" s="336" t="s">
        <v>359</v>
      </c>
      <c r="H146" s="336"/>
      <c r="I146" s="336"/>
      <c r="J146" s="336">
        <v>39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19</v>
      </c>
      <c r="D147" s="335" t="s">
        <v>1020</v>
      </c>
      <c r="E147" s="335"/>
      <c r="F147" s="335"/>
      <c r="G147" s="336" t="s">
        <v>361</v>
      </c>
      <c r="H147" s="336"/>
      <c r="I147" s="336"/>
      <c r="J147" s="336">
        <v>15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8</v>
      </c>
      <c r="D148" s="335" t="s">
        <v>1021</v>
      </c>
      <c r="E148" s="335"/>
      <c r="F148" s="335"/>
      <c r="G148" s="336" t="s">
        <v>753</v>
      </c>
      <c r="H148" s="336"/>
      <c r="I148" s="336"/>
      <c r="J148" s="336">
        <v>121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12</v>
      </c>
      <c r="D149" s="335" t="s">
        <v>1022</v>
      </c>
      <c r="E149" s="335"/>
      <c r="F149" s="335"/>
      <c r="G149" s="336" t="s">
        <v>372</v>
      </c>
      <c r="H149" s="336"/>
      <c r="I149" s="336"/>
      <c r="J149" s="336">
        <v>50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 t="s">
        <v>378</v>
      </c>
      <c r="D150" s="335" t="s">
        <v>1023</v>
      </c>
      <c r="E150" s="335"/>
      <c r="F150" s="335"/>
      <c r="G150" s="336" t="s">
        <v>367</v>
      </c>
      <c r="H150" s="336"/>
      <c r="I150" s="336"/>
      <c r="J150" s="336">
        <v>32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 t="s">
        <v>376</v>
      </c>
      <c r="D151" s="335" t="s">
        <v>1021</v>
      </c>
      <c r="E151" s="335"/>
      <c r="F151" s="335"/>
      <c r="G151" s="336" t="s">
        <v>357</v>
      </c>
      <c r="H151" s="336"/>
      <c r="I151" s="336"/>
      <c r="J151" s="336">
        <v>50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 t="s">
        <v>378</v>
      </c>
      <c r="D152" s="335" t="s">
        <v>1000</v>
      </c>
      <c r="E152" s="335"/>
      <c r="F152" s="335"/>
      <c r="G152" s="336" t="s">
        <v>502</v>
      </c>
      <c r="H152" s="336"/>
      <c r="I152" s="336"/>
      <c r="J152" s="336">
        <v>93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13</v>
      </c>
      <c r="D153" s="335" t="s">
        <v>992</v>
      </c>
      <c r="E153" s="335"/>
      <c r="F153" s="335"/>
      <c r="G153" s="336" t="s">
        <v>359</v>
      </c>
      <c r="H153" s="336"/>
      <c r="I153" s="336"/>
      <c r="J153" s="336">
        <v>36</v>
      </c>
      <c r="K153" s="336"/>
      <c r="L153" s="335" t="s">
        <v>355</v>
      </c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35"/>
      <c r="E154" s="335"/>
      <c r="F154" s="335"/>
      <c r="G154" s="336"/>
      <c r="H154" s="336"/>
      <c r="I154" s="336"/>
      <c r="J154" s="336"/>
      <c r="K154" s="336"/>
      <c r="L154" s="335"/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 t="s">
        <v>261</v>
      </c>
      <c r="C155" s="215">
        <v>12</v>
      </c>
      <c r="D155" s="335" t="s">
        <v>1024</v>
      </c>
      <c r="E155" s="335"/>
      <c r="F155" s="335"/>
      <c r="G155" s="336" t="s">
        <v>372</v>
      </c>
      <c r="H155" s="336"/>
      <c r="I155" s="336"/>
      <c r="J155" s="336">
        <v>58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 t="s">
        <v>378</v>
      </c>
      <c r="D156" s="335" t="s">
        <v>1025</v>
      </c>
      <c r="E156" s="335"/>
      <c r="F156" s="335"/>
      <c r="G156" s="336" t="s">
        <v>753</v>
      </c>
      <c r="H156" s="336"/>
      <c r="I156" s="336"/>
      <c r="J156" s="336">
        <v>33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14</v>
      </c>
      <c r="D157" s="335" t="s">
        <v>1026</v>
      </c>
      <c r="E157" s="335"/>
      <c r="F157" s="335"/>
      <c r="G157" s="336" t="s">
        <v>991</v>
      </c>
      <c r="H157" s="336"/>
      <c r="I157" s="336"/>
      <c r="J157" s="336">
        <v>19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18</v>
      </c>
      <c r="D158" s="335" t="s">
        <v>1027</v>
      </c>
      <c r="E158" s="335"/>
      <c r="F158" s="335"/>
      <c r="G158" s="336" t="s">
        <v>626</v>
      </c>
      <c r="H158" s="336"/>
      <c r="I158" s="336"/>
      <c r="J158" s="336">
        <v>23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13</v>
      </c>
      <c r="D159" s="335" t="s">
        <v>1028</v>
      </c>
      <c r="E159" s="335"/>
      <c r="F159" s="335"/>
      <c r="G159" s="336" t="s">
        <v>632</v>
      </c>
      <c r="H159" s="336"/>
      <c r="I159" s="336"/>
      <c r="J159" s="336">
        <v>42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19</v>
      </c>
      <c r="D160" s="335" t="s">
        <v>1029</v>
      </c>
      <c r="E160" s="335"/>
      <c r="F160" s="335"/>
      <c r="G160" s="336" t="s">
        <v>361</v>
      </c>
      <c r="H160" s="336"/>
      <c r="I160" s="336"/>
      <c r="J160" s="336">
        <v>17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11</v>
      </c>
      <c r="D161" s="335" t="s">
        <v>1025</v>
      </c>
      <c r="E161" s="335"/>
      <c r="F161" s="335"/>
      <c r="G161" s="336" t="s">
        <v>403</v>
      </c>
      <c r="H161" s="336"/>
      <c r="I161" s="336"/>
      <c r="J161" s="336">
        <v>442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12</v>
      </c>
      <c r="D162" s="335" t="s">
        <v>1024</v>
      </c>
      <c r="E162" s="335"/>
      <c r="F162" s="335"/>
      <c r="G162" s="336" t="s">
        <v>372</v>
      </c>
      <c r="H162" s="336"/>
      <c r="I162" s="336"/>
      <c r="J162" s="336">
        <v>59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35"/>
      <c r="E163" s="335"/>
      <c r="F163" s="335"/>
      <c r="G163" s="336"/>
      <c r="H163" s="336"/>
      <c r="I163" s="336"/>
      <c r="J163" s="336"/>
      <c r="K163" s="336"/>
      <c r="L163" s="335"/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 t="s">
        <v>267</v>
      </c>
      <c r="C164" s="215">
        <v>3</v>
      </c>
      <c r="D164" s="335" t="s">
        <v>1030</v>
      </c>
      <c r="E164" s="335"/>
      <c r="F164" s="335"/>
      <c r="G164" s="336" t="s">
        <v>357</v>
      </c>
      <c r="H164" s="336"/>
      <c r="I164" s="336"/>
      <c r="J164" s="336">
        <v>50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9</v>
      </c>
      <c r="D165" s="335" t="s">
        <v>929</v>
      </c>
      <c r="E165" s="335"/>
      <c r="F165" s="335"/>
      <c r="G165" s="336" t="s">
        <v>367</v>
      </c>
      <c r="H165" s="336"/>
      <c r="I165" s="336"/>
      <c r="J165" s="336">
        <v>33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19</v>
      </c>
      <c r="D166" s="335" t="s">
        <v>1031</v>
      </c>
      <c r="E166" s="335"/>
      <c r="F166" s="335"/>
      <c r="G166" s="336" t="s">
        <v>502</v>
      </c>
      <c r="H166" s="336"/>
      <c r="I166" s="336"/>
      <c r="J166" s="336">
        <v>20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>
        <v>12</v>
      </c>
      <c r="D167" s="335" t="s">
        <v>1032</v>
      </c>
      <c r="E167" s="335"/>
      <c r="F167" s="335"/>
      <c r="G167" s="336" t="s">
        <v>372</v>
      </c>
      <c r="H167" s="336"/>
      <c r="I167" s="336"/>
      <c r="J167" s="336" t="s">
        <v>1033</v>
      </c>
      <c r="K167" s="336"/>
      <c r="L167" s="335" t="s">
        <v>355</v>
      </c>
      <c r="M167" s="335"/>
    </row>
    <row r="168" spans="1:18" ht="14.25" x14ac:dyDescent="0.2">
      <c r="B168" s="216"/>
      <c r="C168" s="215">
        <v>13</v>
      </c>
      <c r="D168" s="335" t="s">
        <v>1034</v>
      </c>
      <c r="E168" s="335"/>
      <c r="F168" s="335"/>
      <c r="G168" s="336" t="s">
        <v>359</v>
      </c>
      <c r="H168" s="336"/>
      <c r="I168" s="336"/>
      <c r="J168" s="336">
        <v>48</v>
      </c>
      <c r="K168" s="336"/>
      <c r="L168" s="335" t="s">
        <v>355</v>
      </c>
      <c r="M168" s="335"/>
    </row>
    <row r="169" spans="1:18" ht="14.25" x14ac:dyDescent="0.2">
      <c r="B169" s="216"/>
      <c r="C169" s="215">
        <v>18</v>
      </c>
      <c r="D169" s="335" t="s">
        <v>1035</v>
      </c>
      <c r="E169" s="335"/>
      <c r="F169" s="335"/>
      <c r="G169" s="336" t="s">
        <v>359</v>
      </c>
      <c r="H169" s="336"/>
      <c r="I169" s="336"/>
      <c r="J169" s="336">
        <v>23</v>
      </c>
      <c r="K169" s="336"/>
      <c r="L169" s="335" t="s">
        <v>355</v>
      </c>
      <c r="M169" s="335"/>
    </row>
    <row r="170" spans="1:18" ht="14.25" x14ac:dyDescent="0.2">
      <c r="B170" s="216"/>
      <c r="C170" s="215">
        <v>12</v>
      </c>
      <c r="D170" s="335" t="s">
        <v>1032</v>
      </c>
      <c r="E170" s="335"/>
      <c r="F170" s="335"/>
      <c r="G170" s="336" t="s">
        <v>372</v>
      </c>
      <c r="H170" s="336"/>
      <c r="I170" s="336"/>
      <c r="J170" s="336" t="s">
        <v>1036</v>
      </c>
      <c r="K170" s="336"/>
      <c r="L170" s="335" t="s">
        <v>355</v>
      </c>
      <c r="M170" s="335"/>
    </row>
    <row r="171" spans="1:18" ht="14.25" x14ac:dyDescent="0.2">
      <c r="B171" s="216"/>
      <c r="C171" s="215"/>
      <c r="D171" s="337"/>
      <c r="E171" s="338"/>
      <c r="F171" s="339"/>
      <c r="G171" s="336"/>
      <c r="H171" s="336"/>
      <c r="I171" s="336"/>
      <c r="J171" s="336"/>
      <c r="K171" s="336"/>
      <c r="L171" s="335"/>
      <c r="M171" s="335"/>
    </row>
    <row r="172" spans="1:18" ht="14.25" x14ac:dyDescent="0.2">
      <c r="B172" s="216"/>
      <c r="C172" s="215"/>
      <c r="D172" s="335"/>
      <c r="E172" s="335"/>
      <c r="F172" s="335"/>
      <c r="G172" s="336"/>
      <c r="H172" s="336"/>
      <c r="I172" s="336"/>
      <c r="J172" s="336"/>
      <c r="K172" s="336"/>
      <c r="L172" s="335"/>
      <c r="M172" s="335"/>
    </row>
    <row r="173" spans="1:18" ht="14.25" x14ac:dyDescent="0.2">
      <c r="B173" s="216"/>
      <c r="C173" s="215"/>
      <c r="D173" s="335"/>
      <c r="E173" s="335"/>
      <c r="F173" s="335"/>
      <c r="G173" s="336"/>
      <c r="H173" s="336"/>
      <c r="I173" s="336"/>
      <c r="J173" s="336"/>
      <c r="K173" s="336"/>
      <c r="L173" s="335"/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E0423ECE-163E-4346-8AE2-66AAF5EA488A}">
      <formula1>INDIRECT(D63)</formula1>
    </dataValidation>
  </dataValidations>
  <hyperlinks>
    <hyperlink ref="J14:L15" location="Summary!A1" display="MTD Summary " xr:uid="{672DABFA-F5DF-4060-90EA-8AC74EE3792D}"/>
    <hyperlink ref="J16:L17" location="Graph!A1" display="MTD Trendings" xr:uid="{DFFEF835-BCFF-4493-8547-53C8BEF43BF2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D49C443-660E-477C-A46B-7351D1656B68}">
          <x14:formula1>
            <xm:f>Sheet3!$B$3:$B$5</xm:f>
          </x14:formula1>
          <xm:sqref>B143:B165 B132</xm:sqref>
        </x14:dataValidation>
        <x14:dataValidation type="list" allowBlank="1" showInputMessage="1" xr:uid="{4B3894FA-E6DD-4281-B3F9-E8D0DB7B241C}">
          <x14:formula1>
            <xm:f>Sheet3!$D$3:$D$11</xm:f>
          </x14:formula1>
          <xm:sqref>C132</xm:sqref>
        </x14:dataValidation>
        <x14:dataValidation type="list" allowBlank="1" showInputMessage="1" showErrorMessage="1" xr:uid="{1A43760B-B61F-401B-B43D-88E33FE5EAB0}">
          <x14:formula1>
            <xm:f>Sheet3!$C$3:$C$4</xm:f>
          </x14:formula1>
          <xm:sqref>M63:M132</xm:sqref>
        </x14:dataValidation>
        <x14:dataValidation type="list" allowBlank="1" showInputMessage="1" showErrorMessage="1" xr:uid="{C439D5EB-7406-47C4-908E-D5F129912E5D}">
          <x14:formula1>
            <xm:f>List!$B$5:$B$8</xm:f>
          </x14:formula1>
          <xm:sqref>B63:B131</xm:sqref>
        </x14:dataValidation>
        <x14:dataValidation type="list" allowBlank="1" showInputMessage="1" showErrorMessage="1" xr:uid="{69F5BDCB-B623-4107-8498-8E36D6DFC8E7}">
          <x14:formula1>
            <xm:f>List!$B$10:$B$12</xm:f>
          </x14:formula1>
          <xm:sqref>C63:C131</xm:sqref>
        </x14:dataValidation>
        <x14:dataValidation type="list" allowBlank="1" showInputMessage="1" showErrorMessage="1" xr:uid="{28ADE7D2-9450-412B-870C-F6C03E0C4D26}">
          <x14:formula1>
            <xm:f>List!$C$5:$C$14</xm:f>
          </x14:formula1>
          <xm:sqref>D63:D131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233F-F0CD-4DEE-996B-D7151777FC18}">
  <sheetPr>
    <pageSetUpPr fitToPage="1"/>
  </sheetPr>
  <dimension ref="A1:R188"/>
  <sheetViews>
    <sheetView showGridLines="0" view="pageBreakPreview" topLeftCell="A10" zoomScale="80" zoomScaleNormal="90" zoomScaleSheetLayoutView="80" zoomScalePageLayoutView="80" workbookViewId="0">
      <selection activeCell="J19" sqref="J19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20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1630.6</v>
      </c>
      <c r="K6" s="420"/>
      <c r="L6" s="420">
        <f ca="1">Summary!G27</f>
        <v>1410.1999999999998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90</v>
      </c>
      <c r="E7" s="84">
        <v>60</v>
      </c>
      <c r="F7" s="395">
        <v>30</v>
      </c>
      <c r="G7" s="396"/>
      <c r="H7" s="374">
        <f>SUM(D7:D10)</f>
        <v>500.27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120</v>
      </c>
      <c r="E8" s="86">
        <v>70</v>
      </c>
      <c r="F8" s="397">
        <v>40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140</v>
      </c>
      <c r="E9" s="86">
        <v>70</v>
      </c>
      <c r="F9" s="397">
        <v>40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150.27000000000001</v>
      </c>
      <c r="E10" s="88">
        <v>70</v>
      </c>
      <c r="F10" s="399">
        <v>40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140</v>
      </c>
      <c r="E11" s="90">
        <v>70</v>
      </c>
      <c r="F11" s="386">
        <v>40</v>
      </c>
      <c r="G11" s="387"/>
      <c r="H11" s="388">
        <f>SUM(D11:D14)</f>
        <v>600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160</v>
      </c>
      <c r="E12" s="92">
        <v>70</v>
      </c>
      <c r="F12" s="391">
        <v>40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150</v>
      </c>
      <c r="E13" s="92">
        <v>70</v>
      </c>
      <c r="F13" s="391">
        <v>40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150</v>
      </c>
      <c r="E14" s="94">
        <v>70</v>
      </c>
      <c r="F14" s="393">
        <v>40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130</v>
      </c>
      <c r="E15" s="96">
        <v>70</v>
      </c>
      <c r="F15" s="372">
        <v>40</v>
      </c>
      <c r="G15" s="373"/>
      <c r="H15" s="374">
        <f>SUM(D15:D18)</f>
        <v>530.33000000000004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140</v>
      </c>
      <c r="E16" s="98">
        <v>70</v>
      </c>
      <c r="F16" s="401">
        <v>40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130</v>
      </c>
      <c r="E17" s="98">
        <v>70</v>
      </c>
      <c r="F17" s="401">
        <v>40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130.33000000000001</v>
      </c>
      <c r="E18" s="100">
        <v>70</v>
      </c>
      <c r="F18" s="404">
        <v>40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1630.6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7</v>
      </c>
      <c r="D25" s="102">
        <v>100</v>
      </c>
      <c r="E25" s="56">
        <v>6</v>
      </c>
      <c r="F25" s="107">
        <v>60</v>
      </c>
      <c r="G25" s="410">
        <v>7</v>
      </c>
      <c r="H25" s="411"/>
      <c r="I25" s="111">
        <v>90</v>
      </c>
      <c r="J25" s="38">
        <f t="shared" ref="J25:J40" si="0">C25+E25+G25</f>
        <v>20</v>
      </c>
      <c r="K25" s="412">
        <f>D25+F25+I25</f>
        <v>250</v>
      </c>
      <c r="L25" s="413"/>
      <c r="M25" s="2"/>
    </row>
    <row r="26" spans="2:14" ht="14.1" customHeight="1" x14ac:dyDescent="0.2">
      <c r="B26" s="80" t="s">
        <v>281</v>
      </c>
      <c r="C26" s="45">
        <v>5</v>
      </c>
      <c r="D26" s="103">
        <v>120</v>
      </c>
      <c r="E26" s="57">
        <v>6</v>
      </c>
      <c r="F26" s="108">
        <v>120</v>
      </c>
      <c r="G26" s="406">
        <v>5</v>
      </c>
      <c r="H26" s="407"/>
      <c r="I26" s="112">
        <v>156</v>
      </c>
      <c r="J26" s="25">
        <f t="shared" si="0"/>
        <v>16</v>
      </c>
      <c r="K26" s="408">
        <f t="shared" ref="K26:K39" si="1">D26+F26+I26</f>
        <v>396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144</v>
      </c>
      <c r="E27" s="57"/>
      <c r="F27" s="108">
        <v>130</v>
      </c>
      <c r="G27" s="406"/>
      <c r="H27" s="407"/>
      <c r="I27" s="112">
        <v>168</v>
      </c>
      <c r="J27" s="25">
        <f t="shared" si="0"/>
        <v>0</v>
      </c>
      <c r="K27" s="408">
        <f t="shared" si="1"/>
        <v>442</v>
      </c>
      <c r="L27" s="409"/>
      <c r="M27" s="2"/>
    </row>
    <row r="28" spans="2:14" ht="14.1" customHeight="1" x14ac:dyDescent="0.2">
      <c r="B28" s="80" t="s">
        <v>283</v>
      </c>
      <c r="C28" s="45">
        <v>6</v>
      </c>
      <c r="D28" s="103"/>
      <c r="E28" s="57">
        <v>4</v>
      </c>
      <c r="F28" s="108"/>
      <c r="G28" s="406">
        <v>6</v>
      </c>
      <c r="H28" s="407"/>
      <c r="I28" s="112"/>
      <c r="J28" s="25">
        <f t="shared" si="0"/>
        <v>16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0</v>
      </c>
      <c r="D29" s="103"/>
      <c r="E29" s="57">
        <v>4</v>
      </c>
      <c r="F29" s="108"/>
      <c r="G29" s="406">
        <v>3</v>
      </c>
      <c r="H29" s="407"/>
      <c r="I29" s="112"/>
      <c r="J29" s="25">
        <f t="shared" si="0"/>
        <v>7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>
        <v>3</v>
      </c>
      <c r="D30" s="103">
        <v>16.7</v>
      </c>
      <c r="E30" s="57">
        <v>2</v>
      </c>
      <c r="F30" s="108">
        <v>38.9</v>
      </c>
      <c r="G30" s="406"/>
      <c r="H30" s="407"/>
      <c r="I30" s="112"/>
      <c r="J30" s="25">
        <f t="shared" si="0"/>
        <v>5</v>
      </c>
      <c r="K30" s="408">
        <f t="shared" si="1"/>
        <v>55.599999999999994</v>
      </c>
      <c r="L30" s="409"/>
    </row>
    <row r="31" spans="2:14" ht="14.1" customHeight="1" x14ac:dyDescent="0.2">
      <c r="B31" s="80" t="s">
        <v>286</v>
      </c>
      <c r="C31" s="45">
        <v>4</v>
      </c>
      <c r="D31" s="103"/>
      <c r="E31" s="57">
        <v>2</v>
      </c>
      <c r="F31" s="108"/>
      <c r="G31" s="406">
        <v>2</v>
      </c>
      <c r="H31" s="407"/>
      <c r="I31" s="112"/>
      <c r="J31" s="25">
        <f t="shared" si="0"/>
        <v>8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1</v>
      </c>
      <c r="F32" s="108"/>
      <c r="G32" s="406">
        <v>1</v>
      </c>
      <c r="H32" s="407"/>
      <c r="I32" s="112"/>
      <c r="J32" s="25">
        <f t="shared" si="0"/>
        <v>3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/>
      <c r="G33" s="406">
        <v>1</v>
      </c>
      <c r="H33" s="407"/>
      <c r="I33" s="112"/>
      <c r="J33" s="25">
        <f t="shared" si="0"/>
        <v>1</v>
      </c>
      <c r="K33" s="408">
        <f t="shared" si="1"/>
        <v>0</v>
      </c>
      <c r="L33" s="409"/>
    </row>
    <row r="34" spans="1:16" ht="14.1" customHeight="1" x14ac:dyDescent="0.2">
      <c r="B34" s="80" t="s">
        <v>289</v>
      </c>
      <c r="C34" s="45"/>
      <c r="D34" s="103"/>
      <c r="E34" s="57">
        <v>1</v>
      </c>
      <c r="F34" s="108"/>
      <c r="G34" s="406"/>
      <c r="H34" s="407"/>
      <c r="I34" s="112"/>
      <c r="J34" s="25">
        <f t="shared" si="0"/>
        <v>1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>
        <v>18</v>
      </c>
      <c r="E36" s="58"/>
      <c r="F36" s="109"/>
      <c r="G36" s="406"/>
      <c r="H36" s="407"/>
      <c r="I36" s="113"/>
      <c r="J36" s="25">
        <f t="shared" si="0"/>
        <v>0</v>
      </c>
      <c r="K36" s="408">
        <f t="shared" si="1"/>
        <v>18</v>
      </c>
      <c r="L36" s="409"/>
    </row>
    <row r="37" spans="1:16" ht="14.1" customHeight="1" x14ac:dyDescent="0.2">
      <c r="B37" s="37" t="s">
        <v>292</v>
      </c>
      <c r="C37" s="55"/>
      <c r="D37" s="104"/>
      <c r="E37" s="58"/>
      <c r="F37" s="109"/>
      <c r="G37" s="406"/>
      <c r="H37" s="407"/>
      <c r="I37" s="113"/>
      <c r="J37" s="25">
        <f t="shared" si="0"/>
        <v>0</v>
      </c>
      <c r="K37" s="408">
        <f t="shared" si="1"/>
        <v>0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v>30</v>
      </c>
      <c r="J38" s="25">
        <f t="shared" si="0"/>
        <v>0</v>
      </c>
      <c r="K38" s="408">
        <f t="shared" si="1"/>
        <v>30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150</v>
      </c>
      <c r="J39" s="25">
        <f t="shared" si="0"/>
        <v>0</v>
      </c>
      <c r="K39" s="408">
        <f t="shared" si="1"/>
        <v>150</v>
      </c>
      <c r="L39" s="409"/>
    </row>
    <row r="40" spans="1:16" ht="14.1" customHeight="1" thickBot="1" x14ac:dyDescent="0.25">
      <c r="B40" s="81" t="s">
        <v>295</v>
      </c>
      <c r="C40" s="47"/>
      <c r="D40" s="105">
        <v>97.2</v>
      </c>
      <c r="E40" s="59"/>
      <c r="F40" s="110">
        <v>59.4</v>
      </c>
      <c r="G40" s="473"/>
      <c r="H40" s="474"/>
      <c r="I40" s="114"/>
      <c r="J40" s="26">
        <f t="shared" si="0"/>
        <v>0</v>
      </c>
      <c r="K40" s="475">
        <f>D40+F40+I40</f>
        <v>156.6</v>
      </c>
      <c r="L40" s="476"/>
    </row>
    <row r="41" spans="1:16" ht="17.25" customHeight="1" x14ac:dyDescent="0.2">
      <c r="B41" s="15" t="s">
        <v>273</v>
      </c>
      <c r="C41" s="16">
        <f>SUM(C25:C40)</f>
        <v>26</v>
      </c>
      <c r="D41" s="106">
        <f>SUM(D25:D40)</f>
        <v>495.9</v>
      </c>
      <c r="E41" s="16">
        <f>SUM(E25:E40)</f>
        <v>26</v>
      </c>
      <c r="F41" s="106">
        <f>SUM(F25:F40)</f>
        <v>408.29999999999995</v>
      </c>
      <c r="G41" s="430">
        <f>SUM(G25:H40)</f>
        <v>25</v>
      </c>
      <c r="H41" s="430"/>
      <c r="I41" s="106">
        <f>SUM(I25:I40)</f>
        <v>594</v>
      </c>
      <c r="J41" s="16">
        <f>SUM(J25:J40)</f>
        <v>77</v>
      </c>
      <c r="K41" s="477">
        <f>SUM(K25:L40)</f>
        <v>1498.1999999999998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/>
      <c r="D45" s="210"/>
      <c r="E45" s="209"/>
      <c r="F45" s="210"/>
      <c r="G45" s="471"/>
      <c r="H45" s="472"/>
      <c r="I45" s="210"/>
      <c r="J45" s="210">
        <v>0.2</v>
      </c>
      <c r="K45" s="209">
        <v>0.3</v>
      </c>
      <c r="L45" s="210"/>
      <c r="M45" s="211"/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10</v>
      </c>
      <c r="K46" s="40">
        <f>K45*50</f>
        <v>15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/>
      <c r="D48" s="209"/>
      <c r="E48" s="209"/>
      <c r="F48" s="209">
        <v>1</v>
      </c>
      <c r="G48" s="442">
        <v>0.1</v>
      </c>
      <c r="H48" s="443"/>
      <c r="I48" s="209">
        <v>0.7</v>
      </c>
      <c r="J48" s="209">
        <v>0</v>
      </c>
      <c r="K48" s="209">
        <v>0</v>
      </c>
      <c r="L48" s="209">
        <v>0.3</v>
      </c>
      <c r="M48" s="211">
        <v>0.1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160</v>
      </c>
      <c r="G49" s="438">
        <f>G48*100</f>
        <v>10</v>
      </c>
      <c r="H49" s="439"/>
      <c r="I49" s="40">
        <f>I48*100</f>
        <v>70</v>
      </c>
      <c r="J49" s="40">
        <f>J48*150</f>
        <v>0</v>
      </c>
      <c r="K49" s="40">
        <f>K48*70</f>
        <v>0</v>
      </c>
      <c r="L49" s="40">
        <f>L48*70</f>
        <v>21</v>
      </c>
      <c r="M49" s="79">
        <f>M48*70</f>
        <v>7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</v>
      </c>
      <c r="D51" s="213">
        <v>0</v>
      </c>
      <c r="E51" s="214">
        <v>0</v>
      </c>
      <c r="F51" s="209"/>
      <c r="G51" s="442"/>
      <c r="H51" s="443"/>
      <c r="I51" s="209">
        <v>0</v>
      </c>
      <c r="J51" s="209">
        <v>0.02</v>
      </c>
      <c r="K51" s="209">
        <v>0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5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298</v>
      </c>
      <c r="F54" s="39" t="s">
        <v>309</v>
      </c>
      <c r="G54" s="188"/>
      <c r="H54" s="188"/>
      <c r="I54" s="30">
        <f>'19'!D54</f>
        <v>310.5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>
        <v>171600</v>
      </c>
      <c r="D58" s="60">
        <v>17550</v>
      </c>
      <c r="E58" s="124">
        <f>SUM(C58:D58)</f>
        <v>189150</v>
      </c>
      <c r="F58" s="425"/>
      <c r="G58" s="426"/>
      <c r="H58" s="60">
        <v>3864</v>
      </c>
      <c r="I58" s="61">
        <v>2891</v>
      </c>
      <c r="J58" s="422"/>
      <c r="K58" s="428"/>
      <c r="L58" s="60">
        <v>6920.99</v>
      </c>
      <c r="M58" s="61">
        <f>L58/3</f>
        <v>2306.9966666666664</v>
      </c>
      <c r="N58" s="288"/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116.00024530847541</v>
      </c>
      <c r="D59" s="432"/>
      <c r="E59" s="433"/>
      <c r="F59" s="434" t="s">
        <v>321</v>
      </c>
      <c r="G59" s="435"/>
      <c r="H59" s="436">
        <f>IF(ISERROR(SUM(H58:I58)/$H$19),"",(SUM(H58:I58)/$H$19))</f>
        <v>4.1426468784496508</v>
      </c>
      <c r="I59" s="437"/>
      <c r="J59" s="434" t="s">
        <v>322</v>
      </c>
      <c r="K59" s="435"/>
      <c r="L59" s="115">
        <f>IF(ISERROR(L58/$H$19),"",(L58/$H$19))</f>
        <v>4.2444437630320131</v>
      </c>
      <c r="M59" s="116">
        <f>IF(ISERROR(M58/$H$19),"",(M58/$H$19))</f>
        <v>1.4148145876773375</v>
      </c>
      <c r="N59" s="288"/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0.59375000000000011</v>
      </c>
      <c r="O62" s="12"/>
      <c r="P62" s="12"/>
      <c r="Q62" s="12"/>
      <c r="R62" s="12"/>
    </row>
    <row r="63" spans="1:18" ht="33" customHeight="1" x14ac:dyDescent="0.2">
      <c r="A63" s="12"/>
      <c r="B63" s="236" t="s">
        <v>6</v>
      </c>
      <c r="C63" s="236" t="s">
        <v>22</v>
      </c>
      <c r="D63" s="236" t="s">
        <v>11</v>
      </c>
      <c r="E63" s="322" t="s">
        <v>43</v>
      </c>
      <c r="F63" s="324" t="s">
        <v>43</v>
      </c>
      <c r="G63" s="322" t="s">
        <v>1037</v>
      </c>
      <c r="H63" s="323"/>
      <c r="I63" s="323"/>
      <c r="J63" s="324"/>
      <c r="K63" s="238">
        <v>0.3125</v>
      </c>
      <c r="L63" s="238">
        <v>0.33333333333333331</v>
      </c>
      <c r="M63" s="236" t="s">
        <v>9</v>
      </c>
      <c r="N63" s="237">
        <f t="shared" ref="N63:N126" si="2">IF(M63="No","",IF(M63="Yes",(L63-K63+(L63&lt;K63)),""))</f>
        <v>2.0833333333333315E-2</v>
      </c>
      <c r="O63" s="134"/>
      <c r="P63" s="12"/>
      <c r="Q63" s="12"/>
      <c r="R63" s="12"/>
    </row>
    <row r="64" spans="1:18" ht="40.5" customHeight="1" x14ac:dyDescent="0.2">
      <c r="A64" s="12"/>
      <c r="B64" s="236"/>
      <c r="C64" s="236"/>
      <c r="D64" s="236" t="s">
        <v>11</v>
      </c>
      <c r="E64" s="322" t="s">
        <v>34</v>
      </c>
      <c r="F64" s="324" t="s">
        <v>34</v>
      </c>
      <c r="G64" s="322" t="s">
        <v>1038</v>
      </c>
      <c r="H64" s="323"/>
      <c r="I64" s="323"/>
      <c r="J64" s="324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322"/>
      <c r="F65" s="324"/>
      <c r="G65" s="322" t="s">
        <v>1039</v>
      </c>
      <c r="H65" s="323"/>
      <c r="I65" s="323"/>
      <c r="J65" s="324"/>
      <c r="K65" s="239">
        <v>0.44444444444444442</v>
      </c>
      <c r="L65" s="239">
        <v>0.4826388888888889</v>
      </c>
      <c r="M65" s="236" t="s">
        <v>9</v>
      </c>
      <c r="N65" s="237">
        <f t="shared" si="2"/>
        <v>3.8194444444444475E-2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26</v>
      </c>
      <c r="E66" s="322"/>
      <c r="F66" s="324"/>
      <c r="G66" s="322" t="s">
        <v>1040</v>
      </c>
      <c r="H66" s="323"/>
      <c r="I66" s="323"/>
      <c r="J66" s="324"/>
      <c r="K66" s="239">
        <v>0.27083333333333331</v>
      </c>
      <c r="L66" s="239">
        <v>0.3125</v>
      </c>
      <c r="M66" s="236" t="s">
        <v>9</v>
      </c>
      <c r="N66" s="237">
        <f t="shared" si="2"/>
        <v>4.1666666666666685E-2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20</v>
      </c>
      <c r="E67" s="322"/>
      <c r="F67" s="324"/>
      <c r="G67" s="322" t="s">
        <v>1041</v>
      </c>
      <c r="H67" s="323"/>
      <c r="I67" s="323"/>
      <c r="J67" s="324"/>
      <c r="K67" s="238">
        <v>0.3888888888888889</v>
      </c>
      <c r="L67" s="238">
        <v>0.40277777777777773</v>
      </c>
      <c r="M67" s="236" t="s">
        <v>9</v>
      </c>
      <c r="N67" s="237">
        <f t="shared" si="2"/>
        <v>1.388888888888884E-2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23</v>
      </c>
      <c r="E68" s="322"/>
      <c r="F68" s="324"/>
      <c r="G68" s="322" t="s">
        <v>1041</v>
      </c>
      <c r="H68" s="323"/>
      <c r="I68" s="323"/>
      <c r="J68" s="324"/>
      <c r="K68" s="239">
        <v>0.35416666666666669</v>
      </c>
      <c r="L68" s="239">
        <v>0.36805555555555558</v>
      </c>
      <c r="M68" s="236" t="s">
        <v>9</v>
      </c>
      <c r="N68" s="237">
        <f t="shared" si="2"/>
        <v>1.3888888888888895E-2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26</v>
      </c>
      <c r="E69" s="322"/>
      <c r="F69" s="324"/>
      <c r="G69" s="322" t="s">
        <v>1041</v>
      </c>
      <c r="H69" s="323"/>
      <c r="I69" s="323"/>
      <c r="J69" s="324"/>
      <c r="K69" s="239">
        <v>0.36805555555555558</v>
      </c>
      <c r="L69" s="239">
        <v>0.3888888888888889</v>
      </c>
      <c r="M69" s="236" t="s">
        <v>9</v>
      </c>
      <c r="N69" s="237">
        <f t="shared" si="2"/>
        <v>2.0833333333333315E-2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29</v>
      </c>
      <c r="E70" s="322"/>
      <c r="F70" s="324"/>
      <c r="H70" t="s">
        <v>1041</v>
      </c>
      <c r="K70" s="239">
        <v>0.43055555555555558</v>
      </c>
      <c r="L70" s="239">
        <v>0.45833333333333331</v>
      </c>
      <c r="M70" s="236" t="s">
        <v>9</v>
      </c>
      <c r="N70" s="237">
        <f t="shared" si="2"/>
        <v>2.7777777777777735E-2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23</v>
      </c>
      <c r="E71" s="322"/>
      <c r="F71" s="324"/>
      <c r="G71" s="322" t="s">
        <v>1042</v>
      </c>
      <c r="H71" s="323"/>
      <c r="I71" s="323"/>
      <c r="J71" s="324"/>
      <c r="K71" s="239">
        <v>0.41666666666666669</v>
      </c>
      <c r="L71" s="239">
        <v>0.47916666666666669</v>
      </c>
      <c r="M71" s="236" t="s">
        <v>9</v>
      </c>
      <c r="N71" s="237">
        <f t="shared" si="2"/>
        <v>6.25E-2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29</v>
      </c>
      <c r="E72" s="322" t="s">
        <v>107</v>
      </c>
      <c r="F72" s="324" t="s">
        <v>107</v>
      </c>
      <c r="G72" s="322" t="s">
        <v>1043</v>
      </c>
      <c r="H72" s="323"/>
      <c r="I72" s="323"/>
      <c r="J72" s="324"/>
      <c r="K72" s="239">
        <v>0.38194444444444442</v>
      </c>
      <c r="L72" s="239">
        <v>0.3888888888888889</v>
      </c>
      <c r="M72" s="236" t="s">
        <v>9</v>
      </c>
      <c r="N72" s="237">
        <f t="shared" si="2"/>
        <v>6.9444444444444753E-3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29</v>
      </c>
      <c r="E73" s="322" t="s">
        <v>107</v>
      </c>
      <c r="F73" s="324" t="s">
        <v>107</v>
      </c>
      <c r="G73" s="322" t="s">
        <v>1044</v>
      </c>
      <c r="H73" s="323"/>
      <c r="I73" s="323"/>
      <c r="J73" s="324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322"/>
      <c r="F74" s="324"/>
      <c r="G74" s="322" t="s">
        <v>1045</v>
      </c>
      <c r="H74" s="323"/>
      <c r="I74" s="323"/>
      <c r="J74" s="324"/>
      <c r="K74" s="238">
        <v>0.5</v>
      </c>
      <c r="L74" s="238"/>
      <c r="M74" s="236" t="s">
        <v>13</v>
      </c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322"/>
      <c r="F75" s="324"/>
      <c r="G75" s="322"/>
      <c r="H75" s="323"/>
      <c r="I75" s="323"/>
      <c r="J75" s="324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 t="s">
        <v>14</v>
      </c>
      <c r="C76" s="236" t="s">
        <v>25</v>
      </c>
      <c r="D76" s="236" t="s">
        <v>23</v>
      </c>
      <c r="E76" s="322" t="s">
        <v>106</v>
      </c>
      <c r="F76" s="324"/>
      <c r="G76" s="322" t="s">
        <v>944</v>
      </c>
      <c r="H76" s="323"/>
      <c r="I76" s="323"/>
      <c r="J76" s="324"/>
      <c r="K76" s="239">
        <v>0.625</v>
      </c>
      <c r="L76" s="239">
        <v>0.64583333333333337</v>
      </c>
      <c r="M76" s="236" t="s">
        <v>9</v>
      </c>
      <c r="N76" s="237">
        <f t="shared" si="2"/>
        <v>2.083333333333337E-2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23</v>
      </c>
      <c r="E77" s="322" t="s">
        <v>108</v>
      </c>
      <c r="F77" s="324"/>
      <c r="G77" s="322" t="s">
        <v>331</v>
      </c>
      <c r="H77" s="323"/>
      <c r="I77" s="323"/>
      <c r="J77" s="324"/>
      <c r="K77" s="238">
        <v>0.72916666666666663</v>
      </c>
      <c r="L77" s="238">
        <v>0.79861111111111116</v>
      </c>
      <c r="M77" s="236" t="s">
        <v>9</v>
      </c>
      <c r="N77" s="237">
        <f t="shared" si="2"/>
        <v>6.9444444444444531E-2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23</v>
      </c>
      <c r="E78" s="322"/>
      <c r="F78" s="324"/>
      <c r="G78" s="322" t="s">
        <v>1046</v>
      </c>
      <c r="H78" s="323"/>
      <c r="I78" s="323"/>
      <c r="J78" s="324"/>
      <c r="K78" s="239">
        <v>0.625</v>
      </c>
      <c r="L78" s="239">
        <v>0.69444444444444453</v>
      </c>
      <c r="M78" s="236" t="s">
        <v>9</v>
      </c>
      <c r="N78" s="237">
        <f t="shared" si="2"/>
        <v>6.9444444444444531E-2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23</v>
      </c>
      <c r="E79" s="322" t="s">
        <v>109</v>
      </c>
      <c r="F79" s="324"/>
      <c r="G79" s="322" t="s">
        <v>331</v>
      </c>
      <c r="H79" s="323"/>
      <c r="I79" s="323"/>
      <c r="J79" s="324"/>
      <c r="K79" s="239">
        <v>0.80555555555555547</v>
      </c>
      <c r="L79" s="239">
        <v>0.82638888888888884</v>
      </c>
      <c r="M79" s="236" t="s">
        <v>9</v>
      </c>
      <c r="N79" s="237">
        <f t="shared" si="2"/>
        <v>2.083333333333337E-2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 t="s">
        <v>26</v>
      </c>
      <c r="E80" s="322"/>
      <c r="F80" s="324"/>
      <c r="G80" s="322" t="s">
        <v>1047</v>
      </c>
      <c r="H80" s="323"/>
      <c r="I80" s="323"/>
      <c r="J80" s="324"/>
      <c r="K80" s="239">
        <v>0.6875</v>
      </c>
      <c r="L80" s="239">
        <v>0.72916666666666663</v>
      </c>
      <c r="M80" s="236" t="s">
        <v>9</v>
      </c>
      <c r="N80" s="237">
        <f t="shared" si="2"/>
        <v>4.166666666666663E-2</v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 t="s">
        <v>26</v>
      </c>
      <c r="E81" s="322"/>
      <c r="F81" s="324"/>
      <c r="G81" s="322" t="s">
        <v>1048</v>
      </c>
      <c r="H81" s="323"/>
      <c r="I81" s="323"/>
      <c r="J81" s="324"/>
      <c r="K81" s="239">
        <v>0.875</v>
      </c>
      <c r="L81" s="239">
        <v>0.91666666666666663</v>
      </c>
      <c r="M81" s="236" t="s">
        <v>9</v>
      </c>
      <c r="N81" s="237">
        <f t="shared" si="2"/>
        <v>4.166666666666663E-2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 t="s">
        <v>17</v>
      </c>
      <c r="C83" s="236" t="s">
        <v>28</v>
      </c>
      <c r="D83" s="236" t="s">
        <v>26</v>
      </c>
      <c r="E83" s="322"/>
      <c r="F83" s="324"/>
      <c r="G83" s="322" t="s">
        <v>1040</v>
      </c>
      <c r="H83" s="323"/>
      <c r="I83" s="323"/>
      <c r="J83" s="324"/>
      <c r="K83" s="239">
        <v>0.97222222222222221</v>
      </c>
      <c r="L83" s="239">
        <v>5.5555555555555552E-2</v>
      </c>
      <c r="M83" s="236" t="s">
        <v>9</v>
      </c>
      <c r="N83" s="237">
        <f t="shared" si="2"/>
        <v>8.333333333333337E-2</v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/>
      <c r="D136" s="481"/>
      <c r="E136" s="463" t="s">
        <v>651</v>
      </c>
      <c r="F136" s="464"/>
      <c r="G136" s="452" t="s">
        <v>881</v>
      </c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1049</v>
      </c>
      <c r="D137" s="479"/>
      <c r="E137" s="463" t="s">
        <v>347</v>
      </c>
      <c r="F137" s="464"/>
      <c r="G137" s="452" t="s">
        <v>438</v>
      </c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35"/>
      <c r="E143" s="335"/>
      <c r="F143" s="335"/>
      <c r="G143" s="336"/>
      <c r="H143" s="336"/>
      <c r="I143" s="336"/>
      <c r="J143" s="336"/>
      <c r="K143" s="336"/>
      <c r="L143" s="335"/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 t="s">
        <v>255</v>
      </c>
      <c r="C144" s="215">
        <v>12</v>
      </c>
      <c r="D144" s="335" t="s">
        <v>1050</v>
      </c>
      <c r="E144" s="335"/>
      <c r="F144" s="335"/>
      <c r="G144" s="336" t="s">
        <v>372</v>
      </c>
      <c r="H144" s="336"/>
      <c r="I144" s="336"/>
      <c r="J144" s="336">
        <v>41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 t="s">
        <v>378</v>
      </c>
      <c r="D145" s="335" t="s">
        <v>1051</v>
      </c>
      <c r="E145" s="335"/>
      <c r="F145" s="335"/>
      <c r="G145" s="336" t="s">
        <v>367</v>
      </c>
      <c r="H145" s="336"/>
      <c r="I145" s="336"/>
      <c r="J145" s="336">
        <v>28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18</v>
      </c>
      <c r="D146" s="335" t="s">
        <v>1052</v>
      </c>
      <c r="E146" s="335"/>
      <c r="F146" s="335"/>
      <c r="G146" s="336" t="s">
        <v>357</v>
      </c>
      <c r="H146" s="336"/>
      <c r="I146" s="336"/>
      <c r="J146" s="336">
        <v>16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14</v>
      </c>
      <c r="D147" s="335" t="s">
        <v>1051</v>
      </c>
      <c r="E147" s="335"/>
      <c r="F147" s="335"/>
      <c r="G147" s="336" t="s">
        <v>734</v>
      </c>
      <c r="H147" s="336"/>
      <c r="I147" s="336"/>
      <c r="J147" s="336">
        <v>27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19</v>
      </c>
      <c r="D148" s="335" t="s">
        <v>1053</v>
      </c>
      <c r="E148" s="335"/>
      <c r="F148" s="335"/>
      <c r="G148" s="336" t="s">
        <v>361</v>
      </c>
      <c r="H148" s="336"/>
      <c r="I148" s="336"/>
      <c r="J148" s="336">
        <v>9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24</v>
      </c>
      <c r="D149" s="335" t="s">
        <v>1054</v>
      </c>
      <c r="E149" s="335"/>
      <c r="F149" s="335"/>
      <c r="G149" s="336" t="s">
        <v>403</v>
      </c>
      <c r="H149" s="336"/>
      <c r="I149" s="336"/>
      <c r="J149" s="336">
        <v>437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 t="s">
        <v>376</v>
      </c>
      <c r="D150" s="335" t="s">
        <v>1055</v>
      </c>
      <c r="E150" s="335"/>
      <c r="F150" s="335"/>
      <c r="G150" s="336" t="s">
        <v>357</v>
      </c>
      <c r="H150" s="336"/>
      <c r="I150" s="336"/>
      <c r="J150" s="336">
        <v>23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13</v>
      </c>
      <c r="D151" s="335" t="s">
        <v>1056</v>
      </c>
      <c r="E151" s="335"/>
      <c r="F151" s="335"/>
      <c r="G151" s="336" t="s">
        <v>359</v>
      </c>
      <c r="H151" s="336"/>
      <c r="I151" s="336"/>
      <c r="J151" s="336">
        <v>28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35"/>
      <c r="E152" s="335"/>
      <c r="F152" s="335"/>
      <c r="G152" s="336"/>
      <c r="H152" s="336"/>
      <c r="I152" s="336"/>
      <c r="J152" s="336"/>
      <c r="K152" s="336"/>
      <c r="L152" s="335"/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35"/>
      <c r="E153" s="335"/>
      <c r="F153" s="335"/>
      <c r="G153" s="336"/>
      <c r="H153" s="336"/>
      <c r="I153" s="336"/>
      <c r="J153" s="336"/>
      <c r="K153" s="336"/>
      <c r="L153" s="335"/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 t="s">
        <v>261</v>
      </c>
      <c r="C154" s="215">
        <v>22</v>
      </c>
      <c r="D154" s="335" t="s">
        <v>1057</v>
      </c>
      <c r="E154" s="335"/>
      <c r="F154" s="335"/>
      <c r="G154" s="336" t="s">
        <v>801</v>
      </c>
      <c r="H154" s="336"/>
      <c r="I154" s="336"/>
      <c r="J154" s="336">
        <v>1358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18</v>
      </c>
      <c r="D155" s="335" t="s">
        <v>1058</v>
      </c>
      <c r="E155" s="335"/>
      <c r="F155" s="335"/>
      <c r="G155" s="336" t="s">
        <v>357</v>
      </c>
      <c r="H155" s="336"/>
      <c r="I155" s="336"/>
      <c r="J155" s="336">
        <v>10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13</v>
      </c>
      <c r="D156" s="335" t="s">
        <v>1059</v>
      </c>
      <c r="E156" s="335"/>
      <c r="F156" s="335"/>
      <c r="G156" s="336" t="s">
        <v>662</v>
      </c>
      <c r="H156" s="336"/>
      <c r="I156" s="336"/>
      <c r="J156" s="336">
        <v>26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19</v>
      </c>
      <c r="D157" s="335" t="s">
        <v>1060</v>
      </c>
      <c r="E157" s="335"/>
      <c r="F157" s="335"/>
      <c r="G157" s="336" t="s">
        <v>361</v>
      </c>
      <c r="H157" s="336"/>
      <c r="I157" s="336"/>
      <c r="J157" s="336">
        <v>10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11</v>
      </c>
      <c r="D158" s="335" t="s">
        <v>1061</v>
      </c>
      <c r="E158" s="335"/>
      <c r="F158" s="335"/>
      <c r="G158" s="336" t="s">
        <v>403</v>
      </c>
      <c r="H158" s="336"/>
      <c r="I158" s="336"/>
      <c r="J158" s="336">
        <v>431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 t="s">
        <v>378</v>
      </c>
      <c r="D159" s="335" t="s">
        <v>1061</v>
      </c>
      <c r="E159" s="335"/>
      <c r="F159" s="335"/>
      <c r="G159" s="336" t="s">
        <v>367</v>
      </c>
      <c r="H159" s="336"/>
      <c r="I159" s="336"/>
      <c r="J159" s="336">
        <v>30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35"/>
      <c r="E160" s="335"/>
      <c r="F160" s="335"/>
      <c r="G160" s="336"/>
      <c r="H160" s="336"/>
      <c r="I160" s="336"/>
      <c r="J160" s="336"/>
      <c r="K160" s="336"/>
      <c r="L160" s="335"/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 t="s">
        <v>267</v>
      </c>
      <c r="C161" s="215">
        <v>9</v>
      </c>
      <c r="D161" s="335" t="s">
        <v>1062</v>
      </c>
      <c r="E161" s="335"/>
      <c r="F161" s="335"/>
      <c r="G161" s="336" t="s">
        <v>367</v>
      </c>
      <c r="H161" s="336"/>
      <c r="I161" s="336"/>
      <c r="J161" s="336">
        <v>38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3</v>
      </c>
      <c r="D162" s="335" t="s">
        <v>1063</v>
      </c>
      <c r="E162" s="335"/>
      <c r="F162" s="335"/>
      <c r="G162" s="336" t="s">
        <v>357</v>
      </c>
      <c r="H162" s="336"/>
      <c r="I162" s="336"/>
      <c r="J162" s="336">
        <v>34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18</v>
      </c>
      <c r="D163" s="335" t="s">
        <v>1064</v>
      </c>
      <c r="E163" s="335"/>
      <c r="F163" s="335"/>
      <c r="G163" s="336" t="s">
        <v>357</v>
      </c>
      <c r="H163" s="336"/>
      <c r="I163" s="336"/>
      <c r="J163" s="336">
        <v>13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8</v>
      </c>
      <c r="D164" s="335" t="s">
        <v>1063</v>
      </c>
      <c r="E164" s="335"/>
      <c r="F164" s="335"/>
      <c r="G164" s="336" t="s">
        <v>753</v>
      </c>
      <c r="H164" s="336"/>
      <c r="I164" s="336"/>
      <c r="J164" s="336">
        <v>67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13</v>
      </c>
      <c r="D165" s="335" t="s">
        <v>1065</v>
      </c>
      <c r="E165" s="335"/>
      <c r="F165" s="335"/>
      <c r="G165" s="336" t="s">
        <v>359</v>
      </c>
      <c r="H165" s="336"/>
      <c r="I165" s="336"/>
      <c r="J165" s="336">
        <v>27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17</v>
      </c>
      <c r="D166" s="335" t="s">
        <v>1066</v>
      </c>
      <c r="E166" s="335"/>
      <c r="F166" s="335"/>
      <c r="G166" s="336" t="s">
        <v>446</v>
      </c>
      <c r="H166" s="336"/>
      <c r="I166" s="336"/>
      <c r="J166" s="336">
        <v>12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>
        <v>5</v>
      </c>
      <c r="D167" s="335" t="s">
        <v>1063</v>
      </c>
      <c r="E167" s="335"/>
      <c r="F167" s="335"/>
      <c r="G167" s="336" t="s">
        <v>367</v>
      </c>
      <c r="H167" s="336"/>
      <c r="I167" s="336"/>
      <c r="J167" s="336">
        <v>33</v>
      </c>
      <c r="K167" s="336"/>
      <c r="L167" s="335" t="s">
        <v>355</v>
      </c>
      <c r="M167" s="335"/>
    </row>
    <row r="168" spans="1:18" ht="14.25" x14ac:dyDescent="0.2">
      <c r="B168" s="216"/>
      <c r="C168" s="215"/>
      <c r="D168" s="335"/>
      <c r="E168" s="335"/>
      <c r="F168" s="335"/>
      <c r="G168" s="336"/>
      <c r="H168" s="336"/>
      <c r="I168" s="336"/>
      <c r="J168" s="336"/>
      <c r="K168" s="336"/>
      <c r="L168" s="335"/>
      <c r="M168" s="335"/>
    </row>
    <row r="169" spans="1:18" ht="14.25" x14ac:dyDescent="0.2">
      <c r="B169" s="216"/>
      <c r="C169" s="215"/>
      <c r="D169" s="335"/>
      <c r="E169" s="335"/>
      <c r="F169" s="335"/>
      <c r="G169" s="336"/>
      <c r="H169" s="336"/>
      <c r="I169" s="336"/>
      <c r="J169" s="336"/>
      <c r="K169" s="336"/>
      <c r="L169" s="335"/>
      <c r="M169" s="335"/>
    </row>
    <row r="170" spans="1:18" ht="14.25" x14ac:dyDescent="0.2">
      <c r="B170" s="216"/>
      <c r="C170" s="215"/>
      <c r="D170" s="335"/>
      <c r="E170" s="335"/>
      <c r="F170" s="335"/>
      <c r="G170" s="336"/>
      <c r="H170" s="336"/>
      <c r="I170" s="336"/>
      <c r="J170" s="336"/>
      <c r="K170" s="336"/>
      <c r="L170" s="335"/>
      <c r="M170" s="335"/>
    </row>
    <row r="171" spans="1:18" ht="14.25" x14ac:dyDescent="0.2">
      <c r="B171" s="216"/>
      <c r="C171" s="215"/>
      <c r="D171" s="337"/>
      <c r="E171" s="338"/>
      <c r="F171" s="339"/>
      <c r="G171" s="336"/>
      <c r="H171" s="336"/>
      <c r="I171" s="336"/>
      <c r="J171" s="336"/>
      <c r="K171" s="336"/>
      <c r="L171" s="335"/>
      <c r="M171" s="335"/>
    </row>
    <row r="172" spans="1:18" ht="14.25" x14ac:dyDescent="0.2">
      <c r="B172" s="216"/>
      <c r="C172" s="215"/>
      <c r="D172" s="335"/>
      <c r="E172" s="335"/>
      <c r="F172" s="335"/>
      <c r="G172" s="336"/>
      <c r="H172" s="336"/>
      <c r="I172" s="336"/>
      <c r="J172" s="336"/>
      <c r="K172" s="336"/>
      <c r="L172" s="335"/>
      <c r="M172" s="335"/>
    </row>
    <row r="173" spans="1:18" ht="14.25" x14ac:dyDescent="0.2">
      <c r="B173" s="216"/>
      <c r="C173" s="215"/>
      <c r="D173" s="335"/>
      <c r="E173" s="335"/>
      <c r="F173" s="335"/>
      <c r="G173" s="336"/>
      <c r="H173" s="336"/>
      <c r="I173" s="336"/>
      <c r="J173" s="336"/>
      <c r="K173" s="336"/>
      <c r="L173" s="335"/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5FC69D43-28DB-490A-9067-5C51A24FE152}">
      <formula1>INDIRECT(D63)</formula1>
    </dataValidation>
  </dataValidations>
  <hyperlinks>
    <hyperlink ref="J14:L15" location="Summary!A1" display="MTD Summary " xr:uid="{3F67F8C6-F790-4892-BD14-2642ECF864D3}"/>
    <hyperlink ref="J16:L17" location="Graph!A1" display="MTD Trendings" xr:uid="{49B31350-6054-4A64-9A78-FB4EC7185938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ignoredErrors>
    <ignoredError sqref="K2" evalError="1"/>
  </ignoredError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D62C8CC-CE06-47EA-A3A4-C7EC4B8A539B}">
          <x14:formula1>
            <xm:f>List!$C$5:$C$14</xm:f>
          </x14:formula1>
          <xm:sqref>D63:D131</xm:sqref>
        </x14:dataValidation>
        <x14:dataValidation type="list" allowBlank="1" showInputMessage="1" showErrorMessage="1" xr:uid="{F27B30CB-E7AD-4399-AF4C-CFAC43EAF25E}">
          <x14:formula1>
            <xm:f>List!$B$10:$B$12</xm:f>
          </x14:formula1>
          <xm:sqref>C63:C131</xm:sqref>
        </x14:dataValidation>
        <x14:dataValidation type="list" allowBlank="1" showInputMessage="1" showErrorMessage="1" xr:uid="{50C7D1BD-221E-4B3A-A590-23ED038D91B3}">
          <x14:formula1>
            <xm:f>List!$B$5:$B$8</xm:f>
          </x14:formula1>
          <xm:sqref>B63:B131</xm:sqref>
        </x14:dataValidation>
        <x14:dataValidation type="list" allowBlank="1" showInputMessage="1" showErrorMessage="1" xr:uid="{A233774B-BF82-4698-B6D5-360827BF1B0D}">
          <x14:formula1>
            <xm:f>Sheet3!$C$3:$C$4</xm:f>
          </x14:formula1>
          <xm:sqref>M63:M132</xm:sqref>
        </x14:dataValidation>
        <x14:dataValidation type="list" allowBlank="1" showInputMessage="1" xr:uid="{0B0208DE-3572-4F52-A470-39D0E33AAA8E}">
          <x14:formula1>
            <xm:f>Sheet3!$D$3:$D$11</xm:f>
          </x14:formula1>
          <xm:sqref>C132</xm:sqref>
        </x14:dataValidation>
        <x14:dataValidation type="list" allowBlank="1" showInputMessage="1" showErrorMessage="1" xr:uid="{BD9515FA-E1D8-45FD-8E5D-235FA76D1A72}">
          <x14:formula1>
            <xm:f>Sheet3!$B$3:$B$5</xm:f>
          </x14:formula1>
          <xm:sqref>B143:B165 B132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1D05-4D1F-4097-8B00-C7ECE4AFE933}">
  <sheetPr>
    <pageSetUpPr fitToPage="1"/>
  </sheetPr>
  <dimension ref="A1:R188"/>
  <sheetViews>
    <sheetView showGridLines="0" view="pageBreakPreview" topLeftCell="A30" zoomScale="80" zoomScaleNormal="90" zoomScaleSheetLayoutView="80" zoomScalePageLayoutView="80" workbookViewId="0">
      <selection activeCell="G81" sqref="G81:J81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21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1610.5500000000002</v>
      </c>
      <c r="K6" s="420"/>
      <c r="L6" s="420">
        <f ca="1">Summary!G28</f>
        <v>1605.22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130</v>
      </c>
      <c r="E7" s="84">
        <v>60</v>
      </c>
      <c r="F7" s="395">
        <v>40</v>
      </c>
      <c r="G7" s="396"/>
      <c r="H7" s="374">
        <f>SUM(D7:D10)</f>
        <v>510.22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120</v>
      </c>
      <c r="E8" s="86">
        <v>60</v>
      </c>
      <c r="F8" s="397">
        <v>40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120</v>
      </c>
      <c r="E9" s="86">
        <v>60</v>
      </c>
      <c r="F9" s="397">
        <v>40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140.22</v>
      </c>
      <c r="E10" s="88">
        <v>60</v>
      </c>
      <c r="F10" s="399">
        <v>40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140</v>
      </c>
      <c r="E11" s="90">
        <v>70</v>
      </c>
      <c r="F11" s="386">
        <v>40</v>
      </c>
      <c r="G11" s="387"/>
      <c r="H11" s="388">
        <f>SUM(D11:D14)</f>
        <v>590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150</v>
      </c>
      <c r="E12" s="92">
        <v>70</v>
      </c>
      <c r="F12" s="391">
        <v>40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150</v>
      </c>
      <c r="E13" s="92">
        <v>70</v>
      </c>
      <c r="F13" s="391">
        <v>40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150</v>
      </c>
      <c r="E14" s="94">
        <v>70</v>
      </c>
      <c r="F14" s="393">
        <v>40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120</v>
      </c>
      <c r="E15" s="96">
        <v>70</v>
      </c>
      <c r="F15" s="372">
        <v>40</v>
      </c>
      <c r="G15" s="373"/>
      <c r="H15" s="374">
        <f>SUM(D15:D18)</f>
        <v>510.33000000000004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120</v>
      </c>
      <c r="E16" s="98">
        <v>70</v>
      </c>
      <c r="F16" s="401">
        <v>40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140</v>
      </c>
      <c r="E17" s="98">
        <v>70</v>
      </c>
      <c r="F17" s="401">
        <v>40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130.33000000000001</v>
      </c>
      <c r="E18" s="100">
        <v>70</v>
      </c>
      <c r="F18" s="404">
        <v>40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1610.5500000000002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6</v>
      </c>
      <c r="D25" s="102">
        <v>30</v>
      </c>
      <c r="E25" s="56">
        <v>7</v>
      </c>
      <c r="F25" s="107"/>
      <c r="G25" s="410">
        <v>6</v>
      </c>
      <c r="H25" s="411"/>
      <c r="I25" s="111">
        <v>90</v>
      </c>
      <c r="J25" s="38">
        <f t="shared" ref="J25:J40" si="0">C25+E25+G25</f>
        <v>19</v>
      </c>
      <c r="K25" s="412">
        <f>D25+F25+I25</f>
        <v>120</v>
      </c>
      <c r="L25" s="413"/>
      <c r="M25" s="2"/>
    </row>
    <row r="26" spans="2:14" ht="14.1" customHeight="1" x14ac:dyDescent="0.2">
      <c r="B26" s="80" t="s">
        <v>281</v>
      </c>
      <c r="C26" s="45">
        <v>6</v>
      </c>
      <c r="D26" s="103">
        <v>120</v>
      </c>
      <c r="E26" s="57">
        <v>5</v>
      </c>
      <c r="F26" s="108">
        <v>172</v>
      </c>
      <c r="G26" s="406">
        <v>5</v>
      </c>
      <c r="H26" s="407"/>
      <c r="I26" s="112">
        <v>136</v>
      </c>
      <c r="J26" s="25">
        <f t="shared" si="0"/>
        <v>16</v>
      </c>
      <c r="K26" s="408">
        <f t="shared" ref="K26:K39" si="1">D26+F26+I26</f>
        <v>428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186</v>
      </c>
      <c r="E27" s="57"/>
      <c r="F27" s="108">
        <v>145.30000000000001</v>
      </c>
      <c r="G27" s="406"/>
      <c r="H27" s="407"/>
      <c r="I27" s="112">
        <v>90</v>
      </c>
      <c r="J27" s="25">
        <f t="shared" si="0"/>
        <v>0</v>
      </c>
      <c r="K27" s="408">
        <f t="shared" si="1"/>
        <v>421.3</v>
      </c>
      <c r="L27" s="409"/>
      <c r="M27" s="2"/>
    </row>
    <row r="28" spans="2:14" ht="14.1" customHeight="1" x14ac:dyDescent="0.2">
      <c r="B28" s="80" t="s">
        <v>283</v>
      </c>
      <c r="C28" s="45">
        <v>5</v>
      </c>
      <c r="D28" s="103"/>
      <c r="E28" s="57">
        <v>7</v>
      </c>
      <c r="F28" s="108"/>
      <c r="G28" s="406">
        <v>5</v>
      </c>
      <c r="H28" s="407"/>
      <c r="I28" s="112"/>
      <c r="J28" s="25">
        <f t="shared" si="0"/>
        <v>17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3</v>
      </c>
      <c r="D29" s="103"/>
      <c r="E29" s="57">
        <v>4</v>
      </c>
      <c r="F29" s="108"/>
      <c r="G29" s="406">
        <v>3</v>
      </c>
      <c r="H29" s="407"/>
      <c r="I29" s="112"/>
      <c r="J29" s="25">
        <f t="shared" si="0"/>
        <v>10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/>
      <c r="D30" s="103"/>
      <c r="E30" s="57"/>
      <c r="F30" s="108"/>
      <c r="G30" s="406">
        <v>1</v>
      </c>
      <c r="H30" s="407"/>
      <c r="I30" s="112"/>
      <c r="J30" s="25">
        <f t="shared" si="0"/>
        <v>1</v>
      </c>
      <c r="K30" s="408">
        <f t="shared" si="1"/>
        <v>0</v>
      </c>
      <c r="L30" s="409"/>
    </row>
    <row r="31" spans="2:14" ht="14.1" customHeight="1" x14ac:dyDescent="0.2">
      <c r="B31" s="80" t="s">
        <v>286</v>
      </c>
      <c r="C31" s="45">
        <v>2</v>
      </c>
      <c r="D31" s="103"/>
      <c r="E31" s="57">
        <v>2</v>
      </c>
      <c r="F31" s="108"/>
      <c r="G31" s="406">
        <v>3</v>
      </c>
      <c r="H31" s="407"/>
      <c r="I31" s="112"/>
      <c r="J31" s="25">
        <f t="shared" si="0"/>
        <v>7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/>
      <c r="F32" s="108"/>
      <c r="G32" s="406">
        <v>2</v>
      </c>
      <c r="H32" s="407"/>
      <c r="I32" s="112"/>
      <c r="J32" s="25">
        <f t="shared" si="0"/>
        <v>3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>
        <v>26.1</v>
      </c>
      <c r="E33" s="57"/>
      <c r="F33" s="108"/>
      <c r="G33" s="406"/>
      <c r="H33" s="407"/>
      <c r="I33" s="112"/>
      <c r="J33" s="25">
        <f t="shared" si="0"/>
        <v>0</v>
      </c>
      <c r="K33" s="408">
        <f t="shared" si="1"/>
        <v>26.1</v>
      </c>
      <c r="L33" s="409"/>
    </row>
    <row r="34" spans="1:16" ht="14.1" customHeight="1" x14ac:dyDescent="0.2">
      <c r="B34" s="80" t="s">
        <v>289</v>
      </c>
      <c r="C34" s="45"/>
      <c r="D34" s="103"/>
      <c r="E34" s="57"/>
      <c r="F34" s="108"/>
      <c r="G34" s="406"/>
      <c r="H34" s="407"/>
      <c r="I34" s="112"/>
      <c r="J34" s="25">
        <f t="shared" si="0"/>
        <v>0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>
        <v>1</v>
      </c>
      <c r="D35" s="103"/>
      <c r="E35" s="57"/>
      <c r="F35" s="108">
        <v>21.5</v>
      </c>
      <c r="G35" s="406"/>
      <c r="H35" s="407"/>
      <c r="I35" s="112"/>
      <c r="J35" s="25">
        <f t="shared" si="0"/>
        <v>1</v>
      </c>
      <c r="K35" s="408">
        <f t="shared" si="1"/>
        <v>21.5</v>
      </c>
      <c r="L35" s="409"/>
    </row>
    <row r="36" spans="1:16" ht="14.1" customHeight="1" x14ac:dyDescent="0.2">
      <c r="B36" s="37" t="s">
        <v>291</v>
      </c>
      <c r="C36" s="55"/>
      <c r="D36" s="104">
        <v>32</v>
      </c>
      <c r="E36" s="58"/>
      <c r="F36" s="109"/>
      <c r="G36" s="406"/>
      <c r="H36" s="407"/>
      <c r="I36" s="113"/>
      <c r="J36" s="25">
        <f t="shared" si="0"/>
        <v>0</v>
      </c>
      <c r="K36" s="408">
        <f t="shared" si="1"/>
        <v>32</v>
      </c>
      <c r="L36" s="409"/>
    </row>
    <row r="37" spans="1:16" ht="14.1" customHeight="1" x14ac:dyDescent="0.2">
      <c r="B37" s="37" t="s">
        <v>292</v>
      </c>
      <c r="C37" s="55"/>
      <c r="D37" s="104"/>
      <c r="E37" s="58"/>
      <c r="F37" s="109"/>
      <c r="G37" s="406"/>
      <c r="H37" s="407"/>
      <c r="I37" s="113"/>
      <c r="J37" s="25">
        <f t="shared" si="0"/>
        <v>0</v>
      </c>
      <c r="K37" s="408">
        <f t="shared" si="1"/>
        <v>0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v>90</v>
      </c>
      <c r="J38" s="25">
        <f t="shared" si="0"/>
        <v>0</v>
      </c>
      <c r="K38" s="408">
        <f t="shared" si="1"/>
        <v>90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210</v>
      </c>
      <c r="J39" s="25">
        <f t="shared" si="0"/>
        <v>0</v>
      </c>
      <c r="K39" s="408">
        <f t="shared" si="1"/>
        <v>210</v>
      </c>
      <c r="L39" s="409"/>
    </row>
    <row r="40" spans="1:16" ht="14.1" customHeight="1" thickBot="1" x14ac:dyDescent="0.25">
      <c r="B40" s="81" t="s">
        <v>295</v>
      </c>
      <c r="C40" s="47"/>
      <c r="D40" s="105">
        <v>108</v>
      </c>
      <c r="E40" s="59"/>
      <c r="F40" s="110">
        <v>124.2</v>
      </c>
      <c r="G40" s="473"/>
      <c r="H40" s="474"/>
      <c r="I40" s="114">
        <v>96.12</v>
      </c>
      <c r="J40" s="26">
        <f t="shared" si="0"/>
        <v>0</v>
      </c>
      <c r="K40" s="475">
        <f>D40+F40+I40</f>
        <v>328.32</v>
      </c>
      <c r="L40" s="476"/>
    </row>
    <row r="41" spans="1:16" ht="17.25" customHeight="1" x14ac:dyDescent="0.2">
      <c r="B41" s="15" t="s">
        <v>273</v>
      </c>
      <c r="C41" s="16">
        <f>SUM(C25:C40)</f>
        <v>24</v>
      </c>
      <c r="D41" s="106">
        <f>SUM(D25:D40)</f>
        <v>502.1</v>
      </c>
      <c r="E41" s="16">
        <f>SUM(E25:E40)</f>
        <v>25</v>
      </c>
      <c r="F41" s="106">
        <f>SUM(F25:F40)</f>
        <v>463</v>
      </c>
      <c r="G41" s="430">
        <f>SUM(G25:H40)</f>
        <v>25</v>
      </c>
      <c r="H41" s="430"/>
      <c r="I41" s="106">
        <f>SUM(I25:I40)</f>
        <v>712.12</v>
      </c>
      <c r="J41" s="16">
        <f>SUM(J25:J40)</f>
        <v>74</v>
      </c>
      <c r="K41" s="477">
        <f>SUM(K25:L40)</f>
        <v>1677.22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/>
      <c r="D45" s="210"/>
      <c r="E45" s="209"/>
      <c r="F45" s="210"/>
      <c r="G45" s="471"/>
      <c r="H45" s="472"/>
      <c r="I45" s="210"/>
      <c r="J45" s="210">
        <v>0.3</v>
      </c>
      <c r="K45" s="209">
        <v>0.1</v>
      </c>
      <c r="L45" s="210"/>
      <c r="M45" s="211"/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15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/>
      <c r="D48" s="209"/>
      <c r="E48" s="209"/>
      <c r="F48" s="209">
        <v>0.2</v>
      </c>
      <c r="G48" s="442">
        <v>0.3</v>
      </c>
      <c r="H48" s="443"/>
      <c r="I48" s="209">
        <v>0.1</v>
      </c>
      <c r="J48" s="209"/>
      <c r="K48" s="209">
        <v>0</v>
      </c>
      <c r="L48" s="209">
        <v>0.2</v>
      </c>
      <c r="M48" s="211">
        <v>0.9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438">
        <f>G48*100</f>
        <v>30</v>
      </c>
      <c r="H49" s="439"/>
      <c r="I49" s="40">
        <f>I48*100</f>
        <v>10</v>
      </c>
      <c r="J49" s="40">
        <f>J48*150</f>
        <v>0</v>
      </c>
      <c r="K49" s="40">
        <f>K48*70</f>
        <v>0</v>
      </c>
      <c r="L49" s="40">
        <f>L48*70</f>
        <v>14</v>
      </c>
      <c r="M49" s="79">
        <f>M48*70</f>
        <v>63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</v>
      </c>
      <c r="D51" s="213">
        <v>0</v>
      </c>
      <c r="E51" s="214">
        <v>0</v>
      </c>
      <c r="F51" s="209"/>
      <c r="G51" s="442"/>
      <c r="H51" s="443"/>
      <c r="I51" s="209">
        <v>0</v>
      </c>
      <c r="J51" s="209">
        <v>0.03</v>
      </c>
      <c r="K51" s="209">
        <v>0</v>
      </c>
      <c r="L51" s="209">
        <v>0.23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7.5</v>
      </c>
      <c r="K52" s="41">
        <f>K51*250</f>
        <v>0</v>
      </c>
      <c r="L52" s="41">
        <f>L51*250</f>
        <v>57.5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234</v>
      </c>
      <c r="F54" s="39" t="s">
        <v>309</v>
      </c>
      <c r="G54" s="188"/>
      <c r="H54" s="188"/>
      <c r="I54" s="30">
        <f>'20'!D54</f>
        <v>298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>
        <v>172900</v>
      </c>
      <c r="D58" s="60">
        <v>18470</v>
      </c>
      <c r="E58" s="124">
        <f>SUM(C58:D58)</f>
        <v>191370</v>
      </c>
      <c r="F58" s="425"/>
      <c r="G58" s="426"/>
      <c r="H58" s="60"/>
      <c r="I58" s="61"/>
      <c r="J58" s="422"/>
      <c r="K58" s="428"/>
      <c r="L58" s="60">
        <v>6732.1</v>
      </c>
      <c r="M58" s="61">
        <f>L58/3</f>
        <v>2244.0333333333333</v>
      </c>
      <c r="N58" s="288">
        <v>4.18</v>
      </c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118.8227624103567</v>
      </c>
      <c r="D59" s="432"/>
      <c r="E59" s="433"/>
      <c r="F59" s="434" t="s">
        <v>321</v>
      </c>
      <c r="G59" s="435"/>
      <c r="H59" s="436">
        <f>IF(ISERROR(SUM(H58:I58)/$H$19),"",(SUM(H58:I58)/$H$19))</f>
        <v>0</v>
      </c>
      <c r="I59" s="437"/>
      <c r="J59" s="434" t="s">
        <v>322</v>
      </c>
      <c r="K59" s="435"/>
      <c r="L59" s="115">
        <f>IF(ISERROR(L58/$H$19),"",(L58/$H$19))</f>
        <v>4.1800006209059015</v>
      </c>
      <c r="M59" s="116">
        <f>IF(ISERROR(M58/$H$19),"",(M58/$H$19))</f>
        <v>1.3933335403019671</v>
      </c>
      <c r="N59" s="194">
        <f>N58*H19</f>
        <v>6732.0990000000002</v>
      </c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 t="e">
        <f>SUM(N63:N132)</f>
        <v>#VALUE!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322"/>
      <c r="F63" s="324"/>
      <c r="G63" s="322"/>
      <c r="H63" s="323"/>
      <c r="I63" s="323"/>
      <c r="J63" s="324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10</v>
      </c>
      <c r="C64" s="236" t="s">
        <v>22</v>
      </c>
      <c r="D64" s="236"/>
      <c r="E64" s="322"/>
      <c r="F64" s="324"/>
      <c r="G64" s="322"/>
      <c r="H64" s="323"/>
      <c r="I64" s="323"/>
      <c r="J64" s="324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23</v>
      </c>
      <c r="E65" s="322"/>
      <c r="F65" s="324"/>
      <c r="G65" s="322" t="s">
        <v>851</v>
      </c>
      <c r="H65" s="323"/>
      <c r="I65" s="323"/>
      <c r="J65" s="324"/>
      <c r="K65" s="239">
        <v>0.3125</v>
      </c>
      <c r="L65" s="239">
        <v>0.375</v>
      </c>
      <c r="M65" s="236" t="s">
        <v>339</v>
      </c>
      <c r="N65" s="237">
        <f t="shared" si="2"/>
        <v>6.25E-2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322"/>
      <c r="F66" s="324"/>
      <c r="G66" s="322" t="s">
        <v>1067</v>
      </c>
      <c r="H66" s="323"/>
      <c r="I66" s="323"/>
      <c r="J66" s="324"/>
      <c r="K66" s="239">
        <v>0.3125</v>
      </c>
      <c r="L66" s="239">
        <v>0.35416666666666669</v>
      </c>
      <c r="M66" s="236" t="s">
        <v>339</v>
      </c>
      <c r="N66" s="237">
        <f t="shared" si="2"/>
        <v>4.1666666666666685E-2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20</v>
      </c>
      <c r="E67" s="322"/>
      <c r="F67" s="324"/>
      <c r="G67" s="322" t="s">
        <v>938</v>
      </c>
      <c r="H67" s="323"/>
      <c r="I67" s="323"/>
      <c r="J67" s="324"/>
      <c r="K67" s="238">
        <v>0.2986111111111111</v>
      </c>
      <c r="L67" s="238">
        <v>0.3611111111111111</v>
      </c>
      <c r="M67" s="236" t="s">
        <v>339</v>
      </c>
      <c r="N67" s="237">
        <f t="shared" si="2"/>
        <v>6.25E-2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26</v>
      </c>
      <c r="E68" s="322"/>
      <c r="F68" s="324"/>
      <c r="G68" s="322" t="s">
        <v>338</v>
      </c>
      <c r="H68" s="323"/>
      <c r="I68" s="323"/>
      <c r="J68" s="324"/>
      <c r="K68" s="239">
        <v>0.29166666666666669</v>
      </c>
      <c r="L68" s="239">
        <v>0.3611111111111111</v>
      </c>
      <c r="M68" s="236" t="s">
        <v>339</v>
      </c>
      <c r="N68" s="237">
        <f t="shared" si="2"/>
        <v>6.944444444444442E-2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322"/>
      <c r="F69" s="324"/>
      <c r="G69" s="322" t="s">
        <v>338</v>
      </c>
      <c r="H69" s="323"/>
      <c r="I69" s="323"/>
      <c r="J69" s="324"/>
      <c r="K69" s="239">
        <v>0.47916666666666669</v>
      </c>
      <c r="L69" s="239">
        <v>0.5</v>
      </c>
      <c r="M69" s="236" t="s">
        <v>339</v>
      </c>
      <c r="N69" s="237">
        <f t="shared" si="2"/>
        <v>2.0833333333333315E-2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322"/>
      <c r="F70" s="324"/>
      <c r="H70" t="s">
        <v>338</v>
      </c>
      <c r="K70" s="239">
        <v>0.53472222222222221</v>
      </c>
      <c r="L70" s="239">
        <v>0.59722222222222221</v>
      </c>
      <c r="M70" s="236" t="s">
        <v>339</v>
      </c>
      <c r="N70" s="237">
        <f t="shared" si="2"/>
        <v>6.25E-2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26</v>
      </c>
      <c r="E71" s="322"/>
      <c r="F71" s="324"/>
      <c r="G71" s="322" t="s">
        <v>851</v>
      </c>
      <c r="H71" s="323"/>
      <c r="I71" s="323"/>
      <c r="J71" s="324"/>
      <c r="K71" s="239">
        <v>0.4513888888888889</v>
      </c>
      <c r="L71" s="239">
        <v>0.47222222222222227</v>
      </c>
      <c r="M71" s="236" t="s">
        <v>339</v>
      </c>
      <c r="N71" s="237">
        <f t="shared" si="2"/>
        <v>2.083333333333337E-2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23</v>
      </c>
      <c r="E72" s="322"/>
      <c r="F72" s="324"/>
      <c r="G72" s="322" t="s">
        <v>1068</v>
      </c>
      <c r="H72" s="323"/>
      <c r="I72" s="323"/>
      <c r="J72" s="324"/>
      <c r="K72" s="239">
        <v>0.375</v>
      </c>
      <c r="L72" s="239" t="s">
        <v>1069</v>
      </c>
      <c r="M72" s="236" t="s">
        <v>339</v>
      </c>
      <c r="N72" s="237" t="e">
        <f t="shared" si="2"/>
        <v>#VALUE!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23</v>
      </c>
      <c r="E73" s="322"/>
      <c r="F73" s="324"/>
      <c r="G73" s="322" t="s">
        <v>338</v>
      </c>
      <c r="H73" s="323"/>
      <c r="I73" s="323"/>
      <c r="J73" s="324"/>
      <c r="K73" s="239">
        <v>0.50694444444444442</v>
      </c>
      <c r="L73" s="239">
        <v>0.54861111111111105</v>
      </c>
      <c r="M73" s="236" t="s">
        <v>339</v>
      </c>
      <c r="N73" s="237">
        <f t="shared" si="2"/>
        <v>4.166666666666663E-2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322"/>
      <c r="F74" s="324"/>
      <c r="G74" s="322"/>
      <c r="H74" s="323"/>
      <c r="I74" s="323"/>
      <c r="J74" s="324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322"/>
      <c r="F75" s="324"/>
      <c r="G75" s="322"/>
      <c r="H75" s="323"/>
      <c r="I75" s="323"/>
      <c r="J75" s="324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 t="s">
        <v>14</v>
      </c>
      <c r="C76" s="236" t="s">
        <v>25</v>
      </c>
      <c r="D76" s="236" t="s">
        <v>26</v>
      </c>
      <c r="E76" s="322"/>
      <c r="F76" s="324"/>
      <c r="G76" s="322" t="s">
        <v>1047</v>
      </c>
      <c r="H76" s="323"/>
      <c r="I76" s="323"/>
      <c r="J76" s="324"/>
      <c r="K76" s="239">
        <v>0.63194444444444442</v>
      </c>
      <c r="L76" s="239">
        <v>0.66666666666666663</v>
      </c>
      <c r="M76" s="236" t="s">
        <v>9</v>
      </c>
      <c r="N76" s="237">
        <f t="shared" si="2"/>
        <v>3.472222222222221E-2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322"/>
      <c r="F77" s="324"/>
      <c r="G77" s="322"/>
      <c r="H77" s="323"/>
      <c r="I77" s="323"/>
      <c r="J77" s="324"/>
      <c r="K77" s="238">
        <v>0.69444444444444453</v>
      </c>
      <c r="L77" s="238">
        <v>0.76388888888888884</v>
      </c>
      <c r="M77" s="236" t="s">
        <v>9</v>
      </c>
      <c r="N77" s="237">
        <f t="shared" si="2"/>
        <v>6.9444444444444309E-2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/>
      <c r="H78" s="323"/>
      <c r="I78" s="323"/>
      <c r="J78" s="324"/>
      <c r="K78" s="239">
        <v>0.80555555555555547</v>
      </c>
      <c r="L78" s="239">
        <v>0.83333333333333337</v>
      </c>
      <c r="M78" s="236" t="s">
        <v>9</v>
      </c>
      <c r="N78" s="237">
        <f t="shared" si="2"/>
        <v>2.7777777777777901E-2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29</v>
      </c>
      <c r="E79" s="322" t="s">
        <v>108</v>
      </c>
      <c r="F79" s="324"/>
      <c r="G79" s="322" t="s">
        <v>1070</v>
      </c>
      <c r="H79" s="323"/>
      <c r="I79" s="323"/>
      <c r="J79" s="324"/>
      <c r="K79" s="239">
        <v>0.81944444444444453</v>
      </c>
      <c r="L79" s="239">
        <v>0.84722222222222221</v>
      </c>
      <c r="M79" s="236" t="s">
        <v>9</v>
      </c>
      <c r="N79" s="237">
        <f t="shared" si="2"/>
        <v>2.7777777777777679E-2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322"/>
      <c r="F80" s="324"/>
      <c r="G80" s="322"/>
      <c r="H80" s="323"/>
      <c r="I80" s="323"/>
      <c r="J80" s="324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 t="s">
        <v>17</v>
      </c>
      <c r="C81" s="236" t="s">
        <v>28</v>
      </c>
      <c r="D81" s="236" t="s">
        <v>11</v>
      </c>
      <c r="E81" s="322"/>
      <c r="F81" s="324"/>
      <c r="G81" s="322" t="s">
        <v>1071</v>
      </c>
      <c r="H81" s="323"/>
      <c r="I81" s="323"/>
      <c r="J81" s="324"/>
      <c r="K81" s="239">
        <v>4.1666666666666664E-2</v>
      </c>
      <c r="L81" s="239"/>
      <c r="M81" s="236" t="s">
        <v>9</v>
      </c>
      <c r="N81" s="237">
        <f t="shared" si="2"/>
        <v>0.95833333333333337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 t="s">
        <v>11</v>
      </c>
      <c r="E82" s="322"/>
      <c r="F82" s="324"/>
      <c r="G82" s="322" t="s">
        <v>1072</v>
      </c>
      <c r="H82" s="323"/>
      <c r="I82" s="323"/>
      <c r="J82" s="324"/>
      <c r="K82" s="239">
        <v>9.0277777777777776E-2</v>
      </c>
      <c r="L82" s="239">
        <v>0.11458333333333333</v>
      </c>
      <c r="M82" s="236" t="s">
        <v>9</v>
      </c>
      <c r="N82" s="237">
        <f t="shared" si="2"/>
        <v>2.4305555555555552E-2</v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 t="s">
        <v>26</v>
      </c>
      <c r="E83" s="322"/>
      <c r="F83" s="324"/>
      <c r="G83" s="322" t="s">
        <v>1014</v>
      </c>
      <c r="H83" s="323"/>
      <c r="I83" s="323"/>
      <c r="J83" s="324"/>
      <c r="K83" s="239">
        <v>0.94444444444444453</v>
      </c>
      <c r="L83" s="239">
        <v>0.97222222222222221</v>
      </c>
      <c r="M83" s="236" t="s">
        <v>9</v>
      </c>
      <c r="N83" s="237">
        <f t="shared" si="2"/>
        <v>2.7777777777777679E-2</v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 t="s">
        <v>345</v>
      </c>
      <c r="D136" s="481"/>
      <c r="E136" s="463" t="s">
        <v>1073</v>
      </c>
      <c r="F136" s="464"/>
      <c r="G136" s="452"/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/>
      <c r="D137" s="479"/>
      <c r="E137" s="463" t="s">
        <v>347</v>
      </c>
      <c r="F137" s="464"/>
      <c r="G137" s="452" t="s">
        <v>438</v>
      </c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35"/>
      <c r="E143" s="335"/>
      <c r="F143" s="335"/>
      <c r="G143" s="336"/>
      <c r="H143" s="336"/>
      <c r="I143" s="336"/>
      <c r="J143" s="336"/>
      <c r="K143" s="336"/>
      <c r="L143" s="335"/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 t="s">
        <v>255</v>
      </c>
      <c r="C144" s="215" t="s">
        <v>376</v>
      </c>
      <c r="D144" s="335" t="s">
        <v>1074</v>
      </c>
      <c r="E144" s="335"/>
      <c r="F144" s="335"/>
      <c r="G144" s="336" t="s">
        <v>357</v>
      </c>
      <c r="H144" s="336"/>
      <c r="I144" s="336"/>
      <c r="J144" s="336" t="s">
        <v>1075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 t="s">
        <v>378</v>
      </c>
      <c r="D145" s="335" t="s">
        <v>1076</v>
      </c>
      <c r="E145" s="335"/>
      <c r="F145" s="335"/>
      <c r="G145" s="336" t="s">
        <v>367</v>
      </c>
      <c r="H145" s="336"/>
      <c r="I145" s="336"/>
      <c r="J145" s="336">
        <v>47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12</v>
      </c>
      <c r="D146" s="335" t="s">
        <v>1077</v>
      </c>
      <c r="E146" s="335"/>
      <c r="F146" s="335"/>
      <c r="G146" s="336" t="s">
        <v>372</v>
      </c>
      <c r="H146" s="336"/>
      <c r="I146" s="336"/>
      <c r="J146" s="336">
        <v>40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13</v>
      </c>
      <c r="D147" s="335" t="s">
        <v>1078</v>
      </c>
      <c r="E147" s="335"/>
      <c r="F147" s="335"/>
      <c r="G147" s="336" t="s">
        <v>382</v>
      </c>
      <c r="H147" s="336"/>
      <c r="I147" s="336"/>
      <c r="J147" s="336">
        <v>27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17</v>
      </c>
      <c r="D148" s="335" t="s">
        <v>1079</v>
      </c>
      <c r="E148" s="335"/>
      <c r="F148" s="335"/>
      <c r="G148" s="336" t="s">
        <v>587</v>
      </c>
      <c r="H148" s="336"/>
      <c r="I148" s="336"/>
      <c r="J148" s="336">
        <v>13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18</v>
      </c>
      <c r="D149" s="335" t="s">
        <v>1080</v>
      </c>
      <c r="E149" s="335"/>
      <c r="F149" s="335"/>
      <c r="G149" s="336" t="s">
        <v>357</v>
      </c>
      <c r="H149" s="336"/>
      <c r="I149" s="336"/>
      <c r="J149" s="336">
        <v>23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35" t="s">
        <v>1081</v>
      </c>
      <c r="E150" s="335"/>
      <c r="F150" s="335"/>
      <c r="G150" s="336" t="s">
        <v>365</v>
      </c>
      <c r="H150" s="336"/>
      <c r="I150" s="336"/>
      <c r="J150" s="336">
        <v>3260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8</v>
      </c>
      <c r="D151" s="335" t="s">
        <v>1074</v>
      </c>
      <c r="E151" s="335"/>
      <c r="F151" s="335"/>
      <c r="G151" s="336" t="s">
        <v>962</v>
      </c>
      <c r="H151" s="336"/>
      <c r="I151" s="336"/>
      <c r="J151" s="336">
        <v>100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14</v>
      </c>
      <c r="D152" s="335" t="s">
        <v>1082</v>
      </c>
      <c r="E152" s="335"/>
      <c r="F152" s="335"/>
      <c r="G152" s="336" t="s">
        <v>456</v>
      </c>
      <c r="H152" s="336"/>
      <c r="I152" s="336"/>
      <c r="J152" s="336">
        <v>32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35"/>
      <c r="E153" s="335"/>
      <c r="F153" s="335"/>
      <c r="G153" s="336"/>
      <c r="H153" s="336"/>
      <c r="I153" s="336"/>
      <c r="J153" s="336"/>
      <c r="K153" s="336"/>
      <c r="L153" s="335"/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35"/>
      <c r="E154" s="335"/>
      <c r="F154" s="335"/>
      <c r="G154" s="336"/>
      <c r="H154" s="336"/>
      <c r="I154" s="336"/>
      <c r="J154" s="336"/>
      <c r="K154" s="336"/>
      <c r="L154" s="335"/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 t="s">
        <v>261</v>
      </c>
      <c r="C155" s="215">
        <v>12</v>
      </c>
      <c r="D155" s="335" t="s">
        <v>1083</v>
      </c>
      <c r="E155" s="335"/>
      <c r="F155" s="335"/>
      <c r="G155" s="336" t="s">
        <v>1084</v>
      </c>
      <c r="H155" s="336"/>
      <c r="I155" s="336"/>
      <c r="J155" s="336">
        <v>57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9</v>
      </c>
      <c r="D156" s="335" t="s">
        <v>1083</v>
      </c>
      <c r="E156" s="335"/>
      <c r="F156" s="335"/>
      <c r="G156" s="336" t="s">
        <v>367</v>
      </c>
      <c r="H156" s="336"/>
      <c r="I156" s="336"/>
      <c r="J156" s="336">
        <v>29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22</v>
      </c>
      <c r="D157" s="335" t="s">
        <v>1085</v>
      </c>
      <c r="E157" s="335"/>
      <c r="F157" s="335"/>
      <c r="G157" s="336" t="s">
        <v>630</v>
      </c>
      <c r="H157" s="336"/>
      <c r="I157" s="336"/>
      <c r="J157" s="336">
        <v>1662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13</v>
      </c>
      <c r="D158" s="335" t="s">
        <v>1086</v>
      </c>
      <c r="E158" s="335"/>
      <c r="F158" s="335"/>
      <c r="G158" s="336" t="s">
        <v>359</v>
      </c>
      <c r="H158" s="336"/>
      <c r="I158" s="336"/>
      <c r="J158" s="336">
        <v>47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18</v>
      </c>
      <c r="D159" s="335" t="s">
        <v>1087</v>
      </c>
      <c r="E159" s="335"/>
      <c r="F159" s="335"/>
      <c r="G159" s="336" t="s">
        <v>359</v>
      </c>
      <c r="H159" s="336"/>
      <c r="I159" s="336"/>
      <c r="J159" s="336">
        <v>22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19</v>
      </c>
      <c r="D160" s="335" t="s">
        <v>1088</v>
      </c>
      <c r="E160" s="335"/>
      <c r="F160" s="335"/>
      <c r="G160" s="336" t="s">
        <v>502</v>
      </c>
      <c r="H160" s="336"/>
      <c r="I160" s="336"/>
      <c r="J160" s="336">
        <v>17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12</v>
      </c>
      <c r="D161" s="335" t="s">
        <v>1089</v>
      </c>
      <c r="E161" s="335"/>
      <c r="F161" s="335"/>
      <c r="G161" s="336" t="s">
        <v>372</v>
      </c>
      <c r="H161" s="336"/>
      <c r="I161" s="336"/>
      <c r="J161" s="336">
        <v>56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 t="s">
        <v>376</v>
      </c>
      <c r="D162" s="335" t="s">
        <v>1090</v>
      </c>
      <c r="E162" s="335"/>
      <c r="F162" s="335"/>
      <c r="G162" s="336" t="s">
        <v>357</v>
      </c>
      <c r="H162" s="336"/>
      <c r="I162" s="336"/>
      <c r="J162" s="336">
        <v>28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35"/>
      <c r="E163" s="335"/>
      <c r="F163" s="335"/>
      <c r="G163" s="336"/>
      <c r="H163" s="336"/>
      <c r="I163" s="336"/>
      <c r="J163" s="336"/>
      <c r="K163" s="336"/>
      <c r="L163" s="335"/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 t="s">
        <v>267</v>
      </c>
      <c r="C164" s="215">
        <v>9</v>
      </c>
      <c r="D164" s="335" t="s">
        <v>1091</v>
      </c>
      <c r="E164" s="335"/>
      <c r="F164" s="335"/>
      <c r="G164" s="336" t="s">
        <v>367</v>
      </c>
      <c r="H164" s="336"/>
      <c r="I164" s="336"/>
      <c r="J164" s="336">
        <v>35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3</v>
      </c>
      <c r="D165" s="335" t="s">
        <v>1092</v>
      </c>
      <c r="E165" s="335"/>
      <c r="F165" s="335"/>
      <c r="G165" s="336" t="s">
        <v>357</v>
      </c>
      <c r="H165" s="336"/>
      <c r="I165" s="336"/>
      <c r="J165" s="336">
        <v>28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12</v>
      </c>
      <c r="D166" s="335" t="s">
        <v>1093</v>
      </c>
      <c r="E166" s="335"/>
      <c r="F166" s="335"/>
      <c r="G166" s="336" t="s">
        <v>372</v>
      </c>
      <c r="H166" s="336"/>
      <c r="I166" s="336"/>
      <c r="J166" s="336" t="s">
        <v>1094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>
        <v>19</v>
      </c>
      <c r="D167" s="335" t="s">
        <v>1095</v>
      </c>
      <c r="E167" s="335"/>
      <c r="F167" s="335"/>
      <c r="G167" s="336" t="s">
        <v>502</v>
      </c>
      <c r="H167" s="336"/>
      <c r="I167" s="336"/>
      <c r="J167" s="336">
        <v>16</v>
      </c>
      <c r="K167" s="336"/>
      <c r="L167" s="335" t="s">
        <v>355</v>
      </c>
      <c r="M167" s="335"/>
    </row>
    <row r="168" spans="1:18" ht="14.25" x14ac:dyDescent="0.2">
      <c r="B168" s="216"/>
      <c r="C168" s="215">
        <v>13</v>
      </c>
      <c r="D168" s="335" t="s">
        <v>1096</v>
      </c>
      <c r="E168" s="335"/>
      <c r="F168" s="335"/>
      <c r="G168" s="336" t="s">
        <v>359</v>
      </c>
      <c r="H168" s="336"/>
      <c r="I168" s="336"/>
      <c r="J168" s="336">
        <v>47</v>
      </c>
      <c r="K168" s="336"/>
      <c r="L168" s="335" t="s">
        <v>355</v>
      </c>
      <c r="M168" s="335"/>
    </row>
    <row r="169" spans="1:18" ht="14.25" x14ac:dyDescent="0.2">
      <c r="B169" s="216"/>
      <c r="C169" s="215">
        <v>17</v>
      </c>
      <c r="D169" s="335" t="s">
        <v>1097</v>
      </c>
      <c r="E169" s="335"/>
      <c r="F169" s="335"/>
      <c r="G169" s="336" t="s">
        <v>587</v>
      </c>
      <c r="H169" s="336"/>
      <c r="I169" s="336"/>
      <c r="J169" s="336">
        <v>16</v>
      </c>
      <c r="K169" s="336"/>
      <c r="L169" s="335" t="s">
        <v>355</v>
      </c>
      <c r="M169" s="335"/>
    </row>
    <row r="170" spans="1:18" ht="14.25" x14ac:dyDescent="0.2">
      <c r="B170" s="216"/>
      <c r="C170" s="215"/>
      <c r="D170" s="335"/>
      <c r="E170" s="335"/>
      <c r="F170" s="335"/>
      <c r="G170" s="336"/>
      <c r="H170" s="336"/>
      <c r="I170" s="336"/>
      <c r="J170" s="336"/>
      <c r="K170" s="336"/>
      <c r="L170" s="335">
        <v>3</v>
      </c>
      <c r="M170" s="335"/>
    </row>
    <row r="171" spans="1:18" ht="14.25" x14ac:dyDescent="0.2">
      <c r="B171" s="216"/>
      <c r="C171" s="215"/>
      <c r="D171" s="337"/>
      <c r="E171" s="338"/>
      <c r="F171" s="339"/>
      <c r="G171" s="336"/>
      <c r="H171" s="336"/>
      <c r="I171" s="336"/>
      <c r="J171" s="336"/>
      <c r="K171" s="336"/>
      <c r="L171" s="335"/>
      <c r="M171" s="335"/>
    </row>
    <row r="172" spans="1:18" ht="14.25" x14ac:dyDescent="0.2">
      <c r="B172" s="216"/>
      <c r="C172" s="215"/>
      <c r="D172" s="335"/>
      <c r="E172" s="335"/>
      <c r="F172" s="335"/>
      <c r="G172" s="336"/>
      <c r="H172" s="336"/>
      <c r="I172" s="336"/>
      <c r="J172" s="336"/>
      <c r="K172" s="336"/>
      <c r="L172" s="335"/>
      <c r="M172" s="335"/>
    </row>
    <row r="173" spans="1:18" ht="14.25" x14ac:dyDescent="0.2">
      <c r="B173" s="216"/>
      <c r="C173" s="215"/>
      <c r="D173" s="335"/>
      <c r="E173" s="335"/>
      <c r="F173" s="335"/>
      <c r="G173" s="336"/>
      <c r="H173" s="336"/>
      <c r="I173" s="336"/>
      <c r="J173" s="336"/>
      <c r="K173" s="336"/>
      <c r="L173" s="335"/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051B229B-89A8-4606-B4B4-F28A2ED84DA1}">
      <formula1>INDIRECT(D63)</formula1>
    </dataValidation>
  </dataValidations>
  <hyperlinks>
    <hyperlink ref="J14:L15" location="Summary!A1" display="MTD Summary " xr:uid="{D9507B4F-EDCB-4CCC-824C-C9F8A7A3AFDF}"/>
    <hyperlink ref="J16:L17" location="Graph!A1" display="MTD Trendings" xr:uid="{212DF1B3-D1CA-4004-996F-DB11163DE84C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04EBBCB-C3E5-4A54-8B85-288BA01E8DB0}">
          <x14:formula1>
            <xm:f>Sheet3!$B$3:$B$5</xm:f>
          </x14:formula1>
          <xm:sqref>B143:B165 B132</xm:sqref>
        </x14:dataValidation>
        <x14:dataValidation type="list" allowBlank="1" showInputMessage="1" xr:uid="{D6638854-8F31-49FE-8347-60DA2023CA7D}">
          <x14:formula1>
            <xm:f>Sheet3!$D$3:$D$11</xm:f>
          </x14:formula1>
          <xm:sqref>C132</xm:sqref>
        </x14:dataValidation>
        <x14:dataValidation type="list" allowBlank="1" showInputMessage="1" showErrorMessage="1" xr:uid="{7A3A4C8D-8802-48EC-ABA1-6D2C0B0022DD}">
          <x14:formula1>
            <xm:f>Sheet3!$C$3:$C$4</xm:f>
          </x14:formula1>
          <xm:sqref>M63:M132</xm:sqref>
        </x14:dataValidation>
        <x14:dataValidation type="list" allowBlank="1" showInputMessage="1" showErrorMessage="1" xr:uid="{60D1ED12-B8B6-418F-82C6-2DE659083511}">
          <x14:formula1>
            <xm:f>List!$B$5:$B$8</xm:f>
          </x14:formula1>
          <xm:sqref>B63:B131</xm:sqref>
        </x14:dataValidation>
        <x14:dataValidation type="list" allowBlank="1" showInputMessage="1" showErrorMessage="1" xr:uid="{A60E9C42-E83F-4CA9-9258-AAEC9ABE656B}">
          <x14:formula1>
            <xm:f>List!$B$10:$B$12</xm:f>
          </x14:formula1>
          <xm:sqref>C63:C131</xm:sqref>
        </x14:dataValidation>
        <x14:dataValidation type="list" allowBlank="1" showInputMessage="1" showErrorMessage="1" xr:uid="{1DAEEB0B-491D-4927-B179-54DF0AADF0D6}">
          <x14:formula1>
            <xm:f>List!$C$5:$C$14</xm:f>
          </x14:formula1>
          <xm:sqref>D63:D131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D1C6-7CEB-4916-868A-8CB8003051CF}">
  <sheetPr>
    <pageSetUpPr fitToPage="1"/>
  </sheetPr>
  <dimension ref="A1:R188"/>
  <sheetViews>
    <sheetView showGridLines="0" view="pageBreakPreview" topLeftCell="A22" zoomScale="80" zoomScaleNormal="90" zoomScaleSheetLayoutView="80" zoomScalePageLayoutView="80" workbookViewId="0">
      <selection activeCell="M59" sqref="M59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22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1680.49</v>
      </c>
      <c r="K6" s="420"/>
      <c r="L6" s="420">
        <f ca="1">Summary!G29</f>
        <v>1487.2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130</v>
      </c>
      <c r="E7" s="84">
        <v>60</v>
      </c>
      <c r="F7" s="395">
        <v>40</v>
      </c>
      <c r="G7" s="396"/>
      <c r="H7" s="374">
        <f>SUM(D7:D10)</f>
        <v>550.22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120</v>
      </c>
      <c r="E8" s="86">
        <v>60</v>
      </c>
      <c r="F8" s="397">
        <v>40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150</v>
      </c>
      <c r="E9" s="86">
        <v>60</v>
      </c>
      <c r="F9" s="397">
        <v>40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150.22</v>
      </c>
      <c r="E10" s="88">
        <v>60</v>
      </c>
      <c r="F10" s="399">
        <v>40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130</v>
      </c>
      <c r="E11" s="90">
        <v>70</v>
      </c>
      <c r="F11" s="386">
        <v>40</v>
      </c>
      <c r="G11" s="387"/>
      <c r="H11" s="388">
        <f>SUM(D11:D14)</f>
        <v>590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160</v>
      </c>
      <c r="E12" s="92">
        <v>70</v>
      </c>
      <c r="F12" s="391">
        <v>40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150</v>
      </c>
      <c r="E13" s="92">
        <v>70</v>
      </c>
      <c r="F13" s="391">
        <v>40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150</v>
      </c>
      <c r="E14" s="94">
        <v>70</v>
      </c>
      <c r="F14" s="393">
        <v>40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130</v>
      </c>
      <c r="E15" s="96">
        <v>70</v>
      </c>
      <c r="F15" s="372">
        <v>40</v>
      </c>
      <c r="G15" s="373"/>
      <c r="H15" s="374">
        <f>SUM(D15:D18)</f>
        <v>540.27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130</v>
      </c>
      <c r="E16" s="98">
        <v>70</v>
      </c>
      <c r="F16" s="401">
        <v>40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130</v>
      </c>
      <c r="E17" s="98">
        <v>70</v>
      </c>
      <c r="F17" s="401">
        <v>40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150.27000000000001</v>
      </c>
      <c r="E18" s="100">
        <v>70</v>
      </c>
      <c r="F18" s="404">
        <v>40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1680.49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6</v>
      </c>
      <c r="D25" s="102">
        <v>80</v>
      </c>
      <c r="E25" s="56">
        <v>6</v>
      </c>
      <c r="F25" s="107">
        <v>60</v>
      </c>
      <c r="G25" s="410">
        <v>7</v>
      </c>
      <c r="H25" s="411"/>
      <c r="I25" s="111">
        <v>100</v>
      </c>
      <c r="J25" s="38">
        <f t="shared" ref="J25:J40" si="0">C25+E25+G25</f>
        <v>19</v>
      </c>
      <c r="K25" s="412">
        <f>D25+F25+I25</f>
        <v>240</v>
      </c>
      <c r="L25" s="413"/>
      <c r="M25" s="2"/>
    </row>
    <row r="26" spans="2:14" ht="14.1" customHeight="1" x14ac:dyDescent="0.2">
      <c r="B26" s="80" t="s">
        <v>281</v>
      </c>
      <c r="C26" s="45">
        <v>6</v>
      </c>
      <c r="D26" s="103">
        <v>126</v>
      </c>
      <c r="E26" s="57">
        <v>4</v>
      </c>
      <c r="F26" s="108">
        <v>132</v>
      </c>
      <c r="G26" s="406">
        <v>5</v>
      </c>
      <c r="H26" s="407"/>
      <c r="I26" s="112">
        <v>92</v>
      </c>
      <c r="J26" s="25">
        <f t="shared" si="0"/>
        <v>15</v>
      </c>
      <c r="K26" s="408">
        <f t="shared" ref="K26:K39" si="1">D26+F26+I26</f>
        <v>350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154</v>
      </c>
      <c r="E27" s="57"/>
      <c r="F27" s="108">
        <v>171</v>
      </c>
      <c r="G27" s="406"/>
      <c r="H27" s="407"/>
      <c r="I27" s="112">
        <v>162</v>
      </c>
      <c r="J27" s="25">
        <f t="shared" si="0"/>
        <v>0</v>
      </c>
      <c r="K27" s="408">
        <f t="shared" si="1"/>
        <v>487</v>
      </c>
      <c r="L27" s="409"/>
      <c r="M27" s="2"/>
    </row>
    <row r="28" spans="2:14" ht="14.1" customHeight="1" x14ac:dyDescent="0.2">
      <c r="B28" s="80" t="s">
        <v>283</v>
      </c>
      <c r="C28" s="45">
        <v>6</v>
      </c>
      <c r="D28" s="103"/>
      <c r="E28" s="57">
        <v>5</v>
      </c>
      <c r="F28" s="108"/>
      <c r="G28" s="406">
        <v>5</v>
      </c>
      <c r="H28" s="407"/>
      <c r="I28" s="112"/>
      <c r="J28" s="25">
        <f t="shared" si="0"/>
        <v>16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4</v>
      </c>
      <c r="D29" s="103"/>
      <c r="E29" s="57">
        <v>3</v>
      </c>
      <c r="F29" s="108"/>
      <c r="G29" s="406">
        <v>3</v>
      </c>
      <c r="H29" s="407"/>
      <c r="I29" s="112"/>
      <c r="J29" s="25">
        <f t="shared" si="0"/>
        <v>10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>
        <v>1</v>
      </c>
      <c r="D30" s="103">
        <v>23.05</v>
      </c>
      <c r="E30" s="57">
        <v>2</v>
      </c>
      <c r="F30" s="108"/>
      <c r="G30" s="406"/>
      <c r="H30" s="407"/>
      <c r="I30" s="112"/>
      <c r="J30" s="25">
        <f t="shared" si="0"/>
        <v>3</v>
      </c>
      <c r="K30" s="408">
        <f t="shared" si="1"/>
        <v>23.05</v>
      </c>
      <c r="L30" s="409"/>
    </row>
    <row r="31" spans="2:14" ht="14.1" customHeight="1" x14ac:dyDescent="0.2">
      <c r="B31" s="80" t="s">
        <v>286</v>
      </c>
      <c r="C31" s="45">
        <v>2</v>
      </c>
      <c r="D31" s="103"/>
      <c r="E31" s="57">
        <v>3</v>
      </c>
      <c r="F31" s="108"/>
      <c r="G31" s="406">
        <v>3</v>
      </c>
      <c r="H31" s="407"/>
      <c r="I31" s="112"/>
      <c r="J31" s="25">
        <f t="shared" si="0"/>
        <v>8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/>
      <c r="D32" s="103"/>
      <c r="E32" s="57"/>
      <c r="F32" s="108"/>
      <c r="G32" s="406"/>
      <c r="H32" s="407"/>
      <c r="I32" s="112"/>
      <c r="J32" s="25">
        <f t="shared" si="0"/>
        <v>0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/>
      <c r="G33" s="406"/>
      <c r="H33" s="407"/>
      <c r="I33" s="112"/>
      <c r="J33" s="25">
        <f t="shared" si="0"/>
        <v>0</v>
      </c>
      <c r="K33" s="408">
        <f t="shared" si="1"/>
        <v>0</v>
      </c>
      <c r="L33" s="409"/>
    </row>
    <row r="34" spans="1:16" ht="14.1" customHeight="1" x14ac:dyDescent="0.2">
      <c r="B34" s="80" t="s">
        <v>289</v>
      </c>
      <c r="C34" s="45"/>
      <c r="D34" s="103"/>
      <c r="E34" s="57"/>
      <c r="F34" s="108"/>
      <c r="G34" s="406"/>
      <c r="H34" s="407"/>
      <c r="I34" s="112"/>
      <c r="J34" s="25">
        <f t="shared" si="0"/>
        <v>0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>
        <v>15.95</v>
      </c>
      <c r="G35" s="406"/>
      <c r="H35" s="407"/>
      <c r="I35" s="112"/>
      <c r="J35" s="25">
        <f t="shared" si="0"/>
        <v>0</v>
      </c>
      <c r="K35" s="408">
        <f t="shared" si="1"/>
        <v>15.95</v>
      </c>
      <c r="L35" s="409"/>
    </row>
    <row r="36" spans="1:16" ht="14.1" customHeight="1" x14ac:dyDescent="0.2">
      <c r="B36" s="37" t="s">
        <v>291</v>
      </c>
      <c r="C36" s="55"/>
      <c r="D36" s="104"/>
      <c r="E36" s="58"/>
      <c r="F36" s="109"/>
      <c r="G36" s="406"/>
      <c r="H36" s="407"/>
      <c r="I36" s="113"/>
      <c r="J36" s="25">
        <f t="shared" si="0"/>
        <v>0</v>
      </c>
      <c r="K36" s="408">
        <f t="shared" si="1"/>
        <v>0</v>
      </c>
      <c r="L36" s="409"/>
    </row>
    <row r="37" spans="1:16" ht="14.1" customHeight="1" x14ac:dyDescent="0.2">
      <c r="B37" s="37" t="s">
        <v>292</v>
      </c>
      <c r="C37" s="55"/>
      <c r="D37" s="104"/>
      <c r="E37" s="58"/>
      <c r="F37" s="109"/>
      <c r="G37" s="406"/>
      <c r="H37" s="407"/>
      <c r="I37" s="113"/>
      <c r="J37" s="25">
        <f t="shared" si="0"/>
        <v>0</v>
      </c>
      <c r="K37" s="408">
        <f t="shared" si="1"/>
        <v>0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v>120</v>
      </c>
      <c r="J38" s="25">
        <f t="shared" si="0"/>
        <v>0</v>
      </c>
      <c r="K38" s="408">
        <f t="shared" si="1"/>
        <v>120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165</v>
      </c>
      <c r="J39" s="25">
        <f t="shared" si="0"/>
        <v>0</v>
      </c>
      <c r="K39" s="408">
        <f t="shared" si="1"/>
        <v>165</v>
      </c>
      <c r="L39" s="409"/>
    </row>
    <row r="40" spans="1:16" ht="14.1" customHeight="1" thickBot="1" x14ac:dyDescent="0.25">
      <c r="B40" s="81" t="s">
        <v>295</v>
      </c>
      <c r="C40" s="47"/>
      <c r="D40" s="105">
        <v>86.4</v>
      </c>
      <c r="E40" s="59"/>
      <c r="F40" s="110">
        <v>64.8</v>
      </c>
      <c r="G40" s="473"/>
      <c r="H40" s="474"/>
      <c r="I40" s="114"/>
      <c r="J40" s="26">
        <f t="shared" si="0"/>
        <v>0</v>
      </c>
      <c r="K40" s="475">
        <f>D40+F40+I40</f>
        <v>151.19999999999999</v>
      </c>
      <c r="L40" s="476"/>
    </row>
    <row r="41" spans="1:16" ht="17.25" customHeight="1" x14ac:dyDescent="0.2">
      <c r="B41" s="15" t="s">
        <v>273</v>
      </c>
      <c r="C41" s="16">
        <f>SUM(C25:C40)</f>
        <v>25</v>
      </c>
      <c r="D41" s="106">
        <f>SUM(D25:D40)</f>
        <v>469.45000000000005</v>
      </c>
      <c r="E41" s="16">
        <f>SUM(E25:E40)</f>
        <v>23</v>
      </c>
      <c r="F41" s="106">
        <f>SUM(F25:F40)</f>
        <v>443.75</v>
      </c>
      <c r="G41" s="430">
        <f>SUM(G25:H40)</f>
        <v>23</v>
      </c>
      <c r="H41" s="430"/>
      <c r="I41" s="106">
        <f>SUM(I25:I40)</f>
        <v>639</v>
      </c>
      <c r="J41" s="16">
        <f>SUM(J25:J40)</f>
        <v>71</v>
      </c>
      <c r="K41" s="477">
        <f>SUM(K25:L40)</f>
        <v>1552.2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>
        <v>0</v>
      </c>
      <c r="D45" s="209">
        <v>0</v>
      </c>
      <c r="E45" s="209">
        <v>0.1</v>
      </c>
      <c r="F45" s="209">
        <v>0</v>
      </c>
      <c r="G45" s="471">
        <v>0</v>
      </c>
      <c r="H45" s="472"/>
      <c r="I45" s="209">
        <v>0</v>
      </c>
      <c r="J45" s="210">
        <v>0.1</v>
      </c>
      <c r="K45" s="209">
        <v>0.2</v>
      </c>
      <c r="L45" s="210">
        <v>0.1</v>
      </c>
      <c r="M45" s="211">
        <v>0.1</v>
      </c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5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5</v>
      </c>
      <c r="K46" s="40">
        <f>K45*50</f>
        <v>10</v>
      </c>
      <c r="L46" s="40">
        <f>L45*50</f>
        <v>5</v>
      </c>
      <c r="M46" s="79">
        <f>M45*50</f>
        <v>5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>
        <v>0</v>
      </c>
      <c r="D48" s="209">
        <v>0</v>
      </c>
      <c r="E48" s="209">
        <v>0</v>
      </c>
      <c r="F48" s="209">
        <v>0.3</v>
      </c>
      <c r="G48" s="442">
        <v>0</v>
      </c>
      <c r="H48" s="443"/>
      <c r="I48" s="209">
        <v>0.1</v>
      </c>
      <c r="J48" s="209">
        <v>0</v>
      </c>
      <c r="K48" s="209">
        <v>0</v>
      </c>
      <c r="L48" s="209">
        <v>1</v>
      </c>
      <c r="M48" s="211">
        <v>0.1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48</v>
      </c>
      <c r="G49" s="438">
        <f>G48*100</f>
        <v>0</v>
      </c>
      <c r="H49" s="439"/>
      <c r="I49" s="40">
        <f>I48*100</f>
        <v>10</v>
      </c>
      <c r="J49" s="40">
        <f>J48*150</f>
        <v>0</v>
      </c>
      <c r="K49" s="40">
        <f>K48*70</f>
        <v>0</v>
      </c>
      <c r="L49" s="40">
        <f>L48*70</f>
        <v>70</v>
      </c>
      <c r="M49" s="79">
        <f>M48*70</f>
        <v>7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0.1</v>
      </c>
      <c r="D51" s="213">
        <v>0</v>
      </c>
      <c r="E51" s="214">
        <v>0</v>
      </c>
      <c r="F51" s="209">
        <v>0</v>
      </c>
      <c r="G51" s="442">
        <v>0</v>
      </c>
      <c r="H51" s="443"/>
      <c r="I51" s="209">
        <v>0</v>
      </c>
      <c r="J51" s="209">
        <v>0.03</v>
      </c>
      <c r="K51" s="209">
        <v>0</v>
      </c>
      <c r="L51" s="209">
        <v>0.1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7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7.5</v>
      </c>
      <c r="K52" s="41">
        <f>K51*250</f>
        <v>0</v>
      </c>
      <c r="L52" s="41">
        <f>L51*250</f>
        <v>25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204.5</v>
      </c>
      <c r="F54" s="39" t="s">
        <v>309</v>
      </c>
      <c r="G54" s="188"/>
      <c r="H54" s="188"/>
      <c r="I54" s="30">
        <f>'21'!D54</f>
        <v>234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>
        <v>171700</v>
      </c>
      <c r="D58" s="60">
        <v>18670</v>
      </c>
      <c r="E58" s="124">
        <f>SUM(C58:D58)</f>
        <v>190370</v>
      </c>
      <c r="F58" s="425"/>
      <c r="G58" s="426"/>
      <c r="H58" s="60"/>
      <c r="I58" s="61"/>
      <c r="J58" s="422"/>
      <c r="K58" s="428"/>
      <c r="L58" s="60">
        <v>6862.5860000000002</v>
      </c>
      <c r="M58" s="61">
        <f>L58/3</f>
        <v>2287.5286666666666</v>
      </c>
      <c r="N58" s="288"/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113.28243548012782</v>
      </c>
      <c r="D59" s="432"/>
      <c r="E59" s="433"/>
      <c r="F59" s="434" t="s">
        <v>321</v>
      </c>
      <c r="G59" s="435"/>
      <c r="H59" s="436">
        <f>IF(ISERROR(SUM(H58:I58)/$H$19),"",(SUM(H58:I58)/$H$19))</f>
        <v>0</v>
      </c>
      <c r="I59" s="437"/>
      <c r="J59" s="434" t="s">
        <v>322</v>
      </c>
      <c r="K59" s="435"/>
      <c r="L59" s="115">
        <f>IF(ISERROR(L58/$H$19),"",(L58/$H$19))</f>
        <v>4.083681545263584</v>
      </c>
      <c r="M59" s="116">
        <f>IF(ISERROR(M58/$H$19),"",(M58/$H$19))</f>
        <v>1.3612271817545278</v>
      </c>
      <c r="N59" s="288"/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0.35416666666666641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322"/>
      <c r="F63" s="324"/>
      <c r="G63" s="322"/>
      <c r="H63" s="323"/>
      <c r="I63" s="323"/>
      <c r="J63" s="324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10</v>
      </c>
      <c r="C64" s="236" t="s">
        <v>22</v>
      </c>
      <c r="D64" s="236" t="s">
        <v>23</v>
      </c>
      <c r="E64" s="322"/>
      <c r="F64" s="324"/>
      <c r="G64" s="322" t="s">
        <v>338</v>
      </c>
      <c r="H64" s="323"/>
      <c r="I64" s="323"/>
      <c r="J64" s="324"/>
      <c r="K64" s="238">
        <v>0.34722222222222227</v>
      </c>
      <c r="L64" s="238">
        <v>0.39583333333333331</v>
      </c>
      <c r="M64" s="236" t="s">
        <v>9</v>
      </c>
      <c r="N64" s="237">
        <f t="shared" si="2"/>
        <v>4.8611111111111049E-2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322"/>
      <c r="F65" s="324"/>
      <c r="G65" s="322"/>
      <c r="H65" s="323"/>
      <c r="I65" s="323"/>
      <c r="J65" s="324"/>
      <c r="K65" s="239">
        <v>0.44444444444444442</v>
      </c>
      <c r="L65" s="239">
        <v>0.49305555555555558</v>
      </c>
      <c r="M65" s="236" t="s">
        <v>339</v>
      </c>
      <c r="N65" s="237">
        <f t="shared" si="2"/>
        <v>4.861111111111116E-2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15</v>
      </c>
      <c r="E66" s="322"/>
      <c r="F66" s="324"/>
      <c r="G66" s="322" t="s">
        <v>1098</v>
      </c>
      <c r="H66" s="323"/>
      <c r="I66" s="323"/>
      <c r="J66" s="324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322"/>
      <c r="F67" s="324"/>
      <c r="G67" s="322"/>
      <c r="H67" s="323"/>
      <c r="I67" s="323"/>
      <c r="J67" s="324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 t="s">
        <v>14</v>
      </c>
      <c r="C68" s="236" t="s">
        <v>25</v>
      </c>
      <c r="D68" s="236" t="s">
        <v>23</v>
      </c>
      <c r="E68" s="322"/>
      <c r="F68" s="324"/>
      <c r="G68" s="322" t="s">
        <v>1099</v>
      </c>
      <c r="H68" s="323"/>
      <c r="I68" s="323"/>
      <c r="J68" s="324"/>
      <c r="K68" s="239">
        <v>0.63888888888888895</v>
      </c>
      <c r="L68" s="239">
        <v>0.68055555555555547</v>
      </c>
      <c r="M68" s="236" t="s">
        <v>9</v>
      </c>
      <c r="N68" s="237">
        <f t="shared" si="2"/>
        <v>4.1666666666666519E-2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322"/>
      <c r="F69" s="324"/>
      <c r="G69" s="322"/>
      <c r="H69" s="323"/>
      <c r="I69" s="323"/>
      <c r="J69" s="324"/>
      <c r="K69" s="239">
        <v>0.67361111111111116</v>
      </c>
      <c r="L69" s="239">
        <v>0.70138888888888884</v>
      </c>
      <c r="M69" s="236" t="s">
        <v>9</v>
      </c>
      <c r="N69" s="237">
        <f t="shared" si="2"/>
        <v>2.7777777777777679E-2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26</v>
      </c>
      <c r="E70" s="322"/>
      <c r="F70" s="324"/>
      <c r="H70" t="s">
        <v>1047</v>
      </c>
      <c r="K70" s="239">
        <v>0.76388888888888884</v>
      </c>
      <c r="L70" s="239">
        <v>0.79166666666666663</v>
      </c>
      <c r="M70" s="236" t="s">
        <v>9</v>
      </c>
      <c r="N70" s="237">
        <f t="shared" si="2"/>
        <v>2.777777777777779E-2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322"/>
      <c r="F71" s="324"/>
      <c r="G71" s="322"/>
      <c r="H71" s="323"/>
      <c r="I71" s="323"/>
      <c r="J71" s="324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 t="s">
        <v>6</v>
      </c>
      <c r="C72" s="236" t="s">
        <v>22</v>
      </c>
      <c r="D72" s="236" t="s">
        <v>23</v>
      </c>
      <c r="E72" s="322"/>
      <c r="F72" s="324"/>
      <c r="G72" s="322" t="s">
        <v>605</v>
      </c>
      <c r="H72" s="323"/>
      <c r="I72" s="323"/>
      <c r="J72" s="324"/>
      <c r="K72" s="239">
        <v>0.13194444444444445</v>
      </c>
      <c r="L72" s="239">
        <v>0.18055555555555555</v>
      </c>
      <c r="M72" s="236" t="s">
        <v>9</v>
      </c>
      <c r="N72" s="237">
        <f t="shared" si="2"/>
        <v>4.8611111111111105E-2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322"/>
      <c r="F73" s="324"/>
      <c r="G73" s="322" t="s">
        <v>605</v>
      </c>
      <c r="H73" s="323"/>
      <c r="I73" s="323"/>
      <c r="J73" s="324"/>
      <c r="K73" s="239">
        <v>0.22916666666666666</v>
      </c>
      <c r="L73" s="239">
        <v>0.27083333333333331</v>
      </c>
      <c r="M73" s="236" t="s">
        <v>9</v>
      </c>
      <c r="N73" s="237">
        <f t="shared" si="2"/>
        <v>4.1666666666666657E-2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26</v>
      </c>
      <c r="E74" s="322" t="s">
        <v>122</v>
      </c>
      <c r="F74" s="324"/>
      <c r="G74" s="322" t="s">
        <v>1100</v>
      </c>
      <c r="H74" s="323"/>
      <c r="I74" s="323"/>
      <c r="J74" s="324"/>
      <c r="K74" s="238">
        <v>4.8611111111111112E-2</v>
      </c>
      <c r="L74" s="238">
        <v>7.6388888888888895E-2</v>
      </c>
      <c r="M74" s="236" t="s">
        <v>9</v>
      </c>
      <c r="N74" s="237">
        <f t="shared" si="2"/>
        <v>2.7777777777777783E-2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26</v>
      </c>
      <c r="E75" s="322"/>
      <c r="F75" s="324"/>
      <c r="G75" s="322" t="s">
        <v>1101</v>
      </c>
      <c r="H75" s="323"/>
      <c r="I75" s="323"/>
      <c r="J75" s="324"/>
      <c r="K75" s="239">
        <v>0.1875</v>
      </c>
      <c r="L75" s="239">
        <v>0.22916666666666666</v>
      </c>
      <c r="M75" s="236" t="s">
        <v>9</v>
      </c>
      <c r="N75" s="237">
        <f t="shared" si="2"/>
        <v>4.1666666666666657E-2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322"/>
      <c r="F76" s="324"/>
      <c r="G76" s="322"/>
      <c r="H76" s="323"/>
      <c r="I76" s="323"/>
      <c r="J76" s="324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322"/>
      <c r="F77" s="324"/>
      <c r="G77" s="322"/>
      <c r="H77" s="323"/>
      <c r="I77" s="323"/>
      <c r="J77" s="324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/>
      <c r="H78" s="323"/>
      <c r="I78" s="323"/>
      <c r="J78" s="324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322"/>
      <c r="F79" s="324"/>
      <c r="G79" s="322"/>
      <c r="H79" s="323"/>
      <c r="I79" s="323"/>
      <c r="J79" s="324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322"/>
      <c r="F80" s="324"/>
      <c r="G80" s="322"/>
      <c r="H80" s="323"/>
      <c r="I80" s="323"/>
      <c r="J80" s="324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322"/>
      <c r="F81" s="324"/>
      <c r="G81" s="322"/>
      <c r="H81" s="323"/>
      <c r="I81" s="323"/>
      <c r="J81" s="324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322"/>
      <c r="F83" s="324"/>
      <c r="G83" s="322"/>
      <c r="H83" s="323"/>
      <c r="I83" s="323"/>
      <c r="J83" s="324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 t="s">
        <v>345</v>
      </c>
      <c r="D136" s="481"/>
      <c r="E136" s="463" t="s">
        <v>1073</v>
      </c>
      <c r="F136" s="464"/>
      <c r="G136" s="452" t="s">
        <v>393</v>
      </c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/>
      <c r="D137" s="479"/>
      <c r="E137" s="463" t="s">
        <v>1102</v>
      </c>
      <c r="F137" s="464"/>
      <c r="G137" s="452" t="s">
        <v>395</v>
      </c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35"/>
      <c r="E143" s="335"/>
      <c r="F143" s="335"/>
      <c r="G143" s="336"/>
      <c r="H143" s="336"/>
      <c r="I143" s="336"/>
      <c r="J143" s="336"/>
      <c r="K143" s="336"/>
      <c r="L143" s="335"/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 t="s">
        <v>255</v>
      </c>
      <c r="C144" s="215" t="s">
        <v>376</v>
      </c>
      <c r="D144" s="335" t="s">
        <v>1103</v>
      </c>
      <c r="E144" s="335"/>
      <c r="F144" s="335"/>
      <c r="G144" s="336" t="s">
        <v>357</v>
      </c>
      <c r="H144" s="336"/>
      <c r="I144" s="336"/>
      <c r="J144" s="336">
        <v>23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 t="s">
        <v>378</v>
      </c>
      <c r="D145" s="335" t="s">
        <v>1104</v>
      </c>
      <c r="E145" s="335"/>
      <c r="F145" s="335"/>
      <c r="G145" s="336" t="s">
        <v>367</v>
      </c>
      <c r="H145" s="336"/>
      <c r="I145" s="336"/>
      <c r="J145" s="336">
        <v>44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12</v>
      </c>
      <c r="D146" s="335" t="s">
        <v>1105</v>
      </c>
      <c r="E146" s="335"/>
      <c r="F146" s="335"/>
      <c r="G146" s="336" t="s">
        <v>372</v>
      </c>
      <c r="H146" s="336"/>
      <c r="I146" s="336"/>
      <c r="J146" s="336" t="s">
        <v>1106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13</v>
      </c>
      <c r="D147" s="335" t="s">
        <v>1104</v>
      </c>
      <c r="E147" s="335"/>
      <c r="F147" s="335"/>
      <c r="G147" s="336" t="s">
        <v>1107</v>
      </c>
      <c r="H147" s="336"/>
      <c r="I147" s="336"/>
      <c r="J147" s="336" t="s">
        <v>1108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18</v>
      </c>
      <c r="D148" s="335" t="s">
        <v>1109</v>
      </c>
      <c r="E148" s="335"/>
      <c r="F148" s="335"/>
      <c r="G148" s="336" t="s">
        <v>1107</v>
      </c>
      <c r="H148" s="336"/>
      <c r="I148" s="336"/>
      <c r="J148" s="336">
        <v>26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19</v>
      </c>
      <c r="D149" s="335" t="s">
        <v>1110</v>
      </c>
      <c r="E149" s="335"/>
      <c r="F149" s="335"/>
      <c r="G149" s="336" t="s">
        <v>587</v>
      </c>
      <c r="H149" s="336"/>
      <c r="I149" s="336"/>
      <c r="J149" s="336">
        <v>17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23</v>
      </c>
      <c r="D150" s="335" t="s">
        <v>1111</v>
      </c>
      <c r="E150" s="335"/>
      <c r="F150" s="335"/>
      <c r="G150" s="336" t="s">
        <v>403</v>
      </c>
      <c r="H150" s="336"/>
      <c r="I150" s="336"/>
      <c r="J150" s="336">
        <v>371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35"/>
      <c r="E151" s="335"/>
      <c r="F151" s="335"/>
      <c r="G151" s="336"/>
      <c r="H151" s="336"/>
      <c r="I151" s="336"/>
      <c r="J151" s="336"/>
      <c r="K151" s="336"/>
      <c r="L151" s="335"/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35"/>
      <c r="E152" s="335"/>
      <c r="F152" s="335"/>
      <c r="G152" s="336"/>
      <c r="H152" s="336"/>
      <c r="I152" s="336"/>
      <c r="J152" s="336"/>
      <c r="K152" s="336"/>
      <c r="L152" s="335"/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 t="s">
        <v>261</v>
      </c>
      <c r="C153" s="215">
        <v>18</v>
      </c>
      <c r="D153" s="335" t="s">
        <v>1112</v>
      </c>
      <c r="E153" s="335"/>
      <c r="F153" s="335"/>
      <c r="G153" s="336" t="s">
        <v>357</v>
      </c>
      <c r="H153" s="336"/>
      <c r="I153" s="336"/>
      <c r="J153" s="336">
        <v>26</v>
      </c>
      <c r="K153" s="336"/>
      <c r="L153" s="335" t="s">
        <v>355</v>
      </c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13</v>
      </c>
      <c r="D154" s="335" t="s">
        <v>1113</v>
      </c>
      <c r="E154" s="335"/>
      <c r="F154" s="335"/>
      <c r="G154" s="336" t="s">
        <v>359</v>
      </c>
      <c r="H154" s="336"/>
      <c r="I154" s="336"/>
      <c r="J154" s="336">
        <v>56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</v>
      </c>
      <c r="D155" s="335" t="s">
        <v>1114</v>
      </c>
      <c r="E155" s="335"/>
      <c r="F155" s="335"/>
      <c r="G155" s="336" t="s">
        <v>357</v>
      </c>
      <c r="H155" s="336"/>
      <c r="I155" s="336"/>
      <c r="J155" s="336">
        <v>61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19</v>
      </c>
      <c r="D156" s="335" t="s">
        <v>1115</v>
      </c>
      <c r="E156" s="335"/>
      <c r="F156" s="335"/>
      <c r="G156" s="336" t="s">
        <v>361</v>
      </c>
      <c r="H156" s="336"/>
      <c r="I156" s="336"/>
      <c r="J156" s="336">
        <v>16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22</v>
      </c>
      <c r="D157" s="335" t="s">
        <v>1116</v>
      </c>
      <c r="E157" s="335"/>
      <c r="F157" s="335"/>
      <c r="G157" s="336" t="s">
        <v>630</v>
      </c>
      <c r="H157" s="336"/>
      <c r="I157" s="336"/>
      <c r="J157" s="336">
        <v>733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13</v>
      </c>
      <c r="D158" s="335" t="s">
        <v>1113</v>
      </c>
      <c r="E158" s="335"/>
      <c r="F158" s="335"/>
      <c r="G158" s="336" t="s">
        <v>359</v>
      </c>
      <c r="H158" s="336"/>
      <c r="I158" s="336"/>
      <c r="J158" s="336">
        <v>56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9</v>
      </c>
      <c r="D159" s="335" t="s">
        <v>1117</v>
      </c>
      <c r="E159" s="335"/>
      <c r="F159" s="335"/>
      <c r="G159" s="336" t="s">
        <v>367</v>
      </c>
      <c r="H159" s="336"/>
      <c r="I159" s="336"/>
      <c r="J159" s="336">
        <v>48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</v>
      </c>
      <c r="D160" s="335" t="s">
        <v>1114</v>
      </c>
      <c r="E160" s="335"/>
      <c r="F160" s="335"/>
      <c r="G160" s="336" t="s">
        <v>357</v>
      </c>
      <c r="H160" s="336"/>
      <c r="I160" s="336"/>
      <c r="J160" s="336">
        <v>23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335"/>
      <c r="E161" s="335"/>
      <c r="F161" s="335"/>
      <c r="G161" s="336"/>
      <c r="H161" s="336"/>
      <c r="I161" s="336"/>
      <c r="J161" s="336"/>
      <c r="K161" s="336"/>
      <c r="L161" s="335"/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 t="s">
        <v>267</v>
      </c>
      <c r="C162" s="215" t="s">
        <v>376</v>
      </c>
      <c r="D162" s="335" t="s">
        <v>1118</v>
      </c>
      <c r="E162" s="335"/>
      <c r="F162" s="335"/>
      <c r="G162" s="336" t="s">
        <v>357</v>
      </c>
      <c r="H162" s="336"/>
      <c r="I162" s="336"/>
      <c r="J162" s="336">
        <v>34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 t="s">
        <v>378</v>
      </c>
      <c r="D163" s="335" t="s">
        <v>1119</v>
      </c>
      <c r="E163" s="335"/>
      <c r="F163" s="335"/>
      <c r="G163" s="336" t="s">
        <v>367</v>
      </c>
      <c r="H163" s="336"/>
      <c r="I163" s="336"/>
      <c r="J163" s="336">
        <v>47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18</v>
      </c>
      <c r="D164" s="335" t="s">
        <v>1120</v>
      </c>
      <c r="E164" s="335"/>
      <c r="F164" s="335"/>
      <c r="G164" s="336" t="s">
        <v>359</v>
      </c>
      <c r="H164" s="336"/>
      <c r="I164" s="336"/>
      <c r="J164" s="336">
        <v>25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13</v>
      </c>
      <c r="D165" s="335" t="s">
        <v>1121</v>
      </c>
      <c r="E165" s="335"/>
      <c r="F165" s="335"/>
      <c r="G165" s="336" t="s">
        <v>361</v>
      </c>
      <c r="H165" s="336"/>
      <c r="I165" s="336"/>
      <c r="J165" s="336">
        <v>40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19</v>
      </c>
      <c r="D166" s="335" t="s">
        <v>1122</v>
      </c>
      <c r="E166" s="335"/>
      <c r="F166" s="335"/>
      <c r="G166" s="336" t="s">
        <v>753</v>
      </c>
      <c r="H166" s="336"/>
      <c r="I166" s="336"/>
      <c r="J166" s="336">
        <v>16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>
        <v>8</v>
      </c>
      <c r="D167" s="335" t="s">
        <v>1118</v>
      </c>
      <c r="E167" s="335"/>
      <c r="F167" s="335"/>
      <c r="G167" s="336"/>
      <c r="H167" s="336"/>
      <c r="I167" s="336"/>
      <c r="J167" s="336">
        <v>28</v>
      </c>
      <c r="K167" s="336"/>
      <c r="L167" s="335" t="s">
        <v>355</v>
      </c>
      <c r="M167" s="335"/>
    </row>
    <row r="168" spans="1:18" ht="14.25" x14ac:dyDescent="0.2">
      <c r="B168" s="216"/>
      <c r="C168" s="215"/>
      <c r="D168" s="335"/>
      <c r="E168" s="335"/>
      <c r="F168" s="335"/>
      <c r="G168" s="336"/>
      <c r="H168" s="336"/>
      <c r="I168" s="336"/>
      <c r="J168" s="336"/>
      <c r="K168" s="336"/>
      <c r="L168" s="335"/>
      <c r="M168" s="335"/>
    </row>
    <row r="169" spans="1:18" ht="14.25" x14ac:dyDescent="0.2">
      <c r="B169" s="216"/>
      <c r="C169" s="215"/>
      <c r="D169" s="335"/>
      <c r="E169" s="335"/>
      <c r="F169" s="335"/>
      <c r="G169" s="336"/>
      <c r="H169" s="336"/>
      <c r="I169" s="336"/>
      <c r="J169" s="336"/>
      <c r="K169" s="336"/>
      <c r="L169" s="335"/>
      <c r="M169" s="335"/>
    </row>
    <row r="170" spans="1:18" ht="14.25" x14ac:dyDescent="0.2">
      <c r="B170" s="216"/>
      <c r="C170" s="215"/>
      <c r="D170" s="335"/>
      <c r="E170" s="335"/>
      <c r="F170" s="335"/>
      <c r="G170" s="336"/>
      <c r="H170" s="336"/>
      <c r="I170" s="336"/>
      <c r="J170" s="336"/>
      <c r="K170" s="336"/>
      <c r="L170" s="335"/>
      <c r="M170" s="335"/>
    </row>
    <row r="171" spans="1:18" ht="14.25" x14ac:dyDescent="0.2">
      <c r="B171" s="216"/>
      <c r="C171" s="215"/>
      <c r="D171" s="337"/>
      <c r="E171" s="338"/>
      <c r="F171" s="339"/>
      <c r="G171" s="336"/>
      <c r="H171" s="336"/>
      <c r="I171" s="336"/>
      <c r="J171" s="336"/>
      <c r="K171" s="336"/>
      <c r="L171" s="335"/>
      <c r="M171" s="335"/>
    </row>
    <row r="172" spans="1:18" ht="14.25" x14ac:dyDescent="0.2">
      <c r="B172" s="216"/>
      <c r="C172" s="215"/>
      <c r="D172" s="335"/>
      <c r="E172" s="335"/>
      <c r="F172" s="335"/>
      <c r="G172" s="336"/>
      <c r="H172" s="336"/>
      <c r="I172" s="336"/>
      <c r="J172" s="336"/>
      <c r="K172" s="336"/>
      <c r="L172" s="335"/>
      <c r="M172" s="335"/>
    </row>
    <row r="173" spans="1:18" ht="14.25" x14ac:dyDescent="0.2">
      <c r="B173" s="216"/>
      <c r="C173" s="215"/>
      <c r="D173" s="335"/>
      <c r="E173" s="335"/>
      <c r="F173" s="335"/>
      <c r="G173" s="336"/>
      <c r="H173" s="336"/>
      <c r="I173" s="336"/>
      <c r="J173" s="336"/>
      <c r="K173" s="336"/>
      <c r="L173" s="335"/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N28" sqref="N28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N28" sqref="N28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N28" sqref="N28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N28" sqref="N28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1718A1E5-9AE7-45A2-939C-D6442A45C83E}">
      <formula1>INDIRECT(D63)</formula1>
    </dataValidation>
  </dataValidations>
  <hyperlinks>
    <hyperlink ref="J14:L15" location="Summary!A1" display="MTD Summary " xr:uid="{DC5B4E8C-8580-4035-876E-1B75D751C8F0}"/>
    <hyperlink ref="J16:L17" location="Graph!A1" display="MTD Trendings" xr:uid="{B2A5EAF7-3437-44EC-A304-C61230AAE9A3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F62DF15-AF63-41AB-9504-2D7B9C1965D3}">
          <x14:formula1>
            <xm:f>List!$C$5:$C$14</xm:f>
          </x14:formula1>
          <xm:sqref>D63:D131</xm:sqref>
        </x14:dataValidation>
        <x14:dataValidation type="list" allowBlank="1" showInputMessage="1" showErrorMessage="1" xr:uid="{C01406ED-E18F-4F54-B1C6-C82F603CF9FE}">
          <x14:formula1>
            <xm:f>List!$B$10:$B$12</xm:f>
          </x14:formula1>
          <xm:sqref>C63:C131</xm:sqref>
        </x14:dataValidation>
        <x14:dataValidation type="list" allowBlank="1" showInputMessage="1" showErrorMessage="1" xr:uid="{496814F1-4579-4229-8052-D7C2FE657172}">
          <x14:formula1>
            <xm:f>List!$B$5:$B$8</xm:f>
          </x14:formula1>
          <xm:sqref>B63:B131</xm:sqref>
        </x14:dataValidation>
        <x14:dataValidation type="list" allowBlank="1" showInputMessage="1" showErrorMessage="1" xr:uid="{2B7EAF0F-F2E9-42F6-9413-7E7B6ECD6DB0}">
          <x14:formula1>
            <xm:f>Sheet3!$C$3:$C$4</xm:f>
          </x14:formula1>
          <xm:sqref>M63:M132</xm:sqref>
        </x14:dataValidation>
        <x14:dataValidation type="list" allowBlank="1" showInputMessage="1" xr:uid="{797EC367-D3D6-4FEB-87AE-9552139DC91D}">
          <x14:formula1>
            <xm:f>Sheet3!$D$3:$D$11</xm:f>
          </x14:formula1>
          <xm:sqref>C132</xm:sqref>
        </x14:dataValidation>
        <x14:dataValidation type="list" allowBlank="1" showInputMessage="1" showErrorMessage="1" xr:uid="{ED89F232-6FD1-42D2-8D7A-1E33766C58DE}">
          <x14:formula1>
            <xm:f>Sheet3!$B$3:$B$5</xm:f>
          </x14:formula1>
          <xm:sqref>B143:B165 B132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3980-B40B-4294-9B5F-E83F6BAE93DF}">
  <sheetPr>
    <pageSetUpPr fitToPage="1"/>
  </sheetPr>
  <dimension ref="A1:R188"/>
  <sheetViews>
    <sheetView showGridLines="0" view="pageBreakPreview" topLeftCell="B22" zoomScale="80" zoomScaleNormal="90" zoomScaleSheetLayoutView="80" zoomScalePageLayoutView="80" workbookViewId="0">
      <selection activeCell="K38" sqref="K38:L38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23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1760.8200000000002</v>
      </c>
      <c r="K6" s="420"/>
      <c r="L6" s="420">
        <f ca="1">Summary!G30</f>
        <v>1436.511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130</v>
      </c>
      <c r="E7" s="84">
        <v>70</v>
      </c>
      <c r="F7" s="395">
        <v>40</v>
      </c>
      <c r="G7" s="396"/>
      <c r="H7" s="374">
        <f>SUM(D7:D10)</f>
        <v>560.22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120</v>
      </c>
      <c r="E8" s="86">
        <v>70</v>
      </c>
      <c r="F8" s="397">
        <v>40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150</v>
      </c>
      <c r="E9" s="86">
        <v>70</v>
      </c>
      <c r="F9" s="397">
        <v>40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160.22</v>
      </c>
      <c r="E10" s="88">
        <v>70</v>
      </c>
      <c r="F10" s="399">
        <v>40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110</v>
      </c>
      <c r="E11" s="90">
        <v>60</v>
      </c>
      <c r="F11" s="386">
        <v>40</v>
      </c>
      <c r="G11" s="387"/>
      <c r="H11" s="388">
        <f>SUM(D11:D14)</f>
        <v>600.33000000000004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150</v>
      </c>
      <c r="E12" s="92">
        <v>70</v>
      </c>
      <c r="F12" s="391">
        <v>40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170</v>
      </c>
      <c r="E13" s="92">
        <v>70</v>
      </c>
      <c r="F13" s="391">
        <v>40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170.33</v>
      </c>
      <c r="E14" s="94">
        <v>70</v>
      </c>
      <c r="F14" s="393">
        <v>40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130</v>
      </c>
      <c r="E15" s="96">
        <v>70</v>
      </c>
      <c r="F15" s="372">
        <v>40</v>
      </c>
      <c r="G15" s="373"/>
      <c r="H15" s="374">
        <f>SUM(D15:D18)</f>
        <v>600.27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150</v>
      </c>
      <c r="E16" s="98">
        <v>70</v>
      </c>
      <c r="F16" s="401">
        <v>40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150</v>
      </c>
      <c r="E17" s="98">
        <v>70</v>
      </c>
      <c r="F17" s="401">
        <v>40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170.27</v>
      </c>
      <c r="E18" s="100">
        <v>70</v>
      </c>
      <c r="F18" s="404">
        <v>40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1760.8200000000002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7</v>
      </c>
      <c r="D25" s="102">
        <v>90</v>
      </c>
      <c r="E25" s="56">
        <v>6</v>
      </c>
      <c r="F25" s="107">
        <v>26</v>
      </c>
      <c r="G25" s="410">
        <v>7</v>
      </c>
      <c r="H25" s="411"/>
      <c r="I25" s="111">
        <v>180</v>
      </c>
      <c r="J25" s="38">
        <f t="shared" ref="J25:J40" si="0">C25+E25+G25</f>
        <v>20</v>
      </c>
      <c r="K25" s="412">
        <f>D25+F25+I25</f>
        <v>296</v>
      </c>
      <c r="L25" s="413"/>
      <c r="M25" s="2"/>
    </row>
    <row r="26" spans="2:14" ht="14.1" customHeight="1" x14ac:dyDescent="0.2">
      <c r="B26" s="80" t="s">
        <v>281</v>
      </c>
      <c r="C26" s="45">
        <v>6</v>
      </c>
      <c r="D26" s="103">
        <v>58</v>
      </c>
      <c r="E26" s="57">
        <v>6</v>
      </c>
      <c r="F26" s="108">
        <v>161</v>
      </c>
      <c r="G26" s="406">
        <v>4</v>
      </c>
      <c r="H26" s="407"/>
      <c r="I26" s="112">
        <v>18</v>
      </c>
      <c r="J26" s="25">
        <f t="shared" si="0"/>
        <v>16</v>
      </c>
      <c r="K26" s="408">
        <f t="shared" ref="K26:K39" si="1">D26+F26+I26</f>
        <v>237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96</v>
      </c>
      <c r="E27" s="57"/>
      <c r="F27" s="108">
        <v>84</v>
      </c>
      <c r="G27" s="406"/>
      <c r="H27" s="407"/>
      <c r="I27" s="112">
        <v>195</v>
      </c>
      <c r="J27" s="25">
        <f t="shared" si="0"/>
        <v>0</v>
      </c>
      <c r="K27" s="408">
        <f t="shared" si="1"/>
        <v>375</v>
      </c>
      <c r="L27" s="409"/>
      <c r="M27" s="2"/>
    </row>
    <row r="28" spans="2:14" ht="14.1" customHeight="1" x14ac:dyDescent="0.2">
      <c r="B28" s="80" t="s">
        <v>283</v>
      </c>
      <c r="C28" s="45">
        <v>5</v>
      </c>
      <c r="D28" s="103"/>
      <c r="E28" s="57">
        <v>6</v>
      </c>
      <c r="F28" s="108"/>
      <c r="G28" s="406">
        <v>6</v>
      </c>
      <c r="H28" s="407"/>
      <c r="I28" s="112"/>
      <c r="J28" s="25">
        <f t="shared" si="0"/>
        <v>17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3</v>
      </c>
      <c r="D29" s="103"/>
      <c r="E29" s="57">
        <v>4</v>
      </c>
      <c r="F29" s="108"/>
      <c r="G29" s="406">
        <v>4</v>
      </c>
      <c r="H29" s="407"/>
      <c r="I29" s="112"/>
      <c r="J29" s="25">
        <f t="shared" si="0"/>
        <v>11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>
        <v>1</v>
      </c>
      <c r="D30" s="103"/>
      <c r="E30" s="57"/>
      <c r="F30" s="108">
        <v>41.35</v>
      </c>
      <c r="G30" s="406">
        <v>1</v>
      </c>
      <c r="H30" s="407"/>
      <c r="I30" s="112"/>
      <c r="J30" s="25">
        <f t="shared" si="0"/>
        <v>2</v>
      </c>
      <c r="K30" s="408">
        <f t="shared" si="1"/>
        <v>41.35</v>
      </c>
      <c r="L30" s="409"/>
    </row>
    <row r="31" spans="2:14" ht="14.1" customHeight="1" x14ac:dyDescent="0.2">
      <c r="B31" s="80" t="s">
        <v>286</v>
      </c>
      <c r="C31" s="45">
        <v>1</v>
      </c>
      <c r="D31" s="103"/>
      <c r="E31" s="57">
        <v>3</v>
      </c>
      <c r="F31" s="108"/>
      <c r="G31" s="406">
        <v>2</v>
      </c>
      <c r="H31" s="407"/>
      <c r="I31" s="112"/>
      <c r="J31" s="25">
        <f t="shared" si="0"/>
        <v>6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2</v>
      </c>
      <c r="F32" s="108"/>
      <c r="G32" s="406"/>
      <c r="H32" s="407"/>
      <c r="I32" s="112"/>
      <c r="J32" s="25">
        <f t="shared" si="0"/>
        <v>3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/>
      <c r="G33" s="406"/>
      <c r="H33" s="407"/>
      <c r="I33" s="112"/>
      <c r="J33" s="25">
        <f t="shared" si="0"/>
        <v>0</v>
      </c>
      <c r="K33" s="408">
        <f t="shared" si="1"/>
        <v>0</v>
      </c>
      <c r="L33" s="409"/>
    </row>
    <row r="34" spans="1:16" ht="14.1" customHeight="1" x14ac:dyDescent="0.2">
      <c r="B34" s="80" t="s">
        <v>289</v>
      </c>
      <c r="C34" s="45"/>
      <c r="D34" s="103"/>
      <c r="E34" s="57">
        <v>1</v>
      </c>
      <c r="F34" s="108"/>
      <c r="G34" s="406"/>
      <c r="H34" s="407"/>
      <c r="I34" s="112"/>
      <c r="J34" s="25">
        <f t="shared" si="0"/>
        <v>1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>
        <v>19.399999999999999</v>
      </c>
      <c r="E36" s="58"/>
      <c r="F36" s="109"/>
      <c r="G36" s="406"/>
      <c r="H36" s="407"/>
      <c r="I36" s="113"/>
      <c r="J36" s="25">
        <f t="shared" si="0"/>
        <v>0</v>
      </c>
      <c r="K36" s="408">
        <f t="shared" si="1"/>
        <v>19.399999999999999</v>
      </c>
      <c r="L36" s="409"/>
    </row>
    <row r="37" spans="1:16" ht="14.1" customHeight="1" x14ac:dyDescent="0.2">
      <c r="B37" s="37" t="s">
        <v>292</v>
      </c>
      <c r="C37" s="55"/>
      <c r="D37" s="104"/>
      <c r="E37" s="58"/>
      <c r="F37" s="109">
        <v>6</v>
      </c>
      <c r="G37" s="406"/>
      <c r="H37" s="407"/>
      <c r="I37" s="113">
        <v>6</v>
      </c>
      <c r="J37" s="25">
        <f t="shared" si="0"/>
        <v>0</v>
      </c>
      <c r="K37" s="408">
        <f t="shared" si="1"/>
        <v>12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v>120</v>
      </c>
      <c r="J38" s="25">
        <f t="shared" si="0"/>
        <v>0</v>
      </c>
      <c r="K38" s="408">
        <f t="shared" si="1"/>
        <v>120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165</v>
      </c>
      <c r="J39" s="25">
        <f t="shared" si="0"/>
        <v>0</v>
      </c>
      <c r="K39" s="408">
        <f t="shared" si="1"/>
        <v>165</v>
      </c>
      <c r="L39" s="409"/>
    </row>
    <row r="40" spans="1:16" ht="14.1" customHeight="1" thickBot="1" x14ac:dyDescent="0.25">
      <c r="B40" s="81" t="s">
        <v>295</v>
      </c>
      <c r="C40" s="47"/>
      <c r="D40" s="105">
        <v>59.4</v>
      </c>
      <c r="E40" s="59"/>
      <c r="F40" s="110">
        <v>120.85899999999999</v>
      </c>
      <c r="G40" s="473"/>
      <c r="H40" s="474"/>
      <c r="I40" s="114">
        <v>61.502000000000002</v>
      </c>
      <c r="J40" s="26">
        <f t="shared" si="0"/>
        <v>0</v>
      </c>
      <c r="K40" s="475">
        <f>D40+F40+I40</f>
        <v>241.761</v>
      </c>
      <c r="L40" s="476"/>
    </row>
    <row r="41" spans="1:16" ht="17.25" customHeight="1" x14ac:dyDescent="0.2">
      <c r="B41" s="15" t="s">
        <v>273</v>
      </c>
      <c r="C41" s="16">
        <f>SUM(C25:C40)</f>
        <v>24</v>
      </c>
      <c r="D41" s="106">
        <f>SUM(D25:D40)</f>
        <v>322.79999999999995</v>
      </c>
      <c r="E41" s="16">
        <f>SUM(E25:E40)</f>
        <v>28</v>
      </c>
      <c r="F41" s="106">
        <f>SUM(F25:F40)</f>
        <v>439.209</v>
      </c>
      <c r="G41" s="430">
        <f>SUM(G25:H40)</f>
        <v>24</v>
      </c>
      <c r="H41" s="430"/>
      <c r="I41" s="106">
        <f>SUM(I25:I40)</f>
        <v>745.50199999999995</v>
      </c>
      <c r="J41" s="16">
        <f>SUM(J25:J40)</f>
        <v>76</v>
      </c>
      <c r="K41" s="477">
        <f>SUM(K25:L40)</f>
        <v>1507.511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>
        <v>0</v>
      </c>
      <c r="D45" s="210">
        <v>0</v>
      </c>
      <c r="E45" s="209">
        <v>0.1</v>
      </c>
      <c r="F45" s="210">
        <v>0</v>
      </c>
      <c r="G45" s="471">
        <v>0</v>
      </c>
      <c r="H45" s="472"/>
      <c r="I45" s="210">
        <v>0</v>
      </c>
      <c r="J45" s="210">
        <v>0.3</v>
      </c>
      <c r="K45" s="209">
        <v>0.2</v>
      </c>
      <c r="L45" s="210">
        <v>0.2</v>
      </c>
      <c r="M45" s="211">
        <v>0.8</v>
      </c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5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15</v>
      </c>
      <c r="K46" s="40">
        <f>K45*50</f>
        <v>10</v>
      </c>
      <c r="L46" s="40">
        <f>L45*50</f>
        <v>10</v>
      </c>
      <c r="M46" s="79">
        <f>M45*50</f>
        <v>40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>
        <v>0</v>
      </c>
      <c r="D48" s="209">
        <v>0</v>
      </c>
      <c r="E48" s="209">
        <v>0</v>
      </c>
      <c r="F48" s="209">
        <v>0.2</v>
      </c>
      <c r="G48" s="442">
        <v>0.1</v>
      </c>
      <c r="H48" s="443"/>
      <c r="I48" s="209">
        <v>0.2</v>
      </c>
      <c r="J48" s="209">
        <v>0</v>
      </c>
      <c r="K48" s="209">
        <v>0</v>
      </c>
      <c r="L48" s="209">
        <v>1</v>
      </c>
      <c r="M48" s="211">
        <v>0.1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438">
        <f>G48*100</f>
        <v>10</v>
      </c>
      <c r="H49" s="439"/>
      <c r="I49" s="40">
        <f>I48*100</f>
        <v>20</v>
      </c>
      <c r="J49" s="40">
        <f>J48*150</f>
        <v>0</v>
      </c>
      <c r="K49" s="40">
        <f>K48*70</f>
        <v>0</v>
      </c>
      <c r="L49" s="40">
        <f>L48*70</f>
        <v>70</v>
      </c>
      <c r="M49" s="79">
        <f>M48*70</f>
        <v>7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0.1</v>
      </c>
      <c r="D51" s="213">
        <v>0</v>
      </c>
      <c r="E51" s="214">
        <v>0</v>
      </c>
      <c r="F51" s="209"/>
      <c r="G51" s="442"/>
      <c r="H51" s="443"/>
      <c r="I51" s="209">
        <v>0</v>
      </c>
      <c r="J51" s="209">
        <v>0.03</v>
      </c>
      <c r="K51" s="209">
        <v>0.09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7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7.5</v>
      </c>
      <c r="K52" s="41">
        <f>K51*250</f>
        <v>22.5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256</v>
      </c>
      <c r="F54" s="39" t="s">
        <v>309</v>
      </c>
      <c r="G54" s="188"/>
      <c r="H54" s="188"/>
      <c r="I54" s="30">
        <f>'22'!D54</f>
        <v>204.5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>
        <v>172600</v>
      </c>
      <c r="D58" s="60">
        <v>18090</v>
      </c>
      <c r="E58" s="124">
        <f>SUM(C58:D58)</f>
        <v>190690</v>
      </c>
      <c r="F58" s="425"/>
      <c r="G58" s="426"/>
      <c r="H58" s="60">
        <v>4084</v>
      </c>
      <c r="I58" s="61">
        <v>2271</v>
      </c>
      <c r="J58" s="422"/>
      <c r="K58" s="428"/>
      <c r="L58" s="60">
        <v>6862.5860000000002</v>
      </c>
      <c r="M58" s="61">
        <f>L58/3</f>
        <v>2287.5286666666666</v>
      </c>
      <c r="N58" s="288"/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108.29613475539804</v>
      </c>
      <c r="D59" s="432"/>
      <c r="E59" s="433"/>
      <c r="F59" s="434" t="s">
        <v>321</v>
      </c>
      <c r="G59" s="435"/>
      <c r="H59" s="436">
        <f>IF(ISERROR(SUM(H58:I58)/$H$19),"",(SUM(H58:I58)/$H$19))</f>
        <v>3.6091139355527533</v>
      </c>
      <c r="I59" s="437"/>
      <c r="J59" s="434" t="s">
        <v>322</v>
      </c>
      <c r="K59" s="435"/>
      <c r="L59" s="115">
        <f>IF(ISERROR(L58/$H$19),"",(L58/$H$19))</f>
        <v>3.8973807657795798</v>
      </c>
      <c r="M59" s="116">
        <f>IF(ISERROR(M58/$H$19),"",(M58/$H$19))</f>
        <v>1.2991269219265265</v>
      </c>
      <c r="N59" s="288"/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0.89236111111111138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10</v>
      </c>
      <c r="C63" s="236" t="s">
        <v>22</v>
      </c>
      <c r="D63" s="236" t="s">
        <v>29</v>
      </c>
      <c r="E63" s="322"/>
      <c r="F63" s="324"/>
      <c r="G63" s="322" t="s">
        <v>1123</v>
      </c>
      <c r="H63" s="323"/>
      <c r="I63" s="323"/>
      <c r="J63" s="324"/>
      <c r="K63" s="238">
        <v>0.3888888888888889</v>
      </c>
      <c r="L63" s="238">
        <v>0.40972222222222227</v>
      </c>
      <c r="M63" s="236" t="s">
        <v>9</v>
      </c>
      <c r="N63" s="237">
        <f t="shared" ref="N63:N126" si="2">IF(M63="No","",IF(M63="Yes",(L63-K63+(L63&lt;K63)),""))</f>
        <v>2.083333333333337E-2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20</v>
      </c>
      <c r="E64" s="322" t="s">
        <v>97</v>
      </c>
      <c r="F64" s="324"/>
      <c r="G64" s="322" t="s">
        <v>1124</v>
      </c>
      <c r="H64" s="323"/>
      <c r="I64" s="323"/>
      <c r="J64" s="324"/>
      <c r="K64" s="238">
        <v>0.4236111111111111</v>
      </c>
      <c r="L64" s="238">
        <v>0.5</v>
      </c>
      <c r="M64" s="236" t="s">
        <v>9</v>
      </c>
      <c r="N64" s="237">
        <f t="shared" si="2"/>
        <v>7.6388888888888895E-2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20</v>
      </c>
      <c r="E65" s="322"/>
      <c r="F65" s="324"/>
      <c r="G65" s="322" t="s">
        <v>1125</v>
      </c>
      <c r="H65" s="323"/>
      <c r="I65" s="323"/>
      <c r="J65" s="324"/>
      <c r="K65" s="239">
        <v>0.30555555555555552</v>
      </c>
      <c r="L65" s="239">
        <v>0.34027777777777773</v>
      </c>
      <c r="M65" s="236" t="s">
        <v>9</v>
      </c>
      <c r="N65" s="237">
        <f t="shared" si="2"/>
        <v>3.472222222222221E-2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23</v>
      </c>
      <c r="E66" s="322"/>
      <c r="F66" s="324"/>
      <c r="G66" s="322" t="s">
        <v>1126</v>
      </c>
      <c r="H66" s="323"/>
      <c r="I66" s="323"/>
      <c r="J66" s="324"/>
      <c r="K66" s="239">
        <v>0.27083333333333331</v>
      </c>
      <c r="L66" s="239">
        <v>0.3125</v>
      </c>
      <c r="M66" s="236" t="s">
        <v>9</v>
      </c>
      <c r="N66" s="237">
        <f t="shared" si="2"/>
        <v>4.1666666666666685E-2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23</v>
      </c>
      <c r="E67" s="322"/>
      <c r="F67" s="324"/>
      <c r="G67" s="322" t="s">
        <v>976</v>
      </c>
      <c r="H67" s="323"/>
      <c r="I67" s="323"/>
      <c r="J67" s="324"/>
      <c r="K67" s="238">
        <v>0.3125</v>
      </c>
      <c r="L67" s="238">
        <v>0.35416666666666669</v>
      </c>
      <c r="M67" s="236" t="s">
        <v>9</v>
      </c>
      <c r="N67" s="237">
        <f t="shared" si="2"/>
        <v>4.1666666666666685E-2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322"/>
      <c r="F68" s="324"/>
      <c r="G68" s="322"/>
      <c r="H68" s="323"/>
      <c r="I68" s="323"/>
      <c r="J68" s="324"/>
      <c r="K68" s="239">
        <v>0.375</v>
      </c>
      <c r="L68" s="239">
        <v>0.4375</v>
      </c>
      <c r="M68" s="236" t="s">
        <v>9</v>
      </c>
      <c r="N68" s="237">
        <f t="shared" si="2"/>
        <v>6.25E-2</v>
      </c>
      <c r="O68" s="134"/>
      <c r="P68" s="12"/>
      <c r="Q68" s="12"/>
      <c r="R68" s="12"/>
    </row>
    <row r="69" spans="1:18" ht="20.100000000000001" customHeight="1" x14ac:dyDescent="0.2">
      <c r="A69" s="12"/>
      <c r="B69" s="236" t="s">
        <v>17</v>
      </c>
      <c r="C69" s="236" t="s">
        <v>25</v>
      </c>
      <c r="D69" s="236" t="s">
        <v>11</v>
      </c>
      <c r="E69" s="322"/>
      <c r="F69" s="324"/>
      <c r="G69" s="322" t="s">
        <v>1127</v>
      </c>
      <c r="H69" s="323"/>
      <c r="I69" s="323"/>
      <c r="J69" s="324"/>
      <c r="K69" s="239">
        <v>0.64583333333333337</v>
      </c>
      <c r="L69" s="239">
        <v>0.67708333333333337</v>
      </c>
      <c r="M69" s="236" t="s">
        <v>9</v>
      </c>
      <c r="N69" s="237">
        <f t="shared" si="2"/>
        <v>3.125E-2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11</v>
      </c>
      <c r="E70" s="322" t="s">
        <v>43</v>
      </c>
      <c r="F70" s="324"/>
      <c r="H70" t="s">
        <v>1128</v>
      </c>
      <c r="K70" s="239">
        <v>0.6875</v>
      </c>
      <c r="L70" s="239">
        <v>0.75694444444444453</v>
      </c>
      <c r="M70" s="236" t="s">
        <v>9</v>
      </c>
      <c r="N70" s="237">
        <f t="shared" si="2"/>
        <v>6.9444444444444531E-2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11</v>
      </c>
      <c r="E71" s="322" t="s">
        <v>43</v>
      </c>
      <c r="F71" s="324"/>
      <c r="G71" s="322" t="s">
        <v>1129</v>
      </c>
      <c r="H71" s="323"/>
      <c r="I71" s="323"/>
      <c r="J71" s="324"/>
      <c r="K71" s="239">
        <v>0.64583333333333337</v>
      </c>
      <c r="L71" s="239">
        <v>0.75694444444444453</v>
      </c>
      <c r="M71" s="236" t="s">
        <v>9</v>
      </c>
      <c r="N71" s="237">
        <f t="shared" si="2"/>
        <v>0.11111111111111116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23</v>
      </c>
      <c r="E72" s="322"/>
      <c r="F72" s="324"/>
      <c r="G72" s="322" t="s">
        <v>605</v>
      </c>
      <c r="H72" s="323"/>
      <c r="I72" s="323"/>
      <c r="J72" s="324"/>
      <c r="K72" s="239">
        <v>0.65277777777777779</v>
      </c>
      <c r="L72" s="239">
        <v>0.70833333333333337</v>
      </c>
      <c r="M72" s="236" t="s">
        <v>9</v>
      </c>
      <c r="N72" s="237">
        <f t="shared" si="2"/>
        <v>5.555555555555558E-2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23</v>
      </c>
      <c r="E73" s="322"/>
      <c r="F73" s="324"/>
      <c r="G73" s="322" t="s">
        <v>605</v>
      </c>
      <c r="H73" s="323"/>
      <c r="I73" s="323"/>
      <c r="J73" s="324"/>
      <c r="K73" s="239">
        <v>0.79861111111111116</v>
      </c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11</v>
      </c>
      <c r="E74" s="322" t="s">
        <v>43</v>
      </c>
      <c r="F74" s="324"/>
      <c r="G74" s="322" t="s">
        <v>1130</v>
      </c>
      <c r="H74" s="323"/>
      <c r="I74" s="323"/>
      <c r="J74" s="324"/>
      <c r="K74" s="238">
        <v>0.80555555555555547</v>
      </c>
      <c r="L74" s="238">
        <v>0.91666666666666663</v>
      </c>
      <c r="M74" s="236" t="s">
        <v>9</v>
      </c>
      <c r="N74" s="237">
        <f t="shared" si="2"/>
        <v>0.11111111111111116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11</v>
      </c>
      <c r="E75" s="322" t="s">
        <v>43</v>
      </c>
      <c r="F75" s="324"/>
      <c r="G75" s="322" t="s">
        <v>1131</v>
      </c>
      <c r="H75" s="323"/>
      <c r="I75" s="323"/>
      <c r="J75" s="324"/>
      <c r="K75" s="239">
        <v>0.68402777777777779</v>
      </c>
      <c r="L75" s="239">
        <v>0.69791666666666663</v>
      </c>
      <c r="M75" s="236" t="s">
        <v>9</v>
      </c>
      <c r="N75" s="237">
        <f t="shared" si="2"/>
        <v>1.388888888888884E-2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322"/>
      <c r="F76" s="324"/>
      <c r="G76" s="322"/>
      <c r="H76" s="323"/>
      <c r="I76" s="323"/>
      <c r="J76" s="324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 t="s">
        <v>6</v>
      </c>
      <c r="C77" s="236" t="s">
        <v>28</v>
      </c>
      <c r="D77" s="236" t="s">
        <v>11</v>
      </c>
      <c r="E77" s="322" t="s">
        <v>43</v>
      </c>
      <c r="F77" s="324"/>
      <c r="G77" s="322" t="s">
        <v>1132</v>
      </c>
      <c r="H77" s="323"/>
      <c r="I77" s="323"/>
      <c r="J77" s="324"/>
      <c r="K77" s="238">
        <v>1</v>
      </c>
      <c r="L77" s="238">
        <v>4.1666666666666664E-2</v>
      </c>
      <c r="M77" s="236" t="s">
        <v>9</v>
      </c>
      <c r="N77" s="237">
        <f t="shared" si="2"/>
        <v>4.166666666666663E-2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29</v>
      </c>
      <c r="E78" s="322" t="s">
        <v>141</v>
      </c>
      <c r="F78" s="324"/>
      <c r="G78" s="322" t="s">
        <v>1133</v>
      </c>
      <c r="H78" s="323"/>
      <c r="I78" s="323"/>
      <c r="J78" s="324"/>
      <c r="K78" s="239">
        <v>1.0208333333333333</v>
      </c>
      <c r="L78" s="239">
        <v>4.8611111111111112E-2</v>
      </c>
      <c r="M78" s="236" t="s">
        <v>9</v>
      </c>
      <c r="N78" s="237">
        <f t="shared" si="2"/>
        <v>2.7777777777777901E-2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23</v>
      </c>
      <c r="E79" s="322"/>
      <c r="F79" s="324"/>
      <c r="G79" s="322" t="s">
        <v>605</v>
      </c>
      <c r="H79" s="323"/>
      <c r="I79" s="323"/>
      <c r="J79" s="324"/>
      <c r="K79" s="239">
        <v>4.1666666666666664E-2</v>
      </c>
      <c r="L79" s="239">
        <v>8.3333333333333329E-2</v>
      </c>
      <c r="M79" s="236" t="s">
        <v>9</v>
      </c>
      <c r="N79" s="237">
        <f t="shared" si="2"/>
        <v>4.1666666666666664E-2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322"/>
      <c r="F80" s="324"/>
      <c r="G80" s="322" t="s">
        <v>605</v>
      </c>
      <c r="H80" s="323"/>
      <c r="I80" s="323"/>
      <c r="J80" s="324"/>
      <c r="K80" s="239">
        <v>0.1111111111111111</v>
      </c>
      <c r="L80" s="239">
        <v>0.16666666666666666</v>
      </c>
      <c r="M80" s="236" t="s">
        <v>9</v>
      </c>
      <c r="N80" s="237">
        <f t="shared" si="2"/>
        <v>5.5555555555555552E-2</v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322"/>
      <c r="F81" s="324"/>
      <c r="G81" s="322" t="s">
        <v>605</v>
      </c>
      <c r="H81" s="323"/>
      <c r="I81" s="323"/>
      <c r="J81" s="324"/>
      <c r="K81" s="239">
        <v>0.19444444444444445</v>
      </c>
      <c r="L81" s="239">
        <v>0.25</v>
      </c>
      <c r="M81" s="236" t="s">
        <v>9</v>
      </c>
      <c r="N81" s="237">
        <f t="shared" si="2"/>
        <v>5.5555555555555552E-2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322"/>
      <c r="F83" s="324"/>
      <c r="G83" s="322"/>
      <c r="H83" s="323"/>
      <c r="I83" s="323"/>
      <c r="J83" s="324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/>
      <c r="D136" s="481"/>
      <c r="E136" s="463" t="s">
        <v>881</v>
      </c>
      <c r="F136" s="464"/>
      <c r="G136" s="452" t="s">
        <v>393</v>
      </c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607</v>
      </c>
      <c r="D137" s="479"/>
      <c r="E137" s="463" t="s">
        <v>438</v>
      </c>
      <c r="F137" s="464"/>
      <c r="G137" s="452" t="s">
        <v>395</v>
      </c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 t="s">
        <v>255</v>
      </c>
      <c r="C143" s="215" t="s">
        <v>376</v>
      </c>
      <c r="D143" s="335" t="s">
        <v>1134</v>
      </c>
      <c r="E143" s="335"/>
      <c r="F143" s="335"/>
      <c r="G143" s="336" t="s">
        <v>357</v>
      </c>
      <c r="H143" s="336"/>
      <c r="I143" s="336"/>
      <c r="J143" s="336">
        <v>23</v>
      </c>
      <c r="K143" s="336"/>
      <c r="L143" s="335" t="s">
        <v>355</v>
      </c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/>
      <c r="C144" s="215" t="s">
        <v>378</v>
      </c>
      <c r="D144" s="335" t="s">
        <v>1135</v>
      </c>
      <c r="E144" s="335"/>
      <c r="F144" s="335"/>
      <c r="G144" s="336" t="s">
        <v>367</v>
      </c>
      <c r="H144" s="336"/>
      <c r="I144" s="336"/>
      <c r="J144" s="336">
        <v>49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12</v>
      </c>
      <c r="D145" s="335" t="s">
        <v>1136</v>
      </c>
      <c r="E145" s="335"/>
      <c r="F145" s="335"/>
      <c r="G145" s="336" t="s">
        <v>372</v>
      </c>
      <c r="H145" s="336"/>
      <c r="I145" s="336"/>
      <c r="J145" s="336">
        <v>90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13</v>
      </c>
      <c r="D146" s="335" t="s">
        <v>1135</v>
      </c>
      <c r="E146" s="335"/>
      <c r="F146" s="335"/>
      <c r="G146" s="336" t="s">
        <v>1137</v>
      </c>
      <c r="H146" s="336"/>
      <c r="I146" s="336"/>
      <c r="J146" s="336">
        <v>40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19</v>
      </c>
      <c r="D147" s="335" t="s">
        <v>1138</v>
      </c>
      <c r="E147" s="335"/>
      <c r="F147" s="335"/>
      <c r="G147" s="336" t="s">
        <v>361</v>
      </c>
      <c r="H147" s="336"/>
      <c r="I147" s="336"/>
      <c r="J147" s="336">
        <v>25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23</v>
      </c>
      <c r="D148" s="335" t="s">
        <v>1139</v>
      </c>
      <c r="E148" s="335"/>
      <c r="F148" s="335"/>
      <c r="G148" s="336" t="s">
        <v>403</v>
      </c>
      <c r="H148" s="336"/>
      <c r="I148" s="336"/>
      <c r="J148" s="336">
        <v>421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14</v>
      </c>
      <c r="D149" s="335" t="s">
        <v>1140</v>
      </c>
      <c r="E149" s="335"/>
      <c r="F149" s="335"/>
      <c r="G149" s="336" t="s">
        <v>1141</v>
      </c>
      <c r="H149" s="336"/>
      <c r="I149" s="336"/>
      <c r="J149" s="336">
        <v>39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18</v>
      </c>
      <c r="D150" s="335" t="s">
        <v>1142</v>
      </c>
      <c r="E150" s="335"/>
      <c r="F150" s="335"/>
      <c r="G150" s="336" t="s">
        <v>1143</v>
      </c>
      <c r="H150" s="336"/>
      <c r="I150" s="336"/>
      <c r="J150" s="336">
        <v>35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12</v>
      </c>
      <c r="D151" s="335" t="s">
        <v>1136</v>
      </c>
      <c r="E151" s="335"/>
      <c r="F151" s="335"/>
      <c r="G151" s="336" t="s">
        <v>372</v>
      </c>
      <c r="H151" s="336"/>
      <c r="I151" s="336"/>
      <c r="J151" s="336">
        <v>86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18</v>
      </c>
      <c r="D152" s="335" t="s">
        <v>1144</v>
      </c>
      <c r="E152" s="335"/>
      <c r="F152" s="335"/>
      <c r="G152" s="336" t="s">
        <v>1143</v>
      </c>
      <c r="H152" s="336"/>
      <c r="I152" s="336"/>
      <c r="J152" s="336">
        <v>38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13</v>
      </c>
      <c r="D153" s="335" t="s">
        <v>1113</v>
      </c>
      <c r="E153" s="335"/>
      <c r="F153" s="335"/>
      <c r="G153" s="336" t="s">
        <v>1145</v>
      </c>
      <c r="H153" s="336"/>
      <c r="I153" s="336"/>
      <c r="J153" s="336">
        <v>40</v>
      </c>
      <c r="K153" s="336"/>
      <c r="L153" s="335" t="s">
        <v>355</v>
      </c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1</v>
      </c>
      <c r="D154" s="335" t="s">
        <v>1114</v>
      </c>
      <c r="E154" s="335"/>
      <c r="F154" s="335"/>
      <c r="G154" s="336" t="s">
        <v>357</v>
      </c>
      <c r="H154" s="336"/>
      <c r="I154" s="336"/>
      <c r="J154" s="336">
        <v>41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35"/>
      <c r="E155" s="335"/>
      <c r="F155" s="335"/>
      <c r="G155" s="336"/>
      <c r="H155" s="336"/>
      <c r="I155" s="336"/>
      <c r="J155" s="336"/>
      <c r="K155" s="336"/>
      <c r="L155" s="335"/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 t="s">
        <v>261</v>
      </c>
      <c r="C156" s="215">
        <v>18</v>
      </c>
      <c r="D156" s="335" t="s">
        <v>1146</v>
      </c>
      <c r="E156" s="335"/>
      <c r="F156" s="335"/>
      <c r="G156" s="336" t="s">
        <v>357</v>
      </c>
      <c r="H156" s="336"/>
      <c r="I156" s="336"/>
      <c r="J156" s="336">
        <v>34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12</v>
      </c>
      <c r="D157" s="335" t="s">
        <v>1147</v>
      </c>
      <c r="E157" s="335"/>
      <c r="F157" s="335"/>
      <c r="G157" s="336" t="s">
        <v>372</v>
      </c>
      <c r="H157" s="336"/>
      <c r="I157" s="336"/>
      <c r="J157" s="336" t="s">
        <v>1036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35" t="s">
        <v>1148</v>
      </c>
      <c r="E158" s="335"/>
      <c r="F158" s="335"/>
      <c r="G158" s="336" t="s">
        <v>441</v>
      </c>
      <c r="H158" s="336"/>
      <c r="I158" s="336"/>
      <c r="J158" s="336" t="s">
        <v>1149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23</v>
      </c>
      <c r="D159" s="335" t="s">
        <v>1150</v>
      </c>
      <c r="E159" s="335"/>
      <c r="F159" s="335"/>
      <c r="G159" s="336" t="s">
        <v>403</v>
      </c>
      <c r="H159" s="336"/>
      <c r="I159" s="336"/>
      <c r="J159" s="336" t="s">
        <v>1151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3</v>
      </c>
      <c r="D160" s="335" t="s">
        <v>1152</v>
      </c>
      <c r="E160" s="335"/>
      <c r="F160" s="335"/>
      <c r="G160" s="336" t="s">
        <v>357</v>
      </c>
      <c r="H160" s="336"/>
      <c r="I160" s="336"/>
      <c r="J160" s="336" t="s">
        <v>1153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9</v>
      </c>
      <c r="D161" s="335" t="s">
        <v>1154</v>
      </c>
      <c r="E161" s="335"/>
      <c r="F161" s="335"/>
      <c r="G161" s="336" t="s">
        <v>766</v>
      </c>
      <c r="H161" s="336"/>
      <c r="I161" s="336"/>
      <c r="J161" s="336">
        <v>83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10</v>
      </c>
      <c r="D162" s="335" t="s">
        <v>1154</v>
      </c>
      <c r="E162" s="335"/>
      <c r="F162" s="335"/>
      <c r="G162" s="336" t="s">
        <v>766</v>
      </c>
      <c r="H162" s="336"/>
      <c r="I162" s="336"/>
      <c r="J162" s="336" t="s">
        <v>1155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35" t="s">
        <v>1148</v>
      </c>
      <c r="E163" s="335"/>
      <c r="F163" s="335"/>
      <c r="G163" s="336" t="s">
        <v>441</v>
      </c>
      <c r="H163" s="336"/>
      <c r="I163" s="336"/>
      <c r="J163" s="336" t="s">
        <v>1156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13</v>
      </c>
      <c r="D164" s="335" t="s">
        <v>1157</v>
      </c>
      <c r="E164" s="335"/>
      <c r="F164" s="335"/>
      <c r="G164" s="336" t="s">
        <v>359</v>
      </c>
      <c r="H164" s="336"/>
      <c r="I164" s="336"/>
      <c r="J164" s="336" t="s">
        <v>1158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17</v>
      </c>
      <c r="D165" s="335" t="s">
        <v>1159</v>
      </c>
      <c r="E165" s="335"/>
      <c r="F165" s="335"/>
      <c r="G165" s="336" t="s">
        <v>361</v>
      </c>
      <c r="H165" s="336"/>
      <c r="I165" s="336"/>
      <c r="J165" s="336">
        <v>18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3</v>
      </c>
      <c r="D166" s="335" t="s">
        <v>1152</v>
      </c>
      <c r="E166" s="335"/>
      <c r="F166" s="335"/>
      <c r="G166" s="336" t="s">
        <v>357</v>
      </c>
      <c r="H166" s="336"/>
      <c r="I166" s="336"/>
      <c r="J166" s="336">
        <v>25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/>
      <c r="D167" s="335"/>
      <c r="E167" s="335"/>
      <c r="F167" s="335"/>
      <c r="G167" s="336"/>
      <c r="H167" s="336"/>
      <c r="I167" s="336"/>
      <c r="J167" s="336"/>
      <c r="K167" s="336"/>
      <c r="L167" s="335"/>
      <c r="M167" s="335"/>
    </row>
    <row r="168" spans="1:18" ht="14.25" x14ac:dyDescent="0.2">
      <c r="B168" s="216" t="s">
        <v>267</v>
      </c>
      <c r="C168" s="215">
        <v>18</v>
      </c>
      <c r="D168" s="335" t="s">
        <v>1160</v>
      </c>
      <c r="E168" s="335"/>
      <c r="F168" s="335"/>
      <c r="G168" s="336" t="s">
        <v>538</v>
      </c>
      <c r="H168" s="336"/>
      <c r="I168" s="336"/>
      <c r="J168" s="336">
        <v>14</v>
      </c>
      <c r="K168" s="336"/>
      <c r="L168" s="335" t="s">
        <v>355</v>
      </c>
      <c r="M168" s="335"/>
    </row>
    <row r="169" spans="1:18" ht="14.25" x14ac:dyDescent="0.2">
      <c r="B169" s="216"/>
      <c r="C169" s="215">
        <v>3</v>
      </c>
      <c r="D169" s="335" t="s">
        <v>1161</v>
      </c>
      <c r="E169" s="335"/>
      <c r="F169" s="335"/>
      <c r="G169" s="336" t="s">
        <v>766</v>
      </c>
      <c r="H169" s="336"/>
      <c r="I169" s="336"/>
      <c r="J169" s="336">
        <v>144</v>
      </c>
      <c r="K169" s="336"/>
      <c r="L169" s="335" t="s">
        <v>355</v>
      </c>
      <c r="M169" s="335"/>
    </row>
    <row r="170" spans="1:18" ht="14.25" x14ac:dyDescent="0.2">
      <c r="B170" s="216"/>
      <c r="C170" s="215">
        <v>9</v>
      </c>
      <c r="D170" s="335" t="s">
        <v>1162</v>
      </c>
      <c r="E170" s="335"/>
      <c r="F170" s="335"/>
      <c r="G170" s="336" t="s">
        <v>357</v>
      </c>
      <c r="H170" s="336"/>
      <c r="I170" s="336"/>
      <c r="J170" s="336">
        <v>44</v>
      </c>
      <c r="K170" s="336"/>
      <c r="L170" s="335" t="s">
        <v>355</v>
      </c>
      <c r="M170" s="335"/>
    </row>
    <row r="171" spans="1:18" ht="14.25" x14ac:dyDescent="0.2">
      <c r="B171" s="216"/>
      <c r="C171" s="215">
        <v>12</v>
      </c>
      <c r="D171" s="337" t="s">
        <v>1163</v>
      </c>
      <c r="E171" s="338"/>
      <c r="F171" s="339"/>
      <c r="G171" s="336" t="s">
        <v>372</v>
      </c>
      <c r="H171" s="336"/>
      <c r="I171" s="336"/>
      <c r="J171" s="336">
        <v>82</v>
      </c>
      <c r="K171" s="336"/>
      <c r="L171" s="335" t="s">
        <v>355</v>
      </c>
      <c r="M171" s="335"/>
    </row>
    <row r="172" spans="1:18" ht="14.25" x14ac:dyDescent="0.2">
      <c r="B172" s="216"/>
      <c r="C172" s="215">
        <v>13</v>
      </c>
      <c r="D172" s="335" t="s">
        <v>1164</v>
      </c>
      <c r="E172" s="335"/>
      <c r="F172" s="335"/>
      <c r="G172" s="336" t="s">
        <v>441</v>
      </c>
      <c r="H172" s="336"/>
      <c r="I172" s="336"/>
      <c r="J172" s="336">
        <v>46</v>
      </c>
      <c r="K172" s="336"/>
      <c r="L172" s="335" t="s">
        <v>355</v>
      </c>
      <c r="M172" s="335"/>
    </row>
    <row r="173" spans="1:18" ht="14.25" x14ac:dyDescent="0.2">
      <c r="B173" s="216"/>
      <c r="C173" s="215">
        <v>8</v>
      </c>
      <c r="D173" s="335" t="s">
        <v>1161</v>
      </c>
      <c r="E173" s="335"/>
      <c r="F173" s="335"/>
      <c r="G173" s="336" t="s">
        <v>753</v>
      </c>
      <c r="H173" s="336"/>
      <c r="I173" s="336"/>
      <c r="J173" s="336">
        <v>98</v>
      </c>
      <c r="K173" s="336"/>
      <c r="L173" s="335" t="s">
        <v>355</v>
      </c>
      <c r="M173" s="335"/>
    </row>
    <row r="174" spans="1:18" ht="14.25" x14ac:dyDescent="0.2">
      <c r="B174" s="216"/>
      <c r="C174" s="215">
        <v>13</v>
      </c>
      <c r="D174" s="335" t="s">
        <v>1165</v>
      </c>
      <c r="E174" s="335"/>
      <c r="F174" s="335"/>
      <c r="G174" s="336" t="s">
        <v>359</v>
      </c>
      <c r="H174" s="336"/>
      <c r="I174" s="336"/>
      <c r="J174" s="336">
        <v>44</v>
      </c>
      <c r="K174" s="336"/>
      <c r="L174" s="335" t="s">
        <v>355</v>
      </c>
      <c r="M174" s="335"/>
    </row>
    <row r="175" spans="1:18" ht="14.25" x14ac:dyDescent="0.2">
      <c r="B175" s="216"/>
      <c r="C175" s="215">
        <v>19</v>
      </c>
      <c r="D175" s="335" t="s">
        <v>1166</v>
      </c>
      <c r="E175" s="335"/>
      <c r="F175" s="335"/>
      <c r="G175" s="336" t="s">
        <v>361</v>
      </c>
      <c r="H175" s="336"/>
      <c r="I175" s="336"/>
      <c r="J175" s="336">
        <v>12</v>
      </c>
      <c r="K175" s="336"/>
      <c r="L175" s="335" t="s">
        <v>355</v>
      </c>
      <c r="M175" s="335"/>
    </row>
    <row r="176" spans="1:18" ht="14.25" x14ac:dyDescent="0.2">
      <c r="B176" s="216"/>
      <c r="C176" s="215">
        <v>12</v>
      </c>
      <c r="D176" s="335" t="s">
        <v>1163</v>
      </c>
      <c r="E176" s="335"/>
      <c r="F176" s="335"/>
      <c r="G176" s="336" t="s">
        <v>372</v>
      </c>
      <c r="H176" s="336"/>
      <c r="I176" s="336"/>
      <c r="J176" s="336">
        <v>84</v>
      </c>
      <c r="K176" s="336"/>
      <c r="L176" s="335" t="s">
        <v>355</v>
      </c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BC4BEB7C-F1AE-4BE9-B74D-864552952918}">
      <formula1>INDIRECT(D63)</formula1>
    </dataValidation>
  </dataValidations>
  <hyperlinks>
    <hyperlink ref="J14:L15" location="Summary!A1" display="MTD Summary " xr:uid="{F247F100-4851-4A61-A1D3-10A7C2624AC4}"/>
    <hyperlink ref="J16:L17" location="Graph!A1" display="MTD Trendings" xr:uid="{CEB3BCDD-2ADB-4CCE-9651-5377BE0BBE0F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382F271-9DD2-487F-A929-113B69118087}">
          <x14:formula1>
            <xm:f>Sheet3!$B$3:$B$5</xm:f>
          </x14:formula1>
          <xm:sqref>B143:B165 B132 B168</xm:sqref>
        </x14:dataValidation>
        <x14:dataValidation type="list" allowBlank="1" showInputMessage="1" xr:uid="{9474321F-BF5A-4AC8-9500-5E697DE909B1}">
          <x14:formula1>
            <xm:f>Sheet3!$D$3:$D$11</xm:f>
          </x14:formula1>
          <xm:sqref>C132</xm:sqref>
        </x14:dataValidation>
        <x14:dataValidation type="list" allowBlank="1" showInputMessage="1" showErrorMessage="1" xr:uid="{D53CD294-1ED2-44F7-AE87-CD07141687D3}">
          <x14:formula1>
            <xm:f>Sheet3!$C$3:$C$4</xm:f>
          </x14:formula1>
          <xm:sqref>M63:M132</xm:sqref>
        </x14:dataValidation>
        <x14:dataValidation type="list" allowBlank="1" showInputMessage="1" showErrorMessage="1" xr:uid="{2CC68C37-ACFE-4BBF-A689-2ACAE15EE4B2}">
          <x14:formula1>
            <xm:f>List!$B$5:$B$8</xm:f>
          </x14:formula1>
          <xm:sqref>B63:B131</xm:sqref>
        </x14:dataValidation>
        <x14:dataValidation type="list" allowBlank="1" showInputMessage="1" showErrorMessage="1" xr:uid="{AFBCF83A-9976-4756-BDAC-4D1C70B1C90C}">
          <x14:formula1>
            <xm:f>List!$B$10:$B$12</xm:f>
          </x14:formula1>
          <xm:sqref>C63:C131</xm:sqref>
        </x14:dataValidation>
        <x14:dataValidation type="list" allowBlank="1" showInputMessage="1" showErrorMessage="1" xr:uid="{95339820-57BE-48B7-927A-F3EEF88A11F0}">
          <x14:formula1>
            <xm:f>List!$C$5:$C$14</xm:f>
          </x14:formula1>
          <xm:sqref>D63:D131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5C20-EC8E-47BF-9EAE-DD1D8978361D}">
  <sheetPr>
    <pageSetUpPr fitToPage="1"/>
  </sheetPr>
  <dimension ref="A1:R188"/>
  <sheetViews>
    <sheetView showGridLines="0" view="pageBreakPreview" topLeftCell="B40" zoomScale="80" zoomScaleNormal="90" zoomScaleSheetLayoutView="80" zoomScalePageLayoutView="80" workbookViewId="0">
      <selection activeCell="I39" sqref="I39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24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1720.6</v>
      </c>
      <c r="K6" s="420"/>
      <c r="L6" s="420">
        <f ca="1">Summary!G31</f>
        <v>1486.527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110</v>
      </c>
      <c r="E7" s="84">
        <v>70</v>
      </c>
      <c r="F7" s="395">
        <v>40</v>
      </c>
      <c r="G7" s="396"/>
      <c r="H7" s="374">
        <f>SUM(D7:D10)</f>
        <v>570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160</v>
      </c>
      <c r="E8" s="86">
        <v>70</v>
      </c>
      <c r="F8" s="397">
        <v>40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150</v>
      </c>
      <c r="E9" s="86">
        <v>70</v>
      </c>
      <c r="F9" s="397">
        <v>40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150</v>
      </c>
      <c r="E10" s="88">
        <v>70</v>
      </c>
      <c r="F10" s="399">
        <v>40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130</v>
      </c>
      <c r="E11" s="90">
        <v>70</v>
      </c>
      <c r="F11" s="386">
        <v>40</v>
      </c>
      <c r="G11" s="387"/>
      <c r="H11" s="388">
        <f>SUM(D11:D14)</f>
        <v>630.33000000000004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160</v>
      </c>
      <c r="E12" s="92">
        <v>70</v>
      </c>
      <c r="F12" s="391">
        <v>40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180</v>
      </c>
      <c r="E13" s="92">
        <v>70</v>
      </c>
      <c r="F13" s="391">
        <v>40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160.33000000000001</v>
      </c>
      <c r="E14" s="94">
        <v>70</v>
      </c>
      <c r="F14" s="393">
        <v>40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110</v>
      </c>
      <c r="E15" s="96">
        <v>70</v>
      </c>
      <c r="F15" s="372">
        <v>40</v>
      </c>
      <c r="G15" s="373"/>
      <c r="H15" s="374">
        <f>SUM(D15:D18)</f>
        <v>520.27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80</v>
      </c>
      <c r="E16" s="98">
        <v>70</v>
      </c>
      <c r="F16" s="401">
        <v>40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160</v>
      </c>
      <c r="E17" s="98">
        <v>70</v>
      </c>
      <c r="F17" s="401">
        <v>40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170.27</v>
      </c>
      <c r="E18" s="100">
        <v>70</v>
      </c>
      <c r="F18" s="404">
        <v>40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1720.6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8</v>
      </c>
      <c r="D25" s="102">
        <v>130</v>
      </c>
      <c r="E25" s="56">
        <v>7</v>
      </c>
      <c r="F25" s="107">
        <v>29</v>
      </c>
      <c r="G25" s="410">
        <v>7</v>
      </c>
      <c r="H25" s="411"/>
      <c r="I25" s="111">
        <v>48</v>
      </c>
      <c r="J25" s="38">
        <f t="shared" ref="J25:J40" si="0">C25+E25+G25</f>
        <v>22</v>
      </c>
      <c r="K25" s="412">
        <f>D25+F25+I25</f>
        <v>207</v>
      </c>
      <c r="L25" s="413"/>
      <c r="M25" s="2"/>
    </row>
    <row r="26" spans="2:14" ht="14.1" customHeight="1" x14ac:dyDescent="0.2">
      <c r="B26" s="80" t="s">
        <v>281</v>
      </c>
      <c r="C26" s="45">
        <v>5</v>
      </c>
      <c r="D26" s="103">
        <v>125</v>
      </c>
      <c r="E26" s="57">
        <v>6</v>
      </c>
      <c r="F26" s="108">
        <v>136</v>
      </c>
      <c r="G26" s="406">
        <v>6</v>
      </c>
      <c r="H26" s="407"/>
      <c r="I26" s="112">
        <v>112</v>
      </c>
      <c r="J26" s="25">
        <f t="shared" si="0"/>
        <v>17</v>
      </c>
      <c r="K26" s="408">
        <f t="shared" ref="K26:K39" si="1">D26+F26+I26</f>
        <v>373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64</v>
      </c>
      <c r="E27" s="57"/>
      <c r="F27" s="108">
        <v>78</v>
      </c>
      <c r="G27" s="406"/>
      <c r="H27" s="407"/>
      <c r="I27" s="112">
        <v>186</v>
      </c>
      <c r="J27" s="25">
        <f t="shared" si="0"/>
        <v>0</v>
      </c>
      <c r="K27" s="408">
        <f t="shared" si="1"/>
        <v>328</v>
      </c>
      <c r="L27" s="409"/>
      <c r="M27" s="2"/>
    </row>
    <row r="28" spans="2:14" ht="14.1" customHeight="1" x14ac:dyDescent="0.2">
      <c r="B28" s="80" t="s">
        <v>283</v>
      </c>
      <c r="C28" s="45">
        <v>5</v>
      </c>
      <c r="D28" s="103"/>
      <c r="E28" s="57">
        <v>6</v>
      </c>
      <c r="F28" s="108"/>
      <c r="G28" s="406">
        <v>6</v>
      </c>
      <c r="H28" s="407"/>
      <c r="I28" s="112"/>
      <c r="J28" s="25">
        <f t="shared" si="0"/>
        <v>17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3</v>
      </c>
      <c r="D29" s="103"/>
      <c r="E29" s="57">
        <v>5</v>
      </c>
      <c r="F29" s="108"/>
      <c r="G29" s="406">
        <v>4</v>
      </c>
      <c r="H29" s="407"/>
      <c r="I29" s="112"/>
      <c r="J29" s="25">
        <f t="shared" si="0"/>
        <v>12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>
        <v>1</v>
      </c>
      <c r="D30" s="103">
        <v>19.5</v>
      </c>
      <c r="E30" s="57"/>
      <c r="F30" s="108"/>
      <c r="G30" s="406"/>
      <c r="H30" s="407"/>
      <c r="I30" s="112">
        <v>20.100000000000001</v>
      </c>
      <c r="J30" s="25">
        <f t="shared" si="0"/>
        <v>1</v>
      </c>
      <c r="K30" s="408">
        <f t="shared" si="1"/>
        <v>39.6</v>
      </c>
      <c r="L30" s="409"/>
    </row>
    <row r="31" spans="2:14" ht="14.1" customHeight="1" x14ac:dyDescent="0.2">
      <c r="B31" s="80" t="s">
        <v>286</v>
      </c>
      <c r="C31" s="45">
        <v>1</v>
      </c>
      <c r="D31" s="103"/>
      <c r="E31" s="57">
        <v>3</v>
      </c>
      <c r="F31" s="108"/>
      <c r="G31" s="406">
        <v>2</v>
      </c>
      <c r="H31" s="407"/>
      <c r="I31" s="112"/>
      <c r="J31" s="25">
        <f t="shared" si="0"/>
        <v>6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/>
      <c r="F32" s="108"/>
      <c r="G32" s="406">
        <v>2</v>
      </c>
      <c r="H32" s="407"/>
      <c r="I32" s="112"/>
      <c r="J32" s="25">
        <f t="shared" si="0"/>
        <v>3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/>
      <c r="G33" s="406">
        <v>1</v>
      </c>
      <c r="H33" s="407"/>
      <c r="I33" s="112"/>
      <c r="J33" s="25">
        <f t="shared" si="0"/>
        <v>1</v>
      </c>
      <c r="K33" s="408">
        <f t="shared" si="1"/>
        <v>0</v>
      </c>
      <c r="L33" s="409"/>
    </row>
    <row r="34" spans="1:16" ht="14.1" customHeight="1" x14ac:dyDescent="0.2">
      <c r="B34" s="80" t="s">
        <v>289</v>
      </c>
      <c r="C34" s="45"/>
      <c r="D34" s="103"/>
      <c r="E34" s="57">
        <v>1</v>
      </c>
      <c r="F34" s="108"/>
      <c r="G34" s="406"/>
      <c r="H34" s="407"/>
      <c r="I34" s="112"/>
      <c r="J34" s="25">
        <f t="shared" si="0"/>
        <v>1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/>
      <c r="E36" s="58"/>
      <c r="F36" s="109">
        <v>23.1</v>
      </c>
      <c r="G36" s="406"/>
      <c r="H36" s="407"/>
      <c r="I36" s="113"/>
      <c r="J36" s="25">
        <f t="shared" si="0"/>
        <v>0</v>
      </c>
      <c r="K36" s="408">
        <f t="shared" si="1"/>
        <v>23.1</v>
      </c>
      <c r="L36" s="409"/>
    </row>
    <row r="37" spans="1:16" ht="14.1" customHeight="1" x14ac:dyDescent="0.2">
      <c r="B37" s="37" t="s">
        <v>292</v>
      </c>
      <c r="C37" s="55"/>
      <c r="D37" s="104">
        <v>4</v>
      </c>
      <c r="E37" s="58"/>
      <c r="F37" s="109">
        <v>5</v>
      </c>
      <c r="G37" s="406"/>
      <c r="H37" s="407"/>
      <c r="I37" s="113">
        <v>5</v>
      </c>
      <c r="J37" s="25">
        <f t="shared" si="0"/>
        <v>0</v>
      </c>
      <c r="K37" s="408">
        <f t="shared" si="1"/>
        <v>14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v>120</v>
      </c>
      <c r="J38" s="25">
        <f t="shared" si="0"/>
        <v>0</v>
      </c>
      <c r="K38" s="408">
        <f t="shared" si="1"/>
        <v>120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165</v>
      </c>
      <c r="J39" s="25">
        <f t="shared" si="0"/>
        <v>0</v>
      </c>
      <c r="K39" s="408">
        <f t="shared" si="1"/>
        <v>165</v>
      </c>
      <c r="L39" s="409"/>
    </row>
    <row r="40" spans="1:16" ht="14.1" customHeight="1" thickBot="1" x14ac:dyDescent="0.25">
      <c r="B40" s="81" t="s">
        <v>295</v>
      </c>
      <c r="C40" s="47"/>
      <c r="D40" s="105">
        <v>66.858999999999995</v>
      </c>
      <c r="E40" s="59"/>
      <c r="F40" s="110">
        <v>131.68799999999999</v>
      </c>
      <c r="G40" s="473"/>
      <c r="H40" s="474"/>
      <c r="I40" s="114">
        <v>98.28</v>
      </c>
      <c r="J40" s="26">
        <f t="shared" si="0"/>
        <v>0</v>
      </c>
      <c r="K40" s="475">
        <f>D40+F40+I40</f>
        <v>296.827</v>
      </c>
      <c r="L40" s="476"/>
    </row>
    <row r="41" spans="1:16" ht="17.25" customHeight="1" x14ac:dyDescent="0.2">
      <c r="B41" s="15" t="s">
        <v>273</v>
      </c>
      <c r="C41" s="16">
        <f>SUM(C25:C40)</f>
        <v>24</v>
      </c>
      <c r="D41" s="106">
        <f>SUM(D25:D40)</f>
        <v>409.35899999999998</v>
      </c>
      <c r="E41" s="16">
        <f>SUM(E25:E40)</f>
        <v>28</v>
      </c>
      <c r="F41" s="106">
        <f>SUM(F25:F40)</f>
        <v>402.78800000000001</v>
      </c>
      <c r="G41" s="430">
        <f>SUM(G25:H40)</f>
        <v>28</v>
      </c>
      <c r="H41" s="430"/>
      <c r="I41" s="106">
        <f>SUM(I25:I40)</f>
        <v>754.38</v>
      </c>
      <c r="J41" s="16">
        <f>SUM(J25:J40)</f>
        <v>80</v>
      </c>
      <c r="K41" s="477">
        <f>SUM(K25:L40)</f>
        <v>1566.527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/>
      <c r="D45" s="210"/>
      <c r="E45" s="209"/>
      <c r="F45" s="210"/>
      <c r="G45" s="471"/>
      <c r="H45" s="472"/>
      <c r="I45" s="210"/>
      <c r="J45" s="210">
        <v>0.25</v>
      </c>
      <c r="K45" s="209">
        <v>0.3</v>
      </c>
      <c r="L45" s="210"/>
      <c r="M45" s="211"/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12.5</v>
      </c>
      <c r="K46" s="40">
        <f>K45*50</f>
        <v>15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/>
      <c r="D48" s="209"/>
      <c r="E48" s="209"/>
      <c r="F48" s="209">
        <v>0.1</v>
      </c>
      <c r="G48" s="442">
        <v>0.1</v>
      </c>
      <c r="H48" s="443"/>
      <c r="I48" s="209">
        <v>0.4</v>
      </c>
      <c r="J48" s="209">
        <v>0</v>
      </c>
      <c r="K48" s="209">
        <v>0.1</v>
      </c>
      <c r="L48" s="209">
        <v>0</v>
      </c>
      <c r="M48" s="211">
        <v>0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16</v>
      </c>
      <c r="G49" s="438">
        <f>G48*100</f>
        <v>10</v>
      </c>
      <c r="H49" s="439"/>
      <c r="I49" s="40">
        <f>I48*100</f>
        <v>40</v>
      </c>
      <c r="J49" s="40">
        <f>J48*150</f>
        <v>0</v>
      </c>
      <c r="K49" s="40">
        <f>K48*70</f>
        <v>7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</v>
      </c>
      <c r="D51" s="213">
        <v>0</v>
      </c>
      <c r="E51" s="214">
        <v>0</v>
      </c>
      <c r="F51" s="209"/>
      <c r="G51" s="442"/>
      <c r="H51" s="443"/>
      <c r="I51" s="209">
        <v>0.1</v>
      </c>
      <c r="J51" s="209">
        <v>0.1</v>
      </c>
      <c r="K51" s="209">
        <v>0.02</v>
      </c>
      <c r="L51" s="209">
        <v>0.31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25</v>
      </c>
      <c r="J52" s="41">
        <f>J51*250</f>
        <v>25</v>
      </c>
      <c r="K52" s="41">
        <f>K51*250</f>
        <v>5</v>
      </c>
      <c r="L52" s="41">
        <f>L51*250</f>
        <v>77.5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233</v>
      </c>
      <c r="F54" s="39" t="s">
        <v>309</v>
      </c>
      <c r="G54" s="188"/>
      <c r="H54" s="188"/>
      <c r="I54" s="30">
        <f>'23'!D54</f>
        <v>256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>
        <v>172300</v>
      </c>
      <c r="D58" s="60">
        <v>18810</v>
      </c>
      <c r="E58" s="124">
        <f>SUM(C58:D58)</f>
        <v>191110</v>
      </c>
      <c r="F58" s="425"/>
      <c r="G58" s="426"/>
      <c r="H58" s="60">
        <v>3754</v>
      </c>
      <c r="I58" s="61">
        <v>3380</v>
      </c>
      <c r="J58" s="422"/>
      <c r="K58" s="428"/>
      <c r="L58" s="60">
        <v>6744</v>
      </c>
      <c r="M58" s="61">
        <f>L58/3</f>
        <v>2248</v>
      </c>
      <c r="N58" s="288">
        <v>3.92</v>
      </c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111.0717191677322</v>
      </c>
      <c r="D59" s="432"/>
      <c r="E59" s="433"/>
      <c r="F59" s="434" t="s">
        <v>321</v>
      </c>
      <c r="G59" s="435"/>
      <c r="H59" s="436">
        <f>IF(ISERROR(SUM(H58:I58)/$H$19),"",(SUM(H58:I58)/$H$19))</f>
        <v>4.1462280599790775</v>
      </c>
      <c r="I59" s="437"/>
      <c r="J59" s="434" t="s">
        <v>322</v>
      </c>
      <c r="K59" s="435"/>
      <c r="L59" s="115">
        <f>IF(ISERROR(L58/$H$19),"",(L58/$H$19))</f>
        <v>3.919562943159363</v>
      </c>
      <c r="M59" s="116">
        <f>IF(ISERROR(M58/$H$19),"",(M58/$H$19))</f>
        <v>1.3065209810531211</v>
      </c>
      <c r="N59" s="194">
        <f>N58*H19</f>
        <v>6744.7519999999995</v>
      </c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0.76736111111111105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14</v>
      </c>
      <c r="C63" s="236" t="s">
        <v>22</v>
      </c>
      <c r="D63" s="236" t="s">
        <v>29</v>
      </c>
      <c r="E63" s="322" t="s">
        <v>108</v>
      </c>
      <c r="F63" s="324"/>
      <c r="G63" s="322" t="s">
        <v>1167</v>
      </c>
      <c r="H63" s="323"/>
      <c r="I63" s="323"/>
      <c r="J63" s="324"/>
      <c r="K63" s="238">
        <v>0.30555555555555552</v>
      </c>
      <c r="L63" s="238">
        <v>0.32291666666666669</v>
      </c>
      <c r="M63" s="236" t="s">
        <v>9</v>
      </c>
      <c r="N63" s="237">
        <f t="shared" ref="N63:N126" si="2">IF(M63="No","",IF(M63="Yes",(L63-K63+(L63&lt;K63)),""))</f>
        <v>1.736111111111116E-2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29</v>
      </c>
      <c r="E64" s="322" t="s">
        <v>109</v>
      </c>
      <c r="F64" s="324"/>
      <c r="G64" s="322" t="s">
        <v>1168</v>
      </c>
      <c r="H64" s="323"/>
      <c r="I64" s="323"/>
      <c r="J64" s="324"/>
      <c r="K64" s="238">
        <v>0.44444444444444442</v>
      </c>
      <c r="L64" s="238">
        <v>0.46527777777777773</v>
      </c>
      <c r="M64" s="236" t="s">
        <v>9</v>
      </c>
      <c r="N64" s="237">
        <f t="shared" si="2"/>
        <v>2.0833333333333315E-2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29</v>
      </c>
      <c r="E65" s="322"/>
      <c r="F65" s="324"/>
      <c r="G65" s="322" t="s">
        <v>1169</v>
      </c>
      <c r="H65" s="323"/>
      <c r="I65" s="323"/>
      <c r="J65" s="324"/>
      <c r="K65" s="239">
        <v>0.3611111111111111</v>
      </c>
      <c r="L65" s="239">
        <v>0.375</v>
      </c>
      <c r="M65" s="236" t="s">
        <v>9</v>
      </c>
      <c r="N65" s="237">
        <f t="shared" si="2"/>
        <v>1.3888888888888895E-2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11</v>
      </c>
      <c r="E66" s="322"/>
      <c r="F66" s="324"/>
      <c r="G66" s="322" t="s">
        <v>1170</v>
      </c>
      <c r="H66" s="323"/>
      <c r="I66" s="323"/>
      <c r="J66" s="324"/>
      <c r="K66" s="239">
        <v>0.3611111111111111</v>
      </c>
      <c r="L66" s="239">
        <v>0.5</v>
      </c>
      <c r="M66" s="236" t="s">
        <v>9</v>
      </c>
      <c r="N66" s="237">
        <f t="shared" si="2"/>
        <v>0.1388888888888889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11</v>
      </c>
      <c r="E67" s="322"/>
      <c r="F67" s="324"/>
      <c r="G67" s="322" t="s">
        <v>1171</v>
      </c>
      <c r="H67" s="323"/>
      <c r="I67" s="323"/>
      <c r="J67" s="324"/>
      <c r="K67" s="238">
        <v>0.47916666666666669</v>
      </c>
      <c r="L67" s="238">
        <v>0.52083333333333337</v>
      </c>
      <c r="M67" s="236" t="s">
        <v>9</v>
      </c>
      <c r="N67" s="237">
        <f t="shared" si="2"/>
        <v>4.1666666666666685E-2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23</v>
      </c>
      <c r="E68" s="322" t="s">
        <v>109</v>
      </c>
      <c r="F68" s="324"/>
      <c r="G68" s="322" t="s">
        <v>1070</v>
      </c>
      <c r="H68" s="323"/>
      <c r="I68" s="323"/>
      <c r="J68" s="324"/>
      <c r="K68" s="239">
        <v>0.47916666666666669</v>
      </c>
      <c r="L68" s="239">
        <v>0.52083333333333337</v>
      </c>
      <c r="M68" s="236" t="s">
        <v>9</v>
      </c>
      <c r="N68" s="237">
        <f t="shared" si="2"/>
        <v>4.1666666666666685E-2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23</v>
      </c>
      <c r="E69" s="322"/>
      <c r="F69" s="324"/>
      <c r="G69" s="322" t="s">
        <v>1172</v>
      </c>
      <c r="H69" s="323"/>
      <c r="I69" s="323"/>
      <c r="J69" s="324"/>
      <c r="K69" s="239">
        <v>0.31944444444444448</v>
      </c>
      <c r="L69" s="239">
        <v>0.40277777777777773</v>
      </c>
      <c r="M69" s="236" t="s">
        <v>9</v>
      </c>
      <c r="N69" s="237">
        <f t="shared" si="2"/>
        <v>8.3333333333333259E-2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322"/>
      <c r="F70" s="324"/>
      <c r="K70" s="239">
        <v>0.4236111111111111</v>
      </c>
      <c r="L70" s="239">
        <v>0.45833333333333331</v>
      </c>
      <c r="M70" s="236" t="s">
        <v>9</v>
      </c>
      <c r="N70" s="237">
        <f t="shared" si="2"/>
        <v>3.472222222222221E-2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322"/>
      <c r="F71" s="324"/>
      <c r="G71" s="322"/>
      <c r="H71" s="323"/>
      <c r="I71" s="323"/>
      <c r="J71" s="324"/>
      <c r="K71" s="239">
        <v>0.56944444444444442</v>
      </c>
      <c r="L71" s="239">
        <v>0.59027777777777779</v>
      </c>
      <c r="M71" s="236" t="s">
        <v>9</v>
      </c>
      <c r="N71" s="237">
        <f t="shared" si="2"/>
        <v>2.083333333333337E-2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322"/>
      <c r="F72" s="324"/>
      <c r="G72" s="322"/>
      <c r="H72" s="323"/>
      <c r="I72" s="323"/>
      <c r="J72" s="324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 t="s">
        <v>17</v>
      </c>
      <c r="C73" s="236" t="s">
        <v>25</v>
      </c>
      <c r="D73" s="236" t="s">
        <v>26</v>
      </c>
      <c r="E73" s="322"/>
      <c r="F73" s="324"/>
      <c r="G73" s="322" t="s">
        <v>525</v>
      </c>
      <c r="H73" s="323"/>
      <c r="I73" s="323"/>
      <c r="J73" s="324"/>
      <c r="K73" s="239">
        <v>0.58333333333333337</v>
      </c>
      <c r="L73" s="239">
        <v>0.70833333333333337</v>
      </c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26</v>
      </c>
      <c r="E74" s="322" t="s">
        <v>106</v>
      </c>
      <c r="F74" s="324"/>
      <c r="G74" s="322" t="s">
        <v>606</v>
      </c>
      <c r="H74" s="323"/>
      <c r="I74" s="323"/>
      <c r="J74" s="324"/>
      <c r="K74" s="238">
        <v>0.70833333333333337</v>
      </c>
      <c r="L74" s="238">
        <v>0.74305555555555547</v>
      </c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23</v>
      </c>
      <c r="E75" s="322"/>
      <c r="F75" s="324"/>
      <c r="G75" s="322" t="s">
        <v>605</v>
      </c>
      <c r="H75" s="323"/>
      <c r="I75" s="323"/>
      <c r="J75" s="324"/>
      <c r="K75" s="239">
        <v>0.61805555555555558</v>
      </c>
      <c r="L75" s="239">
        <v>0.65972222222222221</v>
      </c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23</v>
      </c>
      <c r="E76" s="322"/>
      <c r="F76" s="324"/>
      <c r="G76" s="322" t="s">
        <v>605</v>
      </c>
      <c r="H76" s="323"/>
      <c r="I76" s="323"/>
      <c r="J76" s="324"/>
      <c r="K76" s="239">
        <v>0.77083333333333337</v>
      </c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322"/>
      <c r="F77" s="324"/>
      <c r="G77" s="322"/>
      <c r="H77" s="323"/>
      <c r="I77" s="323"/>
      <c r="J77" s="324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 t="s">
        <v>6</v>
      </c>
      <c r="C78" s="236" t="s">
        <v>28</v>
      </c>
      <c r="D78" s="236" t="s">
        <v>15</v>
      </c>
      <c r="E78" s="322"/>
      <c r="F78" s="324"/>
      <c r="G78" s="322" t="s">
        <v>1173</v>
      </c>
      <c r="H78" s="323"/>
      <c r="I78" s="323"/>
      <c r="J78" s="324"/>
      <c r="K78" s="239">
        <v>1</v>
      </c>
      <c r="L78" s="239">
        <v>0.15277777777777776</v>
      </c>
      <c r="M78" s="236" t="s">
        <v>9</v>
      </c>
      <c r="N78" s="237">
        <f t="shared" si="2"/>
        <v>0.15277777777777779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18</v>
      </c>
      <c r="E79" s="322" t="s">
        <v>86</v>
      </c>
      <c r="F79" s="324"/>
      <c r="G79" s="322" t="s">
        <v>1174</v>
      </c>
      <c r="H79" s="323"/>
      <c r="I79" s="323"/>
      <c r="J79" s="324"/>
      <c r="K79" s="239">
        <v>4.1666666666666664E-2</v>
      </c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 t="s">
        <v>29</v>
      </c>
      <c r="E80" s="322"/>
      <c r="F80" s="324"/>
      <c r="G80" s="322" t="s">
        <v>388</v>
      </c>
      <c r="H80" s="323"/>
      <c r="I80" s="323"/>
      <c r="J80" s="324"/>
      <c r="K80" s="239">
        <v>5.5555555555555552E-2</v>
      </c>
      <c r="L80" s="239">
        <v>6.9444444444444434E-2</v>
      </c>
      <c r="M80" s="236" t="s">
        <v>9</v>
      </c>
      <c r="N80" s="237">
        <f t="shared" si="2"/>
        <v>1.3888888888888881E-2</v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 t="s">
        <v>23</v>
      </c>
      <c r="E81" s="322"/>
      <c r="F81" s="324"/>
      <c r="G81" s="322" t="s">
        <v>605</v>
      </c>
      <c r="H81" s="323"/>
      <c r="I81" s="323"/>
      <c r="J81" s="324"/>
      <c r="K81" s="239">
        <v>0.95833333333333337</v>
      </c>
      <c r="L81" s="239">
        <v>1.0208333333333333</v>
      </c>
      <c r="M81" s="236" t="s">
        <v>9</v>
      </c>
      <c r="N81" s="237">
        <f t="shared" si="2"/>
        <v>6.2499999999999889E-2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 t="s">
        <v>20</v>
      </c>
      <c r="E82" s="322"/>
      <c r="F82" s="324"/>
      <c r="G82" s="322" t="s">
        <v>593</v>
      </c>
      <c r="H82" s="323"/>
      <c r="I82" s="323"/>
      <c r="J82" s="324"/>
      <c r="K82" s="239">
        <v>4.1666666666666664E-2</v>
      </c>
      <c r="L82" s="239">
        <v>0.125</v>
      </c>
      <c r="M82" s="236" t="s">
        <v>9</v>
      </c>
      <c r="N82" s="237">
        <f t="shared" si="2"/>
        <v>8.3333333333333343E-2</v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 t="s">
        <v>26</v>
      </c>
      <c r="E83" s="322"/>
      <c r="F83" s="324"/>
      <c r="G83" s="322" t="s">
        <v>525</v>
      </c>
      <c r="H83" s="323"/>
      <c r="I83" s="323"/>
      <c r="J83" s="324"/>
      <c r="K83" s="239">
        <v>0.1875</v>
      </c>
      <c r="L83" s="239">
        <v>0.22916666666666666</v>
      </c>
      <c r="M83" s="236" t="s">
        <v>9</v>
      </c>
      <c r="N83" s="237">
        <f t="shared" si="2"/>
        <v>4.1666666666666657E-2</v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 t="s">
        <v>18</v>
      </c>
      <c r="E84" s="322"/>
      <c r="F84" s="324"/>
      <c r="G84" s="322" t="s">
        <v>1175</v>
      </c>
      <c r="H84" s="323"/>
      <c r="I84" s="323"/>
      <c r="J84" s="324"/>
      <c r="K84" s="239">
        <v>0.5</v>
      </c>
      <c r="L84" s="239">
        <v>0.15277777777777776</v>
      </c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 t="s">
        <v>1176</v>
      </c>
      <c r="D136" s="481"/>
      <c r="E136" s="463" t="s">
        <v>881</v>
      </c>
      <c r="F136" s="464"/>
      <c r="G136" s="452" t="s">
        <v>393</v>
      </c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347</v>
      </c>
      <c r="D137" s="479"/>
      <c r="E137" s="463" t="s">
        <v>438</v>
      </c>
      <c r="F137" s="464"/>
      <c r="G137" s="452" t="s">
        <v>395</v>
      </c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35"/>
      <c r="E143" s="335"/>
      <c r="F143" s="335"/>
      <c r="G143" s="336"/>
      <c r="H143" s="336"/>
      <c r="I143" s="336"/>
      <c r="J143" s="336"/>
      <c r="K143" s="336"/>
      <c r="L143" s="335"/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 t="s">
        <v>255</v>
      </c>
      <c r="C144" s="215">
        <v>9</v>
      </c>
      <c r="D144" s="335" t="s">
        <v>1177</v>
      </c>
      <c r="E144" s="335"/>
      <c r="F144" s="335"/>
      <c r="G144" s="336" t="s">
        <v>367</v>
      </c>
      <c r="H144" s="336"/>
      <c r="I144" s="336"/>
      <c r="J144" s="336">
        <v>31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 t="s">
        <v>1178</v>
      </c>
      <c r="D145" s="335" t="s">
        <v>1179</v>
      </c>
      <c r="E145" s="335"/>
      <c r="F145" s="335"/>
      <c r="G145" s="336" t="s">
        <v>766</v>
      </c>
      <c r="H145" s="336"/>
      <c r="I145" s="336"/>
      <c r="J145" s="336">
        <v>141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3</v>
      </c>
      <c r="D146" s="335" t="s">
        <v>1180</v>
      </c>
      <c r="E146" s="335"/>
      <c r="F146" s="335"/>
      <c r="G146" s="336" t="s">
        <v>1141</v>
      </c>
      <c r="H146" s="336"/>
      <c r="I146" s="336"/>
      <c r="J146" s="336">
        <v>20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17</v>
      </c>
      <c r="D147" s="335" t="s">
        <v>1181</v>
      </c>
      <c r="E147" s="335"/>
      <c r="F147" s="335"/>
      <c r="G147" s="336" t="s">
        <v>361</v>
      </c>
      <c r="H147" s="336"/>
      <c r="I147" s="336"/>
      <c r="J147" s="336">
        <v>10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18</v>
      </c>
      <c r="D148" s="335" t="s">
        <v>1182</v>
      </c>
      <c r="E148" s="335"/>
      <c r="F148" s="335"/>
      <c r="G148" s="336" t="s">
        <v>538</v>
      </c>
      <c r="H148" s="336"/>
      <c r="I148" s="336"/>
      <c r="J148" s="336">
        <v>9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13</v>
      </c>
      <c r="D149" s="335" t="s">
        <v>1183</v>
      </c>
      <c r="E149" s="335"/>
      <c r="F149" s="335"/>
      <c r="G149" s="336" t="s">
        <v>857</v>
      </c>
      <c r="H149" s="336"/>
      <c r="I149" s="336"/>
      <c r="J149" s="336">
        <v>41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12</v>
      </c>
      <c r="D150" s="335" t="s">
        <v>1184</v>
      </c>
      <c r="E150" s="335"/>
      <c r="F150" s="335"/>
      <c r="G150" s="336" t="s">
        <v>372</v>
      </c>
      <c r="H150" s="336"/>
      <c r="I150" s="336"/>
      <c r="J150" s="336">
        <v>90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8</v>
      </c>
      <c r="D151" s="335" t="s">
        <v>1179</v>
      </c>
      <c r="E151" s="335"/>
      <c r="F151" s="335"/>
      <c r="G151" s="336" t="s">
        <v>363</v>
      </c>
      <c r="H151" s="336"/>
      <c r="I151" s="336"/>
      <c r="J151" s="336">
        <v>189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35" t="s">
        <v>1185</v>
      </c>
      <c r="E152" s="335"/>
      <c r="F152" s="335"/>
      <c r="G152" s="336" t="s">
        <v>354</v>
      </c>
      <c r="H152" s="336"/>
      <c r="I152" s="336"/>
      <c r="J152" s="336">
        <v>33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12</v>
      </c>
      <c r="D153" s="335" t="s">
        <v>1184</v>
      </c>
      <c r="E153" s="335"/>
      <c r="F153" s="335"/>
      <c r="G153" s="336" t="s">
        <v>372</v>
      </c>
      <c r="H153" s="336"/>
      <c r="I153" s="336"/>
      <c r="J153" s="336">
        <v>96</v>
      </c>
      <c r="K153" s="336"/>
      <c r="L153" s="335" t="s">
        <v>355</v>
      </c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23</v>
      </c>
      <c r="D154" s="335" t="s">
        <v>1186</v>
      </c>
      <c r="E154" s="335"/>
      <c r="F154" s="335"/>
      <c r="G154" s="336" t="s">
        <v>403</v>
      </c>
      <c r="H154" s="336"/>
      <c r="I154" s="336"/>
      <c r="J154" s="336">
        <v>446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3</v>
      </c>
      <c r="D155" s="335" t="s">
        <v>1074</v>
      </c>
      <c r="E155" s="335"/>
      <c r="F155" s="335"/>
      <c r="G155" s="336" t="s">
        <v>766</v>
      </c>
      <c r="H155" s="336"/>
      <c r="I155" s="336"/>
      <c r="J155" s="336">
        <v>86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3</v>
      </c>
      <c r="D156" s="335" t="s">
        <v>1187</v>
      </c>
      <c r="E156" s="335"/>
      <c r="F156" s="335"/>
      <c r="G156" s="336" t="s">
        <v>357</v>
      </c>
      <c r="H156" s="336"/>
      <c r="I156" s="336"/>
      <c r="J156" s="336">
        <v>87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335"/>
      <c r="E157" s="335"/>
      <c r="F157" s="335"/>
      <c r="G157" s="336"/>
      <c r="H157" s="336"/>
      <c r="I157" s="336"/>
      <c r="J157" s="336"/>
      <c r="K157" s="336"/>
      <c r="L157" s="335"/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 t="s">
        <v>261</v>
      </c>
      <c r="C158" s="215">
        <v>3</v>
      </c>
      <c r="D158" s="335" t="s">
        <v>1188</v>
      </c>
      <c r="E158" s="335"/>
      <c r="F158" s="335"/>
      <c r="G158" s="336" t="s">
        <v>766</v>
      </c>
      <c r="H158" s="336"/>
      <c r="I158" s="336"/>
      <c r="J158" s="336">
        <v>70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9</v>
      </c>
      <c r="D159" s="335" t="s">
        <v>1189</v>
      </c>
      <c r="E159" s="335"/>
      <c r="F159" s="335"/>
      <c r="G159" s="336" t="s">
        <v>367</v>
      </c>
      <c r="H159" s="336"/>
      <c r="I159" s="336"/>
      <c r="J159" s="336">
        <v>33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14</v>
      </c>
      <c r="D160" s="335" t="s">
        <v>1190</v>
      </c>
      <c r="E160" s="335"/>
      <c r="F160" s="335"/>
      <c r="G160" s="336" t="s">
        <v>1191</v>
      </c>
      <c r="H160" s="336"/>
      <c r="I160" s="336"/>
      <c r="J160" s="336">
        <v>32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17</v>
      </c>
      <c r="D161" s="335" t="s">
        <v>1192</v>
      </c>
      <c r="E161" s="335"/>
      <c r="F161" s="335"/>
      <c r="G161" s="336" t="s">
        <v>494</v>
      </c>
      <c r="H161" s="336"/>
      <c r="I161" s="336"/>
      <c r="J161" s="336">
        <v>17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18</v>
      </c>
      <c r="D162" s="335" t="s">
        <v>1192</v>
      </c>
      <c r="E162" s="335"/>
      <c r="F162" s="335"/>
      <c r="G162" s="336" t="s">
        <v>1193</v>
      </c>
      <c r="H162" s="336"/>
      <c r="I162" s="336"/>
      <c r="J162" s="336">
        <v>14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22</v>
      </c>
      <c r="D163" s="335" t="s">
        <v>1194</v>
      </c>
      <c r="E163" s="335"/>
      <c r="F163" s="335"/>
      <c r="G163" s="336" t="s">
        <v>630</v>
      </c>
      <c r="H163" s="336"/>
      <c r="I163" s="336"/>
      <c r="J163" s="336">
        <v>1006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13</v>
      </c>
      <c r="D164" s="335" t="s">
        <v>1195</v>
      </c>
      <c r="E164" s="335"/>
      <c r="F164" s="335"/>
      <c r="G164" s="336" t="s">
        <v>857</v>
      </c>
      <c r="H164" s="336"/>
      <c r="I164" s="336"/>
      <c r="J164" s="336">
        <v>43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12</v>
      </c>
      <c r="D165" s="335" t="s">
        <v>1196</v>
      </c>
      <c r="E165" s="335"/>
      <c r="F165" s="335"/>
      <c r="G165" s="336" t="s">
        <v>372</v>
      </c>
      <c r="H165" s="336"/>
      <c r="I165" s="336"/>
      <c r="J165" s="336">
        <v>33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18</v>
      </c>
      <c r="D166" s="335" t="s">
        <v>1192</v>
      </c>
      <c r="E166" s="335"/>
      <c r="F166" s="335"/>
      <c r="G166" s="336" t="s">
        <v>1197</v>
      </c>
      <c r="H166" s="336"/>
      <c r="I166" s="336"/>
      <c r="J166" s="336">
        <v>14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>
        <v>3</v>
      </c>
      <c r="D167" s="335" t="s">
        <v>1188</v>
      </c>
      <c r="E167" s="335"/>
      <c r="F167" s="335"/>
      <c r="G167" s="336" t="s">
        <v>357</v>
      </c>
      <c r="H167" s="336"/>
      <c r="I167" s="336"/>
      <c r="J167" s="336">
        <v>32</v>
      </c>
      <c r="K167" s="336"/>
      <c r="L167" s="335" t="s">
        <v>355</v>
      </c>
      <c r="M167" s="335"/>
    </row>
    <row r="168" spans="1:18" ht="14.25" x14ac:dyDescent="0.2">
      <c r="B168" s="216"/>
      <c r="C168" s="215"/>
      <c r="D168" s="335"/>
      <c r="E168" s="335"/>
      <c r="F168" s="335"/>
      <c r="G168" s="336"/>
      <c r="H168" s="336"/>
      <c r="I168" s="336"/>
      <c r="J168" s="336"/>
      <c r="K168" s="336"/>
      <c r="L168" s="335"/>
      <c r="M168" s="335"/>
    </row>
    <row r="169" spans="1:18" ht="14.25" x14ac:dyDescent="0.2">
      <c r="B169" s="216" t="s">
        <v>267</v>
      </c>
      <c r="C169" s="215" t="s">
        <v>376</v>
      </c>
      <c r="D169" s="335" t="s">
        <v>1198</v>
      </c>
      <c r="E169" s="335"/>
      <c r="F169" s="335"/>
      <c r="G169" s="336" t="s">
        <v>357</v>
      </c>
      <c r="H169" s="336"/>
      <c r="I169" s="336"/>
      <c r="J169" s="336">
        <v>34</v>
      </c>
      <c r="K169" s="336"/>
      <c r="L169" s="335" t="s">
        <v>355</v>
      </c>
      <c r="M169" s="335"/>
    </row>
    <row r="170" spans="1:18" ht="14.25" x14ac:dyDescent="0.2">
      <c r="B170" s="216"/>
      <c r="C170" s="215" t="s">
        <v>378</v>
      </c>
      <c r="D170" s="335" t="s">
        <v>1199</v>
      </c>
      <c r="E170" s="335"/>
      <c r="F170" s="335"/>
      <c r="G170" s="336" t="s">
        <v>367</v>
      </c>
      <c r="H170" s="336"/>
      <c r="I170" s="336"/>
      <c r="J170" s="336">
        <v>41</v>
      </c>
      <c r="K170" s="336"/>
      <c r="L170" s="335" t="s">
        <v>355</v>
      </c>
      <c r="M170" s="335"/>
    </row>
    <row r="171" spans="1:18" ht="14.25" x14ac:dyDescent="0.2">
      <c r="B171" s="216"/>
      <c r="C171" s="215">
        <v>18</v>
      </c>
      <c r="D171" s="337" t="s">
        <v>1200</v>
      </c>
      <c r="E171" s="338"/>
      <c r="F171" s="339"/>
      <c r="G171" s="336" t="s">
        <v>538</v>
      </c>
      <c r="H171" s="336"/>
      <c r="I171" s="336"/>
      <c r="J171" s="336">
        <v>15</v>
      </c>
      <c r="K171" s="336"/>
      <c r="L171" s="335" t="s">
        <v>355</v>
      </c>
      <c r="M171" s="335"/>
    </row>
    <row r="172" spans="1:18" ht="14.25" x14ac:dyDescent="0.2">
      <c r="B172" s="216"/>
      <c r="C172" s="215">
        <v>8</v>
      </c>
      <c r="D172" s="335" t="s">
        <v>1198</v>
      </c>
      <c r="E172" s="335"/>
      <c r="F172" s="335"/>
      <c r="G172" s="336" t="s">
        <v>753</v>
      </c>
      <c r="H172" s="336"/>
      <c r="I172" s="336"/>
      <c r="J172" s="336">
        <v>164</v>
      </c>
      <c r="K172" s="336"/>
      <c r="L172" s="335" t="s">
        <v>355</v>
      </c>
      <c r="M172" s="335"/>
    </row>
    <row r="173" spans="1:18" ht="14.25" x14ac:dyDescent="0.2">
      <c r="B173" s="216"/>
      <c r="C173" s="215">
        <v>12</v>
      </c>
      <c r="D173" s="335" t="s">
        <v>1201</v>
      </c>
      <c r="E173" s="335"/>
      <c r="F173" s="335"/>
      <c r="G173" s="336" t="s">
        <v>372</v>
      </c>
      <c r="H173" s="336"/>
      <c r="I173" s="336"/>
      <c r="J173" s="336">
        <v>18</v>
      </c>
      <c r="K173" s="336"/>
      <c r="L173" s="335" t="s">
        <v>355</v>
      </c>
      <c r="M173" s="335"/>
    </row>
    <row r="174" spans="1:18" ht="14.25" x14ac:dyDescent="0.2">
      <c r="B174" s="216"/>
      <c r="C174" s="215">
        <v>13</v>
      </c>
      <c r="D174" s="335" t="s">
        <v>1202</v>
      </c>
      <c r="E174" s="335"/>
      <c r="F174" s="335"/>
      <c r="G174" s="336" t="s">
        <v>359</v>
      </c>
      <c r="H174" s="336"/>
      <c r="I174" s="336"/>
      <c r="J174" s="336">
        <v>36</v>
      </c>
      <c r="K174" s="336"/>
      <c r="L174" s="335" t="s">
        <v>355</v>
      </c>
      <c r="M174" s="335"/>
    </row>
    <row r="175" spans="1:18" ht="14.25" x14ac:dyDescent="0.2">
      <c r="B175" s="216"/>
      <c r="C175" s="215">
        <v>19</v>
      </c>
      <c r="D175" s="335" t="s">
        <v>1203</v>
      </c>
      <c r="E175" s="335"/>
      <c r="F175" s="335"/>
      <c r="G175" s="336" t="s">
        <v>361</v>
      </c>
      <c r="H175" s="336"/>
      <c r="I175" s="336"/>
      <c r="J175" s="336">
        <v>12</v>
      </c>
      <c r="K175" s="336"/>
      <c r="L175" s="335" t="s">
        <v>355</v>
      </c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7ABAD1A5-275E-4A6C-8ECA-40D2E465CD08}">
      <formula1>INDIRECT(D63)</formula1>
    </dataValidation>
  </dataValidations>
  <hyperlinks>
    <hyperlink ref="J14:L15" location="Summary!A1" display="MTD Summary " xr:uid="{D042612E-4368-428A-AD0E-21866C13AEA2}"/>
    <hyperlink ref="J16:L17" location="Graph!A1" display="MTD Trendings" xr:uid="{A0026000-8D2D-4942-A0A7-FF6D7EE630F8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ED5B041-B41F-4CAB-8B3A-9170B4760E3D}">
          <x14:formula1>
            <xm:f>List!$C$5:$C$14</xm:f>
          </x14:formula1>
          <xm:sqref>D63:D131</xm:sqref>
        </x14:dataValidation>
        <x14:dataValidation type="list" allowBlank="1" showInputMessage="1" showErrorMessage="1" xr:uid="{5EF3A74B-149A-46AC-B4DE-63E21B3B96E7}">
          <x14:formula1>
            <xm:f>List!$B$10:$B$12</xm:f>
          </x14:formula1>
          <xm:sqref>C63:C131</xm:sqref>
        </x14:dataValidation>
        <x14:dataValidation type="list" allowBlank="1" showInputMessage="1" showErrorMessage="1" xr:uid="{05CA62FD-E59E-48D9-9D78-0F0BAEC7D1A0}">
          <x14:formula1>
            <xm:f>List!$B$5:$B$8</xm:f>
          </x14:formula1>
          <xm:sqref>B63:B131</xm:sqref>
        </x14:dataValidation>
        <x14:dataValidation type="list" allowBlank="1" showInputMessage="1" showErrorMessage="1" xr:uid="{98129439-7851-4F83-AB16-CFDBFE35DC77}">
          <x14:formula1>
            <xm:f>Sheet3!$C$3:$C$4</xm:f>
          </x14:formula1>
          <xm:sqref>M63:M132</xm:sqref>
        </x14:dataValidation>
        <x14:dataValidation type="list" allowBlank="1" showInputMessage="1" xr:uid="{39ACF4C4-283B-45B0-915B-4AB2F63B05AF}">
          <x14:formula1>
            <xm:f>Sheet3!$D$3:$D$11</xm:f>
          </x14:formula1>
          <xm:sqref>C132</xm:sqref>
        </x14:dataValidation>
        <x14:dataValidation type="list" allowBlank="1" showInputMessage="1" showErrorMessage="1" xr:uid="{66E73732-7A78-444E-8D31-99A4A5389158}">
          <x14:formula1>
            <xm:f>Sheet3!$B$3:$B$5</xm:f>
          </x14:formula1>
          <xm:sqref>B143:B165 B132 B169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085B-CCE9-4277-AA82-8B5D177D4EBA}">
  <sheetPr>
    <pageSetUpPr fitToPage="1"/>
  </sheetPr>
  <dimension ref="A1:R188"/>
  <sheetViews>
    <sheetView showGridLines="0" view="pageBreakPreview" topLeftCell="A28" zoomScale="80" zoomScaleNormal="90" zoomScaleSheetLayoutView="80" zoomScalePageLayoutView="80" workbookViewId="0">
      <selection activeCell="J14" sqref="J14:L15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25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1870.55</v>
      </c>
      <c r="K6" s="420"/>
      <c r="L6" s="420">
        <f ca="1">Summary!G32</f>
        <v>1589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130</v>
      </c>
      <c r="E7" s="84">
        <v>70</v>
      </c>
      <c r="F7" s="395">
        <v>40</v>
      </c>
      <c r="G7" s="396"/>
      <c r="H7" s="374">
        <f>SUM(D7:D10)</f>
        <v>600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160</v>
      </c>
      <c r="E8" s="86">
        <v>70</v>
      </c>
      <c r="F8" s="397">
        <v>40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160</v>
      </c>
      <c r="E9" s="86">
        <v>70</v>
      </c>
      <c r="F9" s="397">
        <v>40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150</v>
      </c>
      <c r="E10" s="88">
        <v>70</v>
      </c>
      <c r="F10" s="399">
        <v>40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140</v>
      </c>
      <c r="E11" s="90">
        <v>70</v>
      </c>
      <c r="F11" s="386">
        <v>40</v>
      </c>
      <c r="G11" s="387"/>
      <c r="H11" s="388">
        <f>SUM(D11:D14)</f>
        <v>670.33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170</v>
      </c>
      <c r="E12" s="92">
        <v>70</v>
      </c>
      <c r="F12" s="391">
        <v>40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170</v>
      </c>
      <c r="E13" s="92">
        <v>70</v>
      </c>
      <c r="F13" s="391">
        <v>40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190.33</v>
      </c>
      <c r="E14" s="94">
        <v>70</v>
      </c>
      <c r="F14" s="393">
        <v>40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130</v>
      </c>
      <c r="E15" s="96">
        <v>70</v>
      </c>
      <c r="F15" s="372">
        <v>40</v>
      </c>
      <c r="G15" s="373"/>
      <c r="H15" s="374">
        <f>SUM(D15:D18)</f>
        <v>600.22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280">
        <v>140</v>
      </c>
      <c r="E16" s="98">
        <v>70</v>
      </c>
      <c r="F16" s="401">
        <v>40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160</v>
      </c>
      <c r="E17" s="98">
        <v>70</v>
      </c>
      <c r="F17" s="401">
        <v>40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170.22</v>
      </c>
      <c r="E18" s="100">
        <v>70</v>
      </c>
      <c r="F18" s="404">
        <v>40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1870.55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8</v>
      </c>
      <c r="D25" s="102">
        <v>50</v>
      </c>
      <c r="E25" s="56">
        <v>6</v>
      </c>
      <c r="F25" s="107"/>
      <c r="G25" s="410">
        <v>9</v>
      </c>
      <c r="H25" s="411"/>
      <c r="I25" s="111"/>
      <c r="J25" s="38">
        <f t="shared" ref="J25:J40" si="0">C25+E25+G25</f>
        <v>23</v>
      </c>
      <c r="K25" s="412">
        <f>D25+F25+I25</f>
        <v>50</v>
      </c>
      <c r="L25" s="413"/>
      <c r="M25" s="2"/>
    </row>
    <row r="26" spans="2:14" ht="14.1" customHeight="1" x14ac:dyDescent="0.2">
      <c r="B26" s="80" t="s">
        <v>281</v>
      </c>
      <c r="C26" s="45">
        <v>6</v>
      </c>
      <c r="D26" s="103">
        <v>127</v>
      </c>
      <c r="E26" s="57">
        <v>5</v>
      </c>
      <c r="F26" s="108">
        <v>131</v>
      </c>
      <c r="G26" s="406">
        <v>6</v>
      </c>
      <c r="H26" s="407"/>
      <c r="I26" s="112">
        <v>108</v>
      </c>
      <c r="J26" s="25">
        <f t="shared" si="0"/>
        <v>17</v>
      </c>
      <c r="K26" s="408">
        <f t="shared" ref="K26:K39" si="1">D26+F26+I26</f>
        <v>366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116</v>
      </c>
      <c r="E27" s="57"/>
      <c r="F27" s="108">
        <v>208</v>
      </c>
      <c r="G27" s="406"/>
      <c r="H27" s="407"/>
      <c r="I27" s="112">
        <v>172</v>
      </c>
      <c r="J27" s="25">
        <f t="shared" si="0"/>
        <v>0</v>
      </c>
      <c r="K27" s="408">
        <f t="shared" si="1"/>
        <v>496</v>
      </c>
      <c r="L27" s="409"/>
      <c r="M27" s="2"/>
    </row>
    <row r="28" spans="2:14" ht="14.1" customHeight="1" x14ac:dyDescent="0.2">
      <c r="B28" s="80" t="s">
        <v>283</v>
      </c>
      <c r="C28" s="45">
        <v>6</v>
      </c>
      <c r="D28" s="103"/>
      <c r="E28" s="57">
        <v>5</v>
      </c>
      <c r="F28" s="108"/>
      <c r="G28" s="406">
        <v>6</v>
      </c>
      <c r="H28" s="407"/>
      <c r="I28" s="112"/>
      <c r="J28" s="25">
        <f t="shared" si="0"/>
        <v>17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3</v>
      </c>
      <c r="D29" s="103"/>
      <c r="E29" s="57">
        <v>4</v>
      </c>
      <c r="F29" s="108"/>
      <c r="G29" s="406">
        <v>4</v>
      </c>
      <c r="H29" s="407"/>
      <c r="I29" s="112"/>
      <c r="J29" s="25">
        <f t="shared" si="0"/>
        <v>11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>
        <v>2</v>
      </c>
      <c r="D30" s="103"/>
      <c r="E30" s="57"/>
      <c r="F30" s="108">
        <v>49.5</v>
      </c>
      <c r="G30" s="406"/>
      <c r="H30" s="407"/>
      <c r="I30" s="112"/>
      <c r="J30" s="25">
        <f t="shared" si="0"/>
        <v>2</v>
      </c>
      <c r="K30" s="408">
        <f t="shared" si="1"/>
        <v>49.5</v>
      </c>
      <c r="L30" s="409"/>
    </row>
    <row r="31" spans="2:14" ht="14.1" customHeight="1" x14ac:dyDescent="0.2">
      <c r="B31" s="80" t="s">
        <v>286</v>
      </c>
      <c r="C31" s="45">
        <v>1</v>
      </c>
      <c r="D31" s="103"/>
      <c r="E31" s="57">
        <v>2</v>
      </c>
      <c r="F31" s="108"/>
      <c r="G31" s="406">
        <v>3</v>
      </c>
      <c r="H31" s="407"/>
      <c r="I31" s="112"/>
      <c r="J31" s="25">
        <f t="shared" si="0"/>
        <v>6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1</v>
      </c>
      <c r="F32" s="108"/>
      <c r="G32" s="406">
        <v>1</v>
      </c>
      <c r="H32" s="407"/>
      <c r="I32" s="112"/>
      <c r="J32" s="25">
        <f t="shared" si="0"/>
        <v>3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>
        <v>23.9</v>
      </c>
      <c r="G33" s="406"/>
      <c r="H33" s="407"/>
      <c r="I33" s="112"/>
      <c r="J33" s="25">
        <f t="shared" si="0"/>
        <v>0</v>
      </c>
      <c r="K33" s="408">
        <f t="shared" si="1"/>
        <v>23.9</v>
      </c>
      <c r="L33" s="409"/>
    </row>
    <row r="34" spans="1:16" ht="14.1" customHeight="1" x14ac:dyDescent="0.2">
      <c r="B34" s="80" t="s">
        <v>289</v>
      </c>
      <c r="C34" s="45"/>
      <c r="D34" s="103"/>
      <c r="E34" s="57">
        <v>1</v>
      </c>
      <c r="F34" s="108"/>
      <c r="G34" s="406"/>
      <c r="H34" s="407"/>
      <c r="I34" s="112"/>
      <c r="J34" s="25">
        <f t="shared" si="0"/>
        <v>1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>
        <v>30</v>
      </c>
      <c r="E36" s="58"/>
      <c r="F36" s="109">
        <v>14</v>
      </c>
      <c r="G36" s="406"/>
      <c r="H36" s="407"/>
      <c r="I36" s="113"/>
      <c r="J36" s="25">
        <f t="shared" si="0"/>
        <v>0</v>
      </c>
      <c r="K36" s="408">
        <f t="shared" si="1"/>
        <v>44</v>
      </c>
      <c r="L36" s="409"/>
    </row>
    <row r="37" spans="1:16" ht="14.1" customHeight="1" x14ac:dyDescent="0.2">
      <c r="B37" s="37" t="s">
        <v>292</v>
      </c>
      <c r="C37" s="55"/>
      <c r="D37" s="104">
        <v>7</v>
      </c>
      <c r="E37" s="58"/>
      <c r="F37" s="109">
        <v>8</v>
      </c>
      <c r="G37" s="406"/>
      <c r="H37" s="407"/>
      <c r="I37" s="113">
        <v>9</v>
      </c>
      <c r="J37" s="25">
        <f t="shared" si="0"/>
        <v>0</v>
      </c>
      <c r="K37" s="408">
        <f t="shared" si="1"/>
        <v>24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v>120</v>
      </c>
      <c r="J38" s="25">
        <f t="shared" si="0"/>
        <v>0</v>
      </c>
      <c r="K38" s="408">
        <f t="shared" si="1"/>
        <v>120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122</v>
      </c>
      <c r="J39" s="25">
        <f t="shared" si="0"/>
        <v>0</v>
      </c>
      <c r="K39" s="408">
        <f t="shared" si="1"/>
        <v>122</v>
      </c>
      <c r="L39" s="409"/>
    </row>
    <row r="40" spans="1:16" ht="14.1" customHeight="1" thickBot="1" x14ac:dyDescent="0.25">
      <c r="B40" s="81" t="s">
        <v>295</v>
      </c>
      <c r="C40" s="47"/>
      <c r="D40" s="105">
        <v>108</v>
      </c>
      <c r="E40" s="59"/>
      <c r="F40" s="110">
        <v>129.6</v>
      </c>
      <c r="G40" s="473"/>
      <c r="H40" s="474"/>
      <c r="I40" s="114">
        <v>108</v>
      </c>
      <c r="J40" s="26">
        <f t="shared" si="0"/>
        <v>0</v>
      </c>
      <c r="K40" s="475">
        <f>D40+F40+I40</f>
        <v>345.6</v>
      </c>
      <c r="L40" s="476"/>
    </row>
    <row r="41" spans="1:16" ht="17.25" customHeight="1" x14ac:dyDescent="0.2">
      <c r="B41" s="15" t="s">
        <v>273</v>
      </c>
      <c r="C41" s="16">
        <f>SUM(C25:C40)</f>
        <v>27</v>
      </c>
      <c r="D41" s="106">
        <f>SUM(D25:D40)</f>
        <v>438</v>
      </c>
      <c r="E41" s="16">
        <f>SUM(E25:E40)</f>
        <v>24</v>
      </c>
      <c r="F41" s="106">
        <f>SUM(F25:F40)</f>
        <v>564</v>
      </c>
      <c r="G41" s="430">
        <f>SUM(G25:H40)</f>
        <v>29</v>
      </c>
      <c r="H41" s="430"/>
      <c r="I41" s="106">
        <f>SUM(I25:I40)</f>
        <v>639</v>
      </c>
      <c r="J41" s="16">
        <f>SUM(J25:J40)</f>
        <v>80</v>
      </c>
      <c r="K41" s="477">
        <f>SUM(K25:L40)</f>
        <v>1641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/>
      <c r="D45" s="210"/>
      <c r="E45" s="209"/>
      <c r="F45" s="210"/>
      <c r="G45" s="471"/>
      <c r="H45" s="472"/>
      <c r="I45" s="210"/>
      <c r="J45" s="209">
        <v>0.3</v>
      </c>
      <c r="K45" s="209">
        <v>0.2</v>
      </c>
      <c r="L45" s="210"/>
      <c r="M45" s="211"/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15</v>
      </c>
      <c r="K46" s="40">
        <f>K45*50</f>
        <v>10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/>
      <c r="D48" s="209"/>
      <c r="E48" s="209"/>
      <c r="F48" s="209">
        <v>0.9</v>
      </c>
      <c r="G48" s="442">
        <v>0.3</v>
      </c>
      <c r="H48" s="443"/>
      <c r="I48" s="209">
        <v>0.4</v>
      </c>
      <c r="J48" s="209">
        <v>0</v>
      </c>
      <c r="K48" s="209">
        <v>0</v>
      </c>
      <c r="L48" s="209">
        <v>0.4</v>
      </c>
      <c r="M48" s="211">
        <v>0.4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144</v>
      </c>
      <c r="G49" s="438">
        <f>G48*100</f>
        <v>30</v>
      </c>
      <c r="H49" s="439"/>
      <c r="I49" s="40">
        <f>I48*100</f>
        <v>40</v>
      </c>
      <c r="J49" s="40">
        <f>J48*150</f>
        <v>0</v>
      </c>
      <c r="K49" s="40">
        <f>K48*70</f>
        <v>0</v>
      </c>
      <c r="L49" s="40">
        <f>L48*70</f>
        <v>28</v>
      </c>
      <c r="M49" s="79">
        <f>M48*70</f>
        <v>28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</v>
      </c>
      <c r="D51" s="213">
        <v>0</v>
      </c>
      <c r="E51" s="213">
        <v>0.2</v>
      </c>
      <c r="F51" s="209"/>
      <c r="G51" s="442"/>
      <c r="H51" s="443"/>
      <c r="I51" s="209">
        <v>0</v>
      </c>
      <c r="J51" s="209">
        <v>0.03</v>
      </c>
      <c r="K51" s="209">
        <v>0.03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0</v>
      </c>
      <c r="D52" s="41">
        <f>D51*70</f>
        <v>0</v>
      </c>
      <c r="E52" s="41">
        <f>E51*70</f>
        <v>14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7.5</v>
      </c>
      <c r="K52" s="41">
        <f>K51*250</f>
        <v>7.5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324</v>
      </c>
      <c r="F54" s="39" t="s">
        <v>309</v>
      </c>
      <c r="G54" s="188"/>
      <c r="H54" s="188"/>
      <c r="I54" s="30">
        <f>'24'!D54</f>
        <v>233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/>
      <c r="D58" s="60"/>
      <c r="E58" s="124">
        <f>SUM(C58:D58)</f>
        <v>0</v>
      </c>
      <c r="F58" s="425"/>
      <c r="G58" s="426"/>
      <c r="H58" s="60"/>
      <c r="I58" s="61"/>
      <c r="J58" s="422"/>
      <c r="K58" s="428"/>
      <c r="L58" s="60">
        <v>6746.6040000000003</v>
      </c>
      <c r="M58" s="61">
        <f>L58/3</f>
        <v>2248.8679999999999</v>
      </c>
      <c r="N58" s="288"/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0</v>
      </c>
      <c r="D59" s="432"/>
      <c r="E59" s="433"/>
      <c r="F59" s="434" t="s">
        <v>321</v>
      </c>
      <c r="G59" s="435"/>
      <c r="H59" s="436">
        <f>IF(ISERROR(SUM(H58:I58)/$H$19),"",(SUM(H58:I58)/$H$19))</f>
        <v>0</v>
      </c>
      <c r="I59" s="437"/>
      <c r="J59" s="434" t="s">
        <v>322</v>
      </c>
      <c r="K59" s="435"/>
      <c r="L59" s="115">
        <f>IF(ISERROR(L58/$H$19),"",(L58/$H$19))</f>
        <v>3.6067488171928046</v>
      </c>
      <c r="M59" s="116">
        <f>IF(ISERROR(M58/$H$19),"",(M58/$H$19))</f>
        <v>1.2022496057309346</v>
      </c>
      <c r="N59" s="288"/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0.38888888888888867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14</v>
      </c>
      <c r="C63" s="236" t="s">
        <v>22</v>
      </c>
      <c r="D63" s="236" t="s">
        <v>26</v>
      </c>
      <c r="E63" s="322"/>
      <c r="F63" s="324"/>
      <c r="G63" s="322" t="s">
        <v>1047</v>
      </c>
      <c r="H63" s="323"/>
      <c r="I63" s="323"/>
      <c r="J63" s="324"/>
      <c r="K63" s="238">
        <v>0.3125</v>
      </c>
      <c r="L63" s="238">
        <v>0.35416666666666669</v>
      </c>
      <c r="M63" s="236" t="s">
        <v>9</v>
      </c>
      <c r="N63" s="237">
        <f t="shared" ref="N63:N126" si="2">IF(M63="No","",IF(M63="Yes",(L63-K63+(L63&lt;K63)),""))</f>
        <v>4.1666666666666685E-2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23</v>
      </c>
      <c r="E64" s="322"/>
      <c r="F64" s="324"/>
      <c r="G64" s="322" t="s">
        <v>335</v>
      </c>
      <c r="H64" s="323"/>
      <c r="I64" s="323"/>
      <c r="J64" s="324"/>
      <c r="K64" s="238">
        <v>0.45833333333333331</v>
      </c>
      <c r="L64" s="238">
        <v>0.5</v>
      </c>
      <c r="M64" s="236" t="s">
        <v>9</v>
      </c>
      <c r="N64" s="237">
        <f t="shared" si="2"/>
        <v>4.1666666666666685E-2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322"/>
      <c r="F65" s="324"/>
      <c r="G65" s="322"/>
      <c r="H65" s="323"/>
      <c r="I65" s="323"/>
      <c r="J65" s="324"/>
      <c r="K65" s="239">
        <v>0.5625</v>
      </c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322"/>
      <c r="F66" s="324"/>
      <c r="G66" s="322"/>
      <c r="H66" s="323"/>
      <c r="I66" s="323"/>
      <c r="J66" s="324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 t="s">
        <v>17</v>
      </c>
      <c r="C67" s="236" t="s">
        <v>25</v>
      </c>
      <c r="D67" s="236" t="s">
        <v>11</v>
      </c>
      <c r="E67" s="322" t="s">
        <v>43</v>
      </c>
      <c r="F67" s="324"/>
      <c r="G67" s="322" t="s">
        <v>1204</v>
      </c>
      <c r="H67" s="323"/>
      <c r="I67" s="323"/>
      <c r="J67" s="324"/>
      <c r="K67" s="238">
        <v>0.63888888888888895</v>
      </c>
      <c r="L67" s="238">
        <v>0.71527777777777779</v>
      </c>
      <c r="M67" s="236" t="s">
        <v>9</v>
      </c>
      <c r="N67" s="237">
        <f t="shared" si="2"/>
        <v>7.638888888888884E-2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23</v>
      </c>
      <c r="E68" s="322"/>
      <c r="F68" s="324"/>
      <c r="G68" s="322" t="s">
        <v>335</v>
      </c>
      <c r="H68" s="323"/>
      <c r="I68" s="323"/>
      <c r="J68" s="324"/>
      <c r="K68" s="239">
        <v>0.625</v>
      </c>
      <c r="L68" s="239">
        <v>0.66666666666666663</v>
      </c>
      <c r="M68" s="236" t="s">
        <v>9</v>
      </c>
      <c r="N68" s="237">
        <f t="shared" si="2"/>
        <v>4.166666666666663E-2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23</v>
      </c>
      <c r="E69" s="322"/>
      <c r="F69" s="324"/>
      <c r="G69" s="322" t="s">
        <v>335</v>
      </c>
      <c r="H69" s="323"/>
      <c r="I69" s="323"/>
      <c r="J69" s="324"/>
      <c r="K69" s="239">
        <v>0.70833333333333337</v>
      </c>
      <c r="L69" s="239">
        <v>0.75694444444444453</v>
      </c>
      <c r="M69" s="236" t="s">
        <v>9</v>
      </c>
      <c r="N69" s="237">
        <f t="shared" si="2"/>
        <v>4.861111111111116E-2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23</v>
      </c>
      <c r="E70" s="322"/>
      <c r="F70" s="324"/>
      <c r="H70" t="s">
        <v>335</v>
      </c>
      <c r="K70" s="239">
        <v>0.79861111111111116</v>
      </c>
      <c r="L70" s="239">
        <v>0.85416666666666663</v>
      </c>
      <c r="M70" s="236" t="s">
        <v>9</v>
      </c>
      <c r="N70" s="237">
        <f t="shared" si="2"/>
        <v>5.5555555555555469E-2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23</v>
      </c>
      <c r="E71" s="322"/>
      <c r="F71" s="324"/>
      <c r="G71" s="322" t="s">
        <v>335</v>
      </c>
      <c r="H71" s="323"/>
      <c r="I71" s="323"/>
      <c r="J71" s="324"/>
      <c r="K71" s="239">
        <v>0.875</v>
      </c>
      <c r="L71" s="239">
        <v>0.93055555555555547</v>
      </c>
      <c r="M71" s="236" t="s">
        <v>9</v>
      </c>
      <c r="N71" s="237">
        <f t="shared" si="2"/>
        <v>5.5555555555555469E-2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322"/>
      <c r="F72" s="324"/>
      <c r="G72" s="322"/>
      <c r="H72" s="323"/>
      <c r="I72" s="323"/>
      <c r="J72" s="324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 t="s">
        <v>10</v>
      </c>
      <c r="C73" s="236" t="s">
        <v>28</v>
      </c>
      <c r="D73" s="236" t="s">
        <v>11</v>
      </c>
      <c r="E73" s="322" t="s">
        <v>43</v>
      </c>
      <c r="F73" s="324"/>
      <c r="G73" s="322" t="s">
        <v>1205</v>
      </c>
      <c r="H73" s="323"/>
      <c r="I73" s="323"/>
      <c r="J73" s="324"/>
      <c r="K73" s="239">
        <v>0.1875</v>
      </c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20</v>
      </c>
      <c r="E74" s="322" t="s">
        <v>111</v>
      </c>
      <c r="F74" s="324"/>
      <c r="G74" s="322" t="s">
        <v>1206</v>
      </c>
      <c r="H74" s="323"/>
      <c r="I74" s="323"/>
      <c r="J74" s="324"/>
      <c r="K74" s="238">
        <v>0.17361111111111113</v>
      </c>
      <c r="L74" s="238">
        <v>0.20138888888888887</v>
      </c>
      <c r="M74" s="236" t="s">
        <v>9</v>
      </c>
      <c r="N74" s="237">
        <f t="shared" si="2"/>
        <v>2.7777777777777735E-2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322"/>
      <c r="F75" s="324"/>
      <c r="G75" s="322"/>
      <c r="H75" s="323"/>
      <c r="I75" s="323"/>
      <c r="J75" s="324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322"/>
      <c r="F76" s="324"/>
      <c r="G76" s="322"/>
      <c r="H76" s="323"/>
      <c r="I76" s="323"/>
      <c r="J76" s="324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322"/>
      <c r="F77" s="324"/>
      <c r="G77" s="322"/>
      <c r="H77" s="323"/>
      <c r="I77" s="323"/>
      <c r="J77" s="324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/>
      <c r="H78" s="323"/>
      <c r="I78" s="323"/>
      <c r="J78" s="324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322"/>
      <c r="F79" s="324"/>
      <c r="G79" s="322"/>
      <c r="H79" s="323"/>
      <c r="I79" s="323"/>
      <c r="J79" s="324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322"/>
      <c r="F80" s="324"/>
      <c r="G80" s="322"/>
      <c r="H80" s="323"/>
      <c r="I80" s="323"/>
      <c r="J80" s="324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322"/>
      <c r="F81" s="324"/>
      <c r="G81" s="322"/>
      <c r="H81" s="323"/>
      <c r="I81" s="323"/>
      <c r="J81" s="324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322"/>
      <c r="F83" s="324"/>
      <c r="G83" s="322"/>
      <c r="H83" s="323"/>
      <c r="I83" s="323"/>
      <c r="J83" s="324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 t="s">
        <v>651</v>
      </c>
      <c r="D136" s="481"/>
      <c r="E136" s="463" t="s">
        <v>691</v>
      </c>
      <c r="F136" s="464"/>
      <c r="G136" s="452" t="s">
        <v>822</v>
      </c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347</v>
      </c>
      <c r="D137" s="479"/>
      <c r="E137" s="463"/>
      <c r="F137" s="464"/>
      <c r="G137" s="452" t="s">
        <v>395</v>
      </c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35"/>
      <c r="E143" s="335"/>
      <c r="F143" s="335"/>
      <c r="G143" s="336"/>
      <c r="H143" s="336"/>
      <c r="I143" s="336"/>
      <c r="J143" s="336"/>
      <c r="K143" s="336"/>
      <c r="L143" s="335"/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 t="s">
        <v>255</v>
      </c>
      <c r="C144" s="215">
        <v>13</v>
      </c>
      <c r="D144" s="335" t="s">
        <v>1207</v>
      </c>
      <c r="E144" s="335"/>
      <c r="F144" s="335"/>
      <c r="G144" s="336" t="s">
        <v>662</v>
      </c>
      <c r="H144" s="336"/>
      <c r="I144" s="336"/>
      <c r="J144" s="336">
        <v>35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</v>
      </c>
      <c r="D145" s="335" t="s">
        <v>1208</v>
      </c>
      <c r="E145" s="335"/>
      <c r="F145" s="335"/>
      <c r="G145" s="336" t="s">
        <v>357</v>
      </c>
      <c r="H145" s="336"/>
      <c r="I145" s="336"/>
      <c r="J145" s="336">
        <v>33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9</v>
      </c>
      <c r="D146" s="335" t="s">
        <v>1209</v>
      </c>
      <c r="E146" s="335"/>
      <c r="F146" s="335"/>
      <c r="G146" s="336" t="s">
        <v>367</v>
      </c>
      <c r="H146" s="336"/>
      <c r="I146" s="336"/>
      <c r="J146" s="336">
        <v>32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19</v>
      </c>
      <c r="D147" s="335" t="s">
        <v>1210</v>
      </c>
      <c r="E147" s="335"/>
      <c r="F147" s="335"/>
      <c r="G147" s="336" t="s">
        <v>494</v>
      </c>
      <c r="H147" s="336"/>
      <c r="I147" s="336"/>
      <c r="J147" s="336">
        <v>10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8</v>
      </c>
      <c r="D148" s="335" t="s">
        <v>1208</v>
      </c>
      <c r="E148" s="335"/>
      <c r="F148" s="335"/>
      <c r="G148" s="336" t="s">
        <v>363</v>
      </c>
      <c r="H148" s="336"/>
      <c r="I148" s="336"/>
      <c r="J148" s="336">
        <v>117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18</v>
      </c>
      <c r="D149" s="335" t="s">
        <v>1210</v>
      </c>
      <c r="E149" s="335"/>
      <c r="F149" s="335"/>
      <c r="G149" s="336" t="s">
        <v>715</v>
      </c>
      <c r="H149" s="336"/>
      <c r="I149" s="336"/>
      <c r="J149" s="336">
        <v>11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14</v>
      </c>
      <c r="D150" s="335" t="s">
        <v>1211</v>
      </c>
      <c r="E150" s="335"/>
      <c r="F150" s="335"/>
      <c r="G150" s="336" t="s">
        <v>456</v>
      </c>
      <c r="H150" s="336"/>
      <c r="I150" s="336"/>
      <c r="J150" s="336">
        <v>22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35" t="s">
        <v>1212</v>
      </c>
      <c r="E151" s="335"/>
      <c r="F151" s="335"/>
      <c r="G151" s="336" t="s">
        <v>365</v>
      </c>
      <c r="H151" s="336"/>
      <c r="I151" s="336"/>
      <c r="J151" s="336">
        <v>3878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215">
        <v>12</v>
      </c>
      <c r="D152" s="335" t="s">
        <v>1213</v>
      </c>
      <c r="E152" s="335"/>
      <c r="F152" s="335"/>
      <c r="G152" s="336" t="s">
        <v>372</v>
      </c>
      <c r="H152" s="336"/>
      <c r="I152" s="336"/>
      <c r="J152" s="336">
        <v>42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35"/>
      <c r="E153" s="335"/>
      <c r="F153" s="335"/>
      <c r="G153" s="336"/>
      <c r="H153" s="336"/>
      <c r="I153" s="336"/>
      <c r="J153" s="336"/>
      <c r="K153" s="336"/>
      <c r="L153" s="335"/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 t="s">
        <v>261</v>
      </c>
      <c r="C154" s="215">
        <v>18</v>
      </c>
      <c r="D154" s="335" t="s">
        <v>1214</v>
      </c>
      <c r="E154" s="335"/>
      <c r="F154" s="335"/>
      <c r="G154" s="336" t="s">
        <v>359</v>
      </c>
      <c r="H154" s="336"/>
      <c r="I154" s="336"/>
      <c r="J154" s="336">
        <v>14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14</v>
      </c>
      <c r="D155" s="335" t="s">
        <v>1215</v>
      </c>
      <c r="E155" s="335"/>
      <c r="F155" s="335"/>
      <c r="G155" s="336" t="s">
        <v>456</v>
      </c>
      <c r="H155" s="336"/>
      <c r="I155" s="336"/>
      <c r="J155" s="336">
        <v>22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3</v>
      </c>
      <c r="D156" s="335" t="s">
        <v>1216</v>
      </c>
      <c r="E156" s="335"/>
      <c r="F156" s="335"/>
      <c r="G156" s="336" t="s">
        <v>357</v>
      </c>
      <c r="H156" s="336"/>
      <c r="I156" s="336"/>
      <c r="J156" s="336">
        <v>27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9</v>
      </c>
      <c r="D157" s="335" t="s">
        <v>1217</v>
      </c>
      <c r="E157" s="335"/>
      <c r="F157" s="335"/>
      <c r="G157" s="336" t="s">
        <v>367</v>
      </c>
      <c r="H157" s="336"/>
      <c r="I157" s="336"/>
      <c r="J157" s="336">
        <v>33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8</v>
      </c>
      <c r="D158" s="335" t="s">
        <v>1216</v>
      </c>
      <c r="E158" s="335"/>
      <c r="F158" s="335"/>
      <c r="G158" s="336" t="s">
        <v>753</v>
      </c>
      <c r="H158" s="336"/>
      <c r="I158" s="336"/>
      <c r="J158" s="336">
        <v>42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13</v>
      </c>
      <c r="D159" s="335" t="s">
        <v>1218</v>
      </c>
      <c r="E159" s="335"/>
      <c r="F159" s="335"/>
      <c r="G159" s="336" t="s">
        <v>359</v>
      </c>
      <c r="H159" s="336"/>
      <c r="I159" s="336"/>
      <c r="J159" s="336">
        <v>46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23</v>
      </c>
      <c r="D160" s="335" t="s">
        <v>1219</v>
      </c>
      <c r="E160" s="335"/>
      <c r="F160" s="335"/>
      <c r="G160" s="336" t="s">
        <v>403</v>
      </c>
      <c r="H160" s="336"/>
      <c r="I160" s="336"/>
      <c r="J160" s="336">
        <v>405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12</v>
      </c>
      <c r="D161" s="335" t="s">
        <v>1220</v>
      </c>
      <c r="E161" s="335"/>
      <c r="F161" s="335"/>
      <c r="G161" s="336" t="s">
        <v>372</v>
      </c>
      <c r="H161" s="336"/>
      <c r="I161" s="336"/>
      <c r="J161" s="336" t="s">
        <v>501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35"/>
      <c r="E162" s="335"/>
      <c r="F162" s="335"/>
      <c r="G162" s="336"/>
      <c r="H162" s="336"/>
      <c r="I162" s="336"/>
      <c r="J162" s="336"/>
      <c r="K162" s="336"/>
      <c r="L162" s="335"/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 t="s">
        <v>267</v>
      </c>
      <c r="C163" s="215" t="s">
        <v>376</v>
      </c>
      <c r="D163" s="335" t="s">
        <v>1221</v>
      </c>
      <c r="E163" s="335"/>
      <c r="F163" s="335"/>
      <c r="G163" s="336" t="s">
        <v>357</v>
      </c>
      <c r="H163" s="336"/>
      <c r="I163" s="336"/>
      <c r="J163" s="336">
        <v>34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 t="s">
        <v>378</v>
      </c>
      <c r="D164" s="335" t="s">
        <v>1222</v>
      </c>
      <c r="E164" s="335"/>
      <c r="F164" s="335"/>
      <c r="G164" s="336" t="s">
        <v>367</v>
      </c>
      <c r="H164" s="336"/>
      <c r="I164" s="336"/>
      <c r="J164" s="336">
        <v>43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12</v>
      </c>
      <c r="D165" s="335" t="s">
        <v>1223</v>
      </c>
      <c r="E165" s="335"/>
      <c r="F165" s="335"/>
      <c r="G165" s="336" t="s">
        <v>372</v>
      </c>
      <c r="H165" s="336"/>
      <c r="I165" s="336"/>
      <c r="J165" s="336">
        <v>41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13</v>
      </c>
      <c r="D166" s="335" t="s">
        <v>1224</v>
      </c>
      <c r="E166" s="335"/>
      <c r="F166" s="335"/>
      <c r="G166" s="336" t="s">
        <v>359</v>
      </c>
      <c r="H166" s="336"/>
      <c r="I166" s="336"/>
      <c r="J166" s="336">
        <v>45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>
        <v>18</v>
      </c>
      <c r="D167" s="335" t="s">
        <v>1225</v>
      </c>
      <c r="E167" s="335"/>
      <c r="F167" s="335"/>
      <c r="G167" s="336" t="s">
        <v>359</v>
      </c>
      <c r="H167" s="336"/>
      <c r="I167" s="336"/>
      <c r="J167" s="336">
        <v>18</v>
      </c>
      <c r="K167" s="336"/>
      <c r="L167" s="335" t="s">
        <v>355</v>
      </c>
      <c r="M167" s="335"/>
    </row>
    <row r="168" spans="1:18" ht="14.25" x14ac:dyDescent="0.2">
      <c r="B168" s="216"/>
      <c r="C168" s="215"/>
      <c r="D168" s="335"/>
      <c r="E168" s="335"/>
      <c r="F168" s="335"/>
      <c r="G168" s="336"/>
      <c r="H168" s="336"/>
      <c r="I168" s="336"/>
      <c r="J168" s="336"/>
      <c r="K168" s="336"/>
      <c r="L168" s="335"/>
      <c r="M168" s="335"/>
    </row>
    <row r="169" spans="1:18" ht="14.25" x14ac:dyDescent="0.2">
      <c r="B169" s="216"/>
      <c r="C169" s="215"/>
      <c r="D169" s="335"/>
      <c r="E169" s="335"/>
      <c r="F169" s="335"/>
      <c r="G169" s="336"/>
      <c r="H169" s="336"/>
      <c r="I169" s="336"/>
      <c r="J169" s="336"/>
      <c r="K169" s="336"/>
      <c r="L169" s="335"/>
      <c r="M169" s="335"/>
    </row>
    <row r="170" spans="1:18" ht="14.25" x14ac:dyDescent="0.2">
      <c r="B170" s="216"/>
      <c r="C170" s="215"/>
      <c r="D170" s="335"/>
      <c r="E170" s="335"/>
      <c r="F170" s="335"/>
      <c r="G170" s="336"/>
      <c r="H170" s="336"/>
      <c r="I170" s="336"/>
      <c r="J170" s="336"/>
      <c r="K170" s="336"/>
      <c r="L170" s="335"/>
      <c r="M170" s="335"/>
    </row>
    <row r="171" spans="1:18" ht="14.25" x14ac:dyDescent="0.2">
      <c r="B171" s="216"/>
      <c r="C171" s="215"/>
      <c r="D171" s="337"/>
      <c r="E171" s="338"/>
      <c r="F171" s="339"/>
      <c r="G171" s="336"/>
      <c r="H171" s="336"/>
      <c r="I171" s="336"/>
      <c r="J171" s="336"/>
      <c r="K171" s="336"/>
      <c r="L171" s="335"/>
      <c r="M171" s="335"/>
    </row>
    <row r="172" spans="1:18" ht="14.25" x14ac:dyDescent="0.2">
      <c r="B172" s="216"/>
      <c r="C172" s="215"/>
      <c r="D172" s="335"/>
      <c r="E172" s="335"/>
      <c r="F172" s="335"/>
      <c r="G172" s="336"/>
      <c r="H172" s="336"/>
      <c r="I172" s="336"/>
      <c r="J172" s="336"/>
      <c r="K172" s="336"/>
      <c r="L172" s="335"/>
      <c r="M172" s="335"/>
    </row>
    <row r="173" spans="1:18" ht="14.25" x14ac:dyDescent="0.2">
      <c r="B173" s="216"/>
      <c r="C173" s="215"/>
      <c r="D173" s="335"/>
      <c r="E173" s="335"/>
      <c r="F173" s="335"/>
      <c r="G173" s="336"/>
      <c r="H173" s="336"/>
      <c r="I173" s="336"/>
      <c r="J173" s="336"/>
      <c r="K173" s="336"/>
      <c r="L173" s="335"/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B249DE04-B049-4BCF-9084-F1FECF1BA96B}">
      <formula1>INDIRECT(D63)</formula1>
    </dataValidation>
  </dataValidations>
  <hyperlinks>
    <hyperlink ref="J14:L15" location="Summary!A1" display="MTD Summary " xr:uid="{7E40432E-CF40-4CE4-A341-F668F81AE193}"/>
    <hyperlink ref="J16:L17" location="Graph!A1" display="MTD Trendings" xr:uid="{2B45BF44-C2C5-4EB7-989B-AA088C568AC2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A3850E7-617F-430B-9A90-77FD4C535925}">
          <x14:formula1>
            <xm:f>Sheet3!$B$3:$B$5</xm:f>
          </x14:formula1>
          <xm:sqref>B143:B165 B132</xm:sqref>
        </x14:dataValidation>
        <x14:dataValidation type="list" allowBlank="1" showInputMessage="1" xr:uid="{4CEAC1B1-3003-466D-A8A9-40CF266506D4}">
          <x14:formula1>
            <xm:f>Sheet3!$D$3:$D$11</xm:f>
          </x14:formula1>
          <xm:sqref>C132</xm:sqref>
        </x14:dataValidation>
        <x14:dataValidation type="list" allowBlank="1" showInputMessage="1" showErrorMessage="1" xr:uid="{4745DCDE-0132-4E1F-8C75-D541F8C275BC}">
          <x14:formula1>
            <xm:f>Sheet3!$C$3:$C$4</xm:f>
          </x14:formula1>
          <xm:sqref>M63:M132</xm:sqref>
        </x14:dataValidation>
        <x14:dataValidation type="list" allowBlank="1" showInputMessage="1" showErrorMessage="1" xr:uid="{281D38CD-6ACC-45D0-AAFC-989CB02EC655}">
          <x14:formula1>
            <xm:f>List!$B$5:$B$8</xm:f>
          </x14:formula1>
          <xm:sqref>B63:B131</xm:sqref>
        </x14:dataValidation>
        <x14:dataValidation type="list" allowBlank="1" showInputMessage="1" showErrorMessage="1" xr:uid="{987DD163-0EC9-418C-9535-117DB21DC4FD}">
          <x14:formula1>
            <xm:f>List!$B$10:$B$12</xm:f>
          </x14:formula1>
          <xm:sqref>C63:C131</xm:sqref>
        </x14:dataValidation>
        <x14:dataValidation type="list" allowBlank="1" showInputMessage="1" showErrorMessage="1" xr:uid="{82505CC8-FE04-4EE3-837D-F97B70BB5816}">
          <x14:formula1>
            <xm:f>List!$C$5:$C$14</xm:f>
          </x14:formula1>
          <xm:sqref>D63:D131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A5DA-DD52-4994-9FDF-0340957BFBDA}">
  <sheetPr>
    <pageSetUpPr fitToPage="1"/>
  </sheetPr>
  <dimension ref="A1:R188"/>
  <sheetViews>
    <sheetView showGridLines="0" view="pageBreakPreview" topLeftCell="A16" zoomScale="80" zoomScaleNormal="90" zoomScaleSheetLayoutView="80" zoomScalePageLayoutView="80" workbookViewId="0">
      <selection activeCell="J14" sqref="J14:L15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26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1670.49</v>
      </c>
      <c r="K6" s="420"/>
      <c r="L6" s="420">
        <f ca="1">Summary!G33</f>
        <v>1598.8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120</v>
      </c>
      <c r="E7" s="84">
        <v>70</v>
      </c>
      <c r="F7" s="395">
        <v>40</v>
      </c>
      <c r="G7" s="396"/>
      <c r="H7" s="374">
        <f>SUM(D7:D10)</f>
        <v>530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150</v>
      </c>
      <c r="E8" s="86">
        <v>70</v>
      </c>
      <c r="F8" s="397">
        <v>40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140</v>
      </c>
      <c r="E9" s="86">
        <v>70</v>
      </c>
      <c r="F9" s="397">
        <v>40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120</v>
      </c>
      <c r="E10" s="88">
        <v>70</v>
      </c>
      <c r="F10" s="399">
        <v>40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130</v>
      </c>
      <c r="E11" s="90">
        <v>70</v>
      </c>
      <c r="F11" s="386">
        <v>40</v>
      </c>
      <c r="G11" s="387"/>
      <c r="H11" s="388">
        <f>SUM(D11:D14)</f>
        <v>580.27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140</v>
      </c>
      <c r="E12" s="92">
        <v>70</v>
      </c>
      <c r="F12" s="391">
        <v>40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150</v>
      </c>
      <c r="E13" s="92">
        <v>70</v>
      </c>
      <c r="F13" s="391">
        <v>40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160.27000000000001</v>
      </c>
      <c r="E14" s="94">
        <v>70</v>
      </c>
      <c r="F14" s="393">
        <v>40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130</v>
      </c>
      <c r="E15" s="96">
        <v>70</v>
      </c>
      <c r="F15" s="372">
        <v>40</v>
      </c>
      <c r="G15" s="373"/>
      <c r="H15" s="374">
        <f>SUM(D15:D18)</f>
        <v>560.22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140</v>
      </c>
      <c r="E16" s="98">
        <v>70</v>
      </c>
      <c r="F16" s="401">
        <v>40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140</v>
      </c>
      <c r="E17" s="98">
        <v>70</v>
      </c>
      <c r="F17" s="401">
        <v>40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150.22</v>
      </c>
      <c r="E18" s="100">
        <v>70</v>
      </c>
      <c r="F18" s="404">
        <v>40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1670.49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6</v>
      </c>
      <c r="D25" s="102">
        <v>60</v>
      </c>
      <c r="E25" s="56">
        <v>8</v>
      </c>
      <c r="F25" s="107">
        <v>98</v>
      </c>
      <c r="G25" s="410">
        <v>7</v>
      </c>
      <c r="H25" s="411"/>
      <c r="I25" s="111">
        <v>77</v>
      </c>
      <c r="J25" s="38">
        <f t="shared" ref="J25:J40" si="0">C25+E25+G25</f>
        <v>21</v>
      </c>
      <c r="K25" s="412">
        <f>D25+F25+I25</f>
        <v>235</v>
      </c>
      <c r="L25" s="413"/>
      <c r="M25" s="2"/>
    </row>
    <row r="26" spans="2:14" ht="14.1" customHeight="1" x14ac:dyDescent="0.2">
      <c r="B26" s="80" t="s">
        <v>281</v>
      </c>
      <c r="C26" s="45">
        <v>5</v>
      </c>
      <c r="D26" s="103">
        <v>150</v>
      </c>
      <c r="E26" s="57">
        <v>6</v>
      </c>
      <c r="F26" s="108">
        <v>122</v>
      </c>
      <c r="G26" s="406">
        <v>5</v>
      </c>
      <c r="H26" s="407"/>
      <c r="I26" s="112">
        <v>148</v>
      </c>
      <c r="J26" s="25">
        <f t="shared" si="0"/>
        <v>16</v>
      </c>
      <c r="K26" s="408">
        <f t="shared" ref="K26:K39" si="1">D26+F26+I26</f>
        <v>420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176</v>
      </c>
      <c r="E27" s="57"/>
      <c r="F27" s="108">
        <v>161</v>
      </c>
      <c r="G27" s="406"/>
      <c r="H27" s="407"/>
      <c r="I27" s="112">
        <v>116</v>
      </c>
      <c r="J27" s="25">
        <f t="shared" si="0"/>
        <v>0</v>
      </c>
      <c r="K27" s="408">
        <f t="shared" si="1"/>
        <v>453</v>
      </c>
      <c r="L27" s="409"/>
      <c r="M27" s="2"/>
    </row>
    <row r="28" spans="2:14" ht="14.1" customHeight="1" x14ac:dyDescent="0.2">
      <c r="B28" s="80" t="s">
        <v>283</v>
      </c>
      <c r="C28" s="45">
        <v>5</v>
      </c>
      <c r="D28" s="103"/>
      <c r="E28" s="57">
        <v>6</v>
      </c>
      <c r="F28" s="108"/>
      <c r="G28" s="406">
        <v>6</v>
      </c>
      <c r="H28" s="407"/>
      <c r="I28" s="112"/>
      <c r="J28" s="25">
        <f t="shared" si="0"/>
        <v>17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4</v>
      </c>
      <c r="D29" s="103"/>
      <c r="E29" s="57">
        <v>5</v>
      </c>
      <c r="F29" s="108"/>
      <c r="G29" s="406">
        <v>4</v>
      </c>
      <c r="H29" s="407"/>
      <c r="I29" s="112"/>
      <c r="J29" s="25">
        <f t="shared" si="0"/>
        <v>13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/>
      <c r="D30" s="103"/>
      <c r="E30" s="57">
        <v>1</v>
      </c>
      <c r="F30" s="108"/>
      <c r="G30" s="406"/>
      <c r="H30" s="407"/>
      <c r="I30" s="112"/>
      <c r="J30" s="25">
        <f t="shared" si="0"/>
        <v>1</v>
      </c>
      <c r="K30" s="408">
        <f t="shared" si="1"/>
        <v>0</v>
      </c>
      <c r="L30" s="409"/>
    </row>
    <row r="31" spans="2:14" ht="14.1" customHeight="1" x14ac:dyDescent="0.2">
      <c r="B31" s="80" t="s">
        <v>286</v>
      </c>
      <c r="C31" s="45">
        <v>3</v>
      </c>
      <c r="D31" s="103"/>
      <c r="E31" s="57">
        <v>2</v>
      </c>
      <c r="F31" s="108"/>
      <c r="G31" s="406">
        <v>3</v>
      </c>
      <c r="H31" s="407"/>
      <c r="I31" s="112"/>
      <c r="J31" s="25">
        <f t="shared" si="0"/>
        <v>8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1</v>
      </c>
      <c r="F32" s="108"/>
      <c r="G32" s="406">
        <v>1</v>
      </c>
      <c r="H32" s="407"/>
      <c r="I32" s="112"/>
      <c r="J32" s="25">
        <f t="shared" si="0"/>
        <v>3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/>
      <c r="G33" s="406">
        <v>1</v>
      </c>
      <c r="H33" s="407"/>
      <c r="I33" s="112"/>
      <c r="J33" s="25">
        <f t="shared" si="0"/>
        <v>1</v>
      </c>
      <c r="K33" s="408">
        <f t="shared" si="1"/>
        <v>0</v>
      </c>
      <c r="L33" s="409"/>
    </row>
    <row r="34" spans="1:16" ht="14.1" customHeight="1" x14ac:dyDescent="0.2">
      <c r="B34" s="80" t="s">
        <v>289</v>
      </c>
      <c r="C34" s="45"/>
      <c r="D34" s="103"/>
      <c r="E34" s="57">
        <v>1</v>
      </c>
      <c r="F34" s="108"/>
      <c r="G34" s="406">
        <v>1</v>
      </c>
      <c r="H34" s="407"/>
      <c r="I34" s="112"/>
      <c r="J34" s="25">
        <f t="shared" si="0"/>
        <v>2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>
        <v>32</v>
      </c>
      <c r="E36" s="58"/>
      <c r="F36" s="109">
        <v>32</v>
      </c>
      <c r="G36" s="406"/>
      <c r="H36" s="407"/>
      <c r="I36" s="113"/>
      <c r="J36" s="25">
        <f t="shared" si="0"/>
        <v>0</v>
      </c>
      <c r="K36" s="408">
        <f t="shared" si="1"/>
        <v>64</v>
      </c>
      <c r="L36" s="409"/>
    </row>
    <row r="37" spans="1:16" ht="14.1" customHeight="1" x14ac:dyDescent="0.2">
      <c r="B37" s="37" t="s">
        <v>292</v>
      </c>
      <c r="C37" s="55"/>
      <c r="D37" s="104">
        <v>11</v>
      </c>
      <c r="E37" s="58"/>
      <c r="F37" s="109">
        <v>11</v>
      </c>
      <c r="G37" s="406"/>
      <c r="H37" s="407"/>
      <c r="I37" s="113">
        <v>9</v>
      </c>
      <c r="J37" s="25">
        <f t="shared" si="0"/>
        <v>0</v>
      </c>
      <c r="K37" s="408">
        <f t="shared" si="1"/>
        <v>31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v>0</v>
      </c>
      <c r="J38" s="25">
        <f t="shared" si="0"/>
        <v>0</v>
      </c>
      <c r="K38" s="408">
        <f t="shared" si="1"/>
        <v>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150</v>
      </c>
      <c r="J39" s="25">
        <f t="shared" si="0"/>
        <v>0</v>
      </c>
      <c r="K39" s="408">
        <f t="shared" si="1"/>
        <v>150</v>
      </c>
      <c r="L39" s="409"/>
    </row>
    <row r="40" spans="1:16" ht="14.1" customHeight="1" thickBot="1" x14ac:dyDescent="0.25">
      <c r="B40" s="81" t="s">
        <v>295</v>
      </c>
      <c r="C40" s="47"/>
      <c r="D40" s="105">
        <v>108</v>
      </c>
      <c r="E40" s="59"/>
      <c r="F40" s="110">
        <v>124.2</v>
      </c>
      <c r="G40" s="473"/>
      <c r="H40" s="474"/>
      <c r="I40" s="114">
        <v>75.599999999999994</v>
      </c>
      <c r="J40" s="26">
        <f t="shared" si="0"/>
        <v>0</v>
      </c>
      <c r="K40" s="475">
        <f>D40+F40+I40</f>
        <v>307.79999999999995</v>
      </c>
      <c r="L40" s="476"/>
    </row>
    <row r="41" spans="1:16" ht="17.25" customHeight="1" x14ac:dyDescent="0.2">
      <c r="B41" s="15" t="s">
        <v>273</v>
      </c>
      <c r="C41" s="16">
        <f>SUM(C25:C40)</f>
        <v>24</v>
      </c>
      <c r="D41" s="106">
        <f>SUM(D25:D40)</f>
        <v>537</v>
      </c>
      <c r="E41" s="16">
        <f>SUM(E25:E40)</f>
        <v>30</v>
      </c>
      <c r="F41" s="106">
        <f>SUM(F25:F40)</f>
        <v>548.20000000000005</v>
      </c>
      <c r="G41" s="430">
        <f>SUM(G25:H40)</f>
        <v>28</v>
      </c>
      <c r="H41" s="430"/>
      <c r="I41" s="106">
        <f>SUM(I25:I40)</f>
        <v>575.6</v>
      </c>
      <c r="J41" s="16">
        <f>SUM(J25:J40)</f>
        <v>82</v>
      </c>
      <c r="K41" s="477">
        <f>SUM(K25:L40)</f>
        <v>1660.8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/>
      <c r="D45" s="210"/>
      <c r="E45" s="209"/>
      <c r="F45" s="210"/>
      <c r="G45" s="471"/>
      <c r="H45" s="472"/>
      <c r="I45" s="210"/>
      <c r="J45" s="209">
        <v>0.4</v>
      </c>
      <c r="K45" s="209">
        <v>0.6</v>
      </c>
      <c r="L45" s="210"/>
      <c r="M45" s="211"/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20</v>
      </c>
      <c r="K46" s="40">
        <f>K45*50</f>
        <v>30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/>
      <c r="D48" s="209"/>
      <c r="E48" s="209"/>
      <c r="F48" s="209">
        <v>0.3</v>
      </c>
      <c r="G48" s="442">
        <v>0.3</v>
      </c>
      <c r="H48" s="443"/>
      <c r="I48" s="209">
        <v>0.3</v>
      </c>
      <c r="J48" s="209">
        <v>0</v>
      </c>
      <c r="K48" s="209">
        <v>0</v>
      </c>
      <c r="L48" s="209">
        <v>0.4</v>
      </c>
      <c r="M48" s="211">
        <v>0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48</v>
      </c>
      <c r="G49" s="438">
        <f>G48*100</f>
        <v>30</v>
      </c>
      <c r="H49" s="439"/>
      <c r="I49" s="40">
        <f>I48*100</f>
        <v>30</v>
      </c>
      <c r="J49" s="40">
        <f>J48*150</f>
        <v>0</v>
      </c>
      <c r="K49" s="40">
        <f>K48*70</f>
        <v>0</v>
      </c>
      <c r="L49" s="40">
        <f>L48*70</f>
        <v>28</v>
      </c>
      <c r="M49" s="79">
        <f>M48*70</f>
        <v>0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</v>
      </c>
      <c r="D51" s="213">
        <v>0</v>
      </c>
      <c r="E51" s="213">
        <v>0</v>
      </c>
      <c r="F51" s="209"/>
      <c r="G51" s="442"/>
      <c r="H51" s="443"/>
      <c r="I51" s="209">
        <v>0</v>
      </c>
      <c r="J51" s="209">
        <v>0.05</v>
      </c>
      <c r="K51" s="209">
        <v>0.25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12.5</v>
      </c>
      <c r="K52" s="41">
        <f>K51*250</f>
        <v>62.5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261</v>
      </c>
      <c r="F54" s="39" t="s">
        <v>309</v>
      </c>
      <c r="G54" s="188"/>
      <c r="H54" s="188"/>
      <c r="I54" s="30">
        <f>'25'!D54</f>
        <v>324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/>
      <c r="D58" s="60"/>
      <c r="E58" s="124">
        <f>SUM(C58:D58)</f>
        <v>0</v>
      </c>
      <c r="F58" s="425"/>
      <c r="G58" s="426"/>
      <c r="H58" s="60"/>
      <c r="I58" s="61"/>
      <c r="J58" s="422"/>
      <c r="K58" s="428"/>
      <c r="L58" s="60">
        <v>6712.7020000000002</v>
      </c>
      <c r="M58" s="61">
        <f>L58/3</f>
        <v>2237.5673333333334</v>
      </c>
      <c r="N58" s="288"/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0</v>
      </c>
      <c r="D59" s="432"/>
      <c r="E59" s="433"/>
      <c r="F59" s="434" t="s">
        <v>321</v>
      </c>
      <c r="G59" s="435"/>
      <c r="H59" s="436">
        <f>IF(ISERROR(SUM(H58:I58)/$H$19),"",(SUM(H58:I58)/$H$19))</f>
        <v>0</v>
      </c>
      <c r="I59" s="437"/>
      <c r="J59" s="434" t="s">
        <v>322</v>
      </c>
      <c r="K59" s="435"/>
      <c r="L59" s="115">
        <f>IF(ISERROR(L58/$H$19),"",(L58/$H$19))</f>
        <v>4.0184029835557231</v>
      </c>
      <c r="M59" s="116">
        <f>IF(ISERROR(M58/$H$19),"",(M58/$H$19))</f>
        <v>1.3394676611852412</v>
      </c>
      <c r="N59" s="288"/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1.4826388888888888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14</v>
      </c>
      <c r="C63" s="236" t="s">
        <v>22</v>
      </c>
      <c r="D63" s="236" t="s">
        <v>23</v>
      </c>
      <c r="E63" s="322"/>
      <c r="F63" s="324"/>
      <c r="G63" s="322" t="s">
        <v>605</v>
      </c>
      <c r="H63" s="323"/>
      <c r="I63" s="323"/>
      <c r="J63" s="324"/>
      <c r="K63" s="238">
        <v>0.27777777777777779</v>
      </c>
      <c r="L63" s="238">
        <v>0.2986111111111111</v>
      </c>
      <c r="M63" s="236" t="s">
        <v>9</v>
      </c>
      <c r="N63" s="237">
        <f t="shared" ref="N63:N126" si="2">IF(M63="No","",IF(M63="Yes",(L63-K63+(L63&lt;K63)),""))</f>
        <v>2.0833333333333315E-2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322"/>
      <c r="F64" s="324"/>
      <c r="G64" s="322"/>
      <c r="H64" s="323"/>
      <c r="I64" s="323"/>
      <c r="J64" s="324"/>
      <c r="K64" s="238">
        <v>0.3611111111111111</v>
      </c>
      <c r="L64" s="238">
        <v>0.40277777777777773</v>
      </c>
      <c r="M64" s="236" t="s">
        <v>9</v>
      </c>
      <c r="N64" s="237">
        <f t="shared" si="2"/>
        <v>4.166666666666663E-2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322"/>
      <c r="F65" s="324"/>
      <c r="G65" s="322"/>
      <c r="H65" s="323"/>
      <c r="I65" s="323"/>
      <c r="J65" s="324"/>
      <c r="K65" s="239">
        <v>0.41666666666666669</v>
      </c>
      <c r="L65" s="239">
        <v>0.4513888888888889</v>
      </c>
      <c r="M65" s="236" t="s">
        <v>9</v>
      </c>
      <c r="N65" s="237">
        <f t="shared" si="2"/>
        <v>3.472222222222221E-2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322"/>
      <c r="F66" s="324"/>
      <c r="G66" s="322"/>
      <c r="H66" s="323"/>
      <c r="I66" s="323"/>
      <c r="J66" s="324"/>
      <c r="K66" s="239">
        <v>0.47916666666666669</v>
      </c>
      <c r="L66" s="239">
        <v>0.5</v>
      </c>
      <c r="M66" s="236" t="s">
        <v>9</v>
      </c>
      <c r="N66" s="237">
        <f t="shared" si="2"/>
        <v>2.0833333333333315E-2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23</v>
      </c>
      <c r="E67" s="322" t="s">
        <v>106</v>
      </c>
      <c r="F67" s="324"/>
      <c r="G67" s="322" t="s">
        <v>528</v>
      </c>
      <c r="H67" s="323"/>
      <c r="I67" s="323"/>
      <c r="J67" s="324"/>
      <c r="K67" s="238">
        <v>0.2986111111111111</v>
      </c>
      <c r="L67" s="238">
        <v>0.3263888888888889</v>
      </c>
      <c r="M67" s="236" t="s">
        <v>9</v>
      </c>
      <c r="N67" s="237">
        <f t="shared" si="2"/>
        <v>2.777777777777779E-2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23</v>
      </c>
      <c r="E68" s="322"/>
      <c r="F68" s="324"/>
      <c r="G68" s="322" t="s">
        <v>1226</v>
      </c>
      <c r="H68" s="323"/>
      <c r="I68" s="323"/>
      <c r="J68" s="324"/>
      <c r="K68" s="239">
        <v>0.3125</v>
      </c>
      <c r="L68" s="239">
        <v>0.33333333333333331</v>
      </c>
      <c r="M68" s="236" t="s">
        <v>9</v>
      </c>
      <c r="N68" s="237">
        <f t="shared" si="2"/>
        <v>2.0833333333333315E-2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29</v>
      </c>
      <c r="E69" s="322"/>
      <c r="F69" s="324"/>
      <c r="G69" s="322" t="s">
        <v>488</v>
      </c>
      <c r="H69" s="323"/>
      <c r="I69" s="323"/>
      <c r="J69" s="324"/>
      <c r="K69" s="239">
        <v>0.29166666666666669</v>
      </c>
      <c r="L69" s="239">
        <v>0.3125</v>
      </c>
      <c r="M69" s="236" t="s">
        <v>9</v>
      </c>
      <c r="N69" s="237">
        <f t="shared" si="2"/>
        <v>2.0833333333333315E-2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29</v>
      </c>
      <c r="E70" s="322" t="s">
        <v>106</v>
      </c>
      <c r="F70" s="324"/>
      <c r="H70" t="s">
        <v>528</v>
      </c>
      <c r="K70" s="239">
        <v>0.33333333333333331</v>
      </c>
      <c r="L70" s="239">
        <v>0.375</v>
      </c>
      <c r="M70" s="236" t="s">
        <v>9</v>
      </c>
      <c r="N70" s="237">
        <f t="shared" si="2"/>
        <v>4.1666666666666685E-2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11</v>
      </c>
      <c r="E71" s="322" t="s">
        <v>43</v>
      </c>
      <c r="F71" s="324"/>
      <c r="G71" s="322" t="s">
        <v>1227</v>
      </c>
      <c r="H71" s="323"/>
      <c r="I71" s="323"/>
      <c r="J71" s="324"/>
      <c r="K71" s="239">
        <v>0.33333333333333331</v>
      </c>
      <c r="L71" s="239">
        <v>0.47916666666666669</v>
      </c>
      <c r="M71" s="236" t="s">
        <v>9</v>
      </c>
      <c r="N71" s="237">
        <f t="shared" si="2"/>
        <v>0.14583333333333337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11</v>
      </c>
      <c r="E72" s="322" t="s">
        <v>43</v>
      </c>
      <c r="F72" s="324"/>
      <c r="G72" s="322" t="s">
        <v>1228</v>
      </c>
      <c r="H72" s="323"/>
      <c r="I72" s="323"/>
      <c r="J72" s="324"/>
      <c r="K72" s="239">
        <v>0.29166666666666669</v>
      </c>
      <c r="L72" s="239">
        <v>0.36458333333333331</v>
      </c>
      <c r="M72" s="236" t="s">
        <v>9</v>
      </c>
      <c r="N72" s="237">
        <f t="shared" si="2"/>
        <v>7.291666666666663E-2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322"/>
      <c r="F73" s="324"/>
      <c r="G73" s="322"/>
      <c r="H73" s="323"/>
      <c r="I73" s="323"/>
      <c r="J73" s="324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 t="s">
        <v>6</v>
      </c>
      <c r="C74" s="236" t="s">
        <v>25</v>
      </c>
      <c r="D74" s="236" t="s">
        <v>15</v>
      </c>
      <c r="E74" s="322" t="s">
        <v>63</v>
      </c>
      <c r="F74" s="324"/>
      <c r="G74" s="322" t="s">
        <v>1229</v>
      </c>
      <c r="H74" s="323"/>
      <c r="I74" s="323"/>
      <c r="J74" s="324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322"/>
      <c r="F75" s="324"/>
      <c r="G75" s="322" t="s">
        <v>1230</v>
      </c>
      <c r="H75" s="323"/>
      <c r="I75" s="323"/>
      <c r="J75" s="324"/>
      <c r="K75" s="239">
        <v>0.77083333333333337</v>
      </c>
      <c r="L75" s="239">
        <v>0.89583333333333337</v>
      </c>
      <c r="M75" s="236" t="s">
        <v>9</v>
      </c>
      <c r="N75" s="237">
        <f t="shared" si="2"/>
        <v>0.125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18</v>
      </c>
      <c r="E76" s="322" t="s">
        <v>91</v>
      </c>
      <c r="F76" s="324"/>
      <c r="G76" s="322" t="s">
        <v>1231</v>
      </c>
      <c r="H76" s="323"/>
      <c r="I76" s="323"/>
      <c r="J76" s="324"/>
      <c r="K76" s="239">
        <v>0.64583333333333337</v>
      </c>
      <c r="L76" s="239">
        <v>0.6875</v>
      </c>
      <c r="M76" s="236" t="s">
        <v>9</v>
      </c>
      <c r="N76" s="237">
        <f t="shared" si="2"/>
        <v>4.166666666666663E-2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23</v>
      </c>
      <c r="E77" s="322"/>
      <c r="F77" s="324"/>
      <c r="G77" s="322" t="s">
        <v>605</v>
      </c>
      <c r="H77" s="323"/>
      <c r="I77" s="323"/>
      <c r="J77" s="324"/>
      <c r="K77" s="238">
        <v>0.63194444444444442</v>
      </c>
      <c r="L77" s="238">
        <v>0.67361111111111116</v>
      </c>
      <c r="M77" s="236" t="s">
        <v>9</v>
      </c>
      <c r="N77" s="237">
        <f t="shared" si="2"/>
        <v>4.1666666666666741E-2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/>
      <c r="H78" s="323"/>
      <c r="I78" s="323"/>
      <c r="J78" s="324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 t="s">
        <v>10</v>
      </c>
      <c r="C79" s="236" t="s">
        <v>28</v>
      </c>
      <c r="D79" s="236" t="s">
        <v>23</v>
      </c>
      <c r="E79" s="322"/>
      <c r="F79" s="324"/>
      <c r="G79" s="322" t="s">
        <v>338</v>
      </c>
      <c r="H79" s="323"/>
      <c r="I79" s="323"/>
      <c r="J79" s="324"/>
      <c r="K79" s="239">
        <v>0.99305555555555547</v>
      </c>
      <c r="L79" s="239">
        <v>4.8611111111111112E-2</v>
      </c>
      <c r="M79" s="236" t="s">
        <v>339</v>
      </c>
      <c r="N79" s="237">
        <f t="shared" si="2"/>
        <v>5.5555555555555691E-2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322"/>
      <c r="F80" s="324"/>
      <c r="G80" s="322"/>
      <c r="H80" s="323"/>
      <c r="I80" s="323"/>
      <c r="J80" s="324"/>
      <c r="K80" s="239">
        <v>8.3333333333333329E-2</v>
      </c>
      <c r="L80" s="239">
        <v>0.125</v>
      </c>
      <c r="M80" s="236" t="s">
        <v>339</v>
      </c>
      <c r="N80" s="237">
        <f t="shared" si="2"/>
        <v>4.1666666666666671E-2</v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 t="s">
        <v>26</v>
      </c>
      <c r="E81" s="322"/>
      <c r="F81" s="324"/>
      <c r="G81" s="322" t="s">
        <v>338</v>
      </c>
      <c r="H81" s="323"/>
      <c r="I81" s="323"/>
      <c r="J81" s="324"/>
      <c r="K81" s="239">
        <v>0.27083333333333331</v>
      </c>
      <c r="L81" s="239"/>
      <c r="M81" s="236" t="s">
        <v>339</v>
      </c>
      <c r="N81" s="237">
        <f t="shared" si="2"/>
        <v>0.72916666666666674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322"/>
      <c r="F83" s="324"/>
      <c r="G83" s="322"/>
      <c r="H83" s="323"/>
      <c r="I83" s="323"/>
      <c r="J83" s="324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 t="s">
        <v>651</v>
      </c>
      <c r="D136" s="481"/>
      <c r="E136" s="463" t="s">
        <v>1049</v>
      </c>
      <c r="F136" s="464"/>
      <c r="G136" s="452" t="s">
        <v>570</v>
      </c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/>
      <c r="D137" s="479"/>
      <c r="E137" s="463"/>
      <c r="F137" s="464"/>
      <c r="G137" s="452"/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 t="s">
        <v>255</v>
      </c>
      <c r="C143" s="215">
        <v>12</v>
      </c>
      <c r="D143" s="335" t="s">
        <v>1232</v>
      </c>
      <c r="E143" s="335"/>
      <c r="F143" s="335"/>
      <c r="G143" s="336" t="s">
        <v>372</v>
      </c>
      <c r="H143" s="336"/>
      <c r="I143" s="336"/>
      <c r="J143" s="336">
        <v>37</v>
      </c>
      <c r="K143" s="336"/>
      <c r="L143" s="335" t="s">
        <v>355</v>
      </c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/>
      <c r="C144" s="215">
        <v>1</v>
      </c>
      <c r="D144" s="335" t="s">
        <v>1233</v>
      </c>
      <c r="E144" s="335"/>
      <c r="F144" s="335"/>
      <c r="G144" s="336" t="s">
        <v>357</v>
      </c>
      <c r="H144" s="336"/>
      <c r="I144" s="336"/>
      <c r="J144" s="336">
        <v>17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9</v>
      </c>
      <c r="D145" s="335" t="s">
        <v>1234</v>
      </c>
      <c r="E145" s="335"/>
      <c r="F145" s="335"/>
      <c r="G145" s="336" t="s">
        <v>367</v>
      </c>
      <c r="H145" s="336"/>
      <c r="I145" s="336"/>
      <c r="J145" s="336" t="s">
        <v>1235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18</v>
      </c>
      <c r="D146" s="335" t="s">
        <v>1236</v>
      </c>
      <c r="E146" s="335"/>
      <c r="F146" s="335"/>
      <c r="G146" s="336" t="s">
        <v>737</v>
      </c>
      <c r="H146" s="336"/>
      <c r="I146" s="336"/>
      <c r="J146" s="336" t="s">
        <v>1237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13</v>
      </c>
      <c r="D147" s="335" t="s">
        <v>1135</v>
      </c>
      <c r="E147" s="335"/>
      <c r="F147" s="335"/>
      <c r="G147" s="336" t="s">
        <v>510</v>
      </c>
      <c r="H147" s="336"/>
      <c r="I147" s="336"/>
      <c r="J147" s="336" t="s">
        <v>1238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18</v>
      </c>
      <c r="D148" s="335" t="s">
        <v>1239</v>
      </c>
      <c r="E148" s="335"/>
      <c r="F148" s="335"/>
      <c r="G148" s="336" t="s">
        <v>510</v>
      </c>
      <c r="H148" s="336"/>
      <c r="I148" s="336"/>
      <c r="J148" s="336">
        <v>35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8</v>
      </c>
      <c r="D149" s="335" t="s">
        <v>1233</v>
      </c>
      <c r="E149" s="335"/>
      <c r="F149" s="335"/>
      <c r="G149" s="336" t="s">
        <v>1005</v>
      </c>
      <c r="H149" s="336"/>
      <c r="I149" s="336"/>
      <c r="J149" s="336">
        <v>140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 t="s">
        <v>822</v>
      </c>
      <c r="D150" s="335" t="s">
        <v>1240</v>
      </c>
      <c r="E150" s="335"/>
      <c r="F150" s="335"/>
      <c r="G150" s="336" t="s">
        <v>1241</v>
      </c>
      <c r="H150" s="336"/>
      <c r="I150" s="336"/>
      <c r="J150" s="336" t="s">
        <v>1242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18</v>
      </c>
      <c r="D151" s="335" t="s">
        <v>1236</v>
      </c>
      <c r="E151" s="335"/>
      <c r="F151" s="335"/>
      <c r="G151" s="336" t="s">
        <v>357</v>
      </c>
      <c r="H151" s="336"/>
      <c r="I151" s="336"/>
      <c r="J151" s="336">
        <v>32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215">
        <v>19</v>
      </c>
      <c r="D152" s="335" t="s">
        <v>1239</v>
      </c>
      <c r="E152" s="335"/>
      <c r="F152" s="335"/>
      <c r="G152" s="336" t="s">
        <v>1243</v>
      </c>
      <c r="H152" s="336"/>
      <c r="I152" s="336"/>
      <c r="J152" s="336">
        <v>18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14</v>
      </c>
      <c r="D153" s="335" t="s">
        <v>1244</v>
      </c>
      <c r="E153" s="335"/>
      <c r="F153" s="335"/>
      <c r="G153" s="336" t="s">
        <v>544</v>
      </c>
      <c r="H153" s="336"/>
      <c r="I153" s="336"/>
      <c r="J153" s="336">
        <v>29</v>
      </c>
      <c r="K153" s="336"/>
      <c r="L153" s="335" t="s">
        <v>355</v>
      </c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 t="s">
        <v>1245</v>
      </c>
      <c r="D154" s="335" t="s">
        <v>1236</v>
      </c>
      <c r="E154" s="335"/>
      <c r="F154" s="335"/>
      <c r="G154" s="336" t="s">
        <v>737</v>
      </c>
      <c r="H154" s="336"/>
      <c r="I154" s="336"/>
      <c r="J154" s="336">
        <v>18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 t="s">
        <v>1246</v>
      </c>
      <c r="D155" s="335" t="s">
        <v>1135</v>
      </c>
      <c r="E155" s="335"/>
      <c r="F155" s="335"/>
      <c r="G155" s="336" t="s">
        <v>510</v>
      </c>
      <c r="H155" s="336"/>
      <c r="I155" s="336"/>
      <c r="J155" s="336">
        <v>45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 t="s">
        <v>1247</v>
      </c>
      <c r="D156" s="335" t="s">
        <v>1234</v>
      </c>
      <c r="E156" s="335"/>
      <c r="F156" s="335"/>
      <c r="G156" s="336" t="s">
        <v>367</v>
      </c>
      <c r="H156" s="336"/>
      <c r="I156" s="336"/>
      <c r="J156" s="336">
        <v>43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 t="s">
        <v>1248</v>
      </c>
      <c r="D157" s="335" t="s">
        <v>1240</v>
      </c>
      <c r="E157" s="335"/>
      <c r="F157" s="335"/>
      <c r="G157" s="336" t="s">
        <v>1241</v>
      </c>
      <c r="H157" s="336"/>
      <c r="I157" s="336"/>
      <c r="J157" s="336">
        <v>48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35"/>
      <c r="E158" s="335"/>
      <c r="F158" s="335"/>
      <c r="G158" s="336"/>
      <c r="H158" s="336"/>
      <c r="I158" s="336"/>
      <c r="J158" s="336"/>
      <c r="K158" s="336"/>
      <c r="L158" s="335"/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 t="s">
        <v>261</v>
      </c>
      <c r="C159" s="215">
        <v>18</v>
      </c>
      <c r="D159" s="335" t="s">
        <v>1249</v>
      </c>
      <c r="E159" s="335"/>
      <c r="F159" s="335"/>
      <c r="G159" s="336" t="s">
        <v>538</v>
      </c>
      <c r="H159" s="336"/>
      <c r="I159" s="336"/>
      <c r="J159" s="336">
        <v>16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12</v>
      </c>
      <c r="D160" s="335" t="s">
        <v>1250</v>
      </c>
      <c r="E160" s="335"/>
      <c r="F160" s="335"/>
      <c r="G160" s="336" t="s">
        <v>372</v>
      </c>
      <c r="H160" s="336"/>
      <c r="I160" s="336"/>
      <c r="J160" s="336">
        <v>44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</v>
      </c>
      <c r="D161" s="335" t="s">
        <v>1251</v>
      </c>
      <c r="E161" s="335"/>
      <c r="F161" s="335"/>
      <c r="G161" s="336" t="s">
        <v>357</v>
      </c>
      <c r="H161" s="336"/>
      <c r="I161" s="336"/>
      <c r="J161" s="336">
        <v>29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9</v>
      </c>
      <c r="D162" s="335" t="s">
        <v>1252</v>
      </c>
      <c r="E162" s="335"/>
      <c r="F162" s="335"/>
      <c r="G162" s="336" t="s">
        <v>367</v>
      </c>
      <c r="H162" s="336"/>
      <c r="I162" s="336"/>
      <c r="J162" s="336">
        <v>50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14</v>
      </c>
      <c r="D163" s="335" t="s">
        <v>1253</v>
      </c>
      <c r="E163" s="335"/>
      <c r="F163" s="335"/>
      <c r="G163" s="336" t="s">
        <v>544</v>
      </c>
      <c r="H163" s="336"/>
      <c r="I163" s="336"/>
      <c r="J163" s="336">
        <v>30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13</v>
      </c>
      <c r="D164" s="335" t="s">
        <v>1254</v>
      </c>
      <c r="E164" s="335"/>
      <c r="F164" s="335"/>
      <c r="G164" s="336" t="s">
        <v>510</v>
      </c>
      <c r="H164" s="336"/>
      <c r="I164" s="336"/>
      <c r="J164" s="336">
        <v>58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19</v>
      </c>
      <c r="D165" s="335" t="s">
        <v>1254</v>
      </c>
      <c r="E165" s="335"/>
      <c r="F165" s="335"/>
      <c r="G165" s="336" t="s">
        <v>1243</v>
      </c>
      <c r="H165" s="336"/>
      <c r="I165" s="336"/>
      <c r="J165" s="336">
        <v>15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 t="s">
        <v>1246</v>
      </c>
      <c r="D166" s="335" t="s">
        <v>1254</v>
      </c>
      <c r="E166" s="335"/>
      <c r="F166" s="335"/>
      <c r="G166" s="336" t="s">
        <v>510</v>
      </c>
      <c r="H166" s="336"/>
      <c r="I166" s="336"/>
      <c r="J166" s="336">
        <v>52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/>
      <c r="D167" s="335"/>
      <c r="E167" s="335"/>
      <c r="F167" s="335"/>
      <c r="G167" s="336"/>
      <c r="H167" s="336"/>
      <c r="I167" s="336"/>
      <c r="J167" s="336"/>
      <c r="K167" s="336"/>
      <c r="L167" s="335"/>
      <c r="M167" s="335"/>
    </row>
    <row r="168" spans="1:18" ht="14.25" x14ac:dyDescent="0.2">
      <c r="B168" s="216" t="s">
        <v>462</v>
      </c>
      <c r="C168" s="215" t="s">
        <v>376</v>
      </c>
      <c r="D168" s="335" t="s">
        <v>1255</v>
      </c>
      <c r="E168" s="335"/>
      <c r="F168" s="335"/>
      <c r="G168" s="336" t="s">
        <v>357</v>
      </c>
      <c r="H168" s="336"/>
      <c r="I168" s="336"/>
      <c r="J168" s="336">
        <v>23</v>
      </c>
      <c r="K168" s="336"/>
      <c r="L168" s="335" t="s">
        <v>355</v>
      </c>
      <c r="M168" s="335"/>
    </row>
    <row r="169" spans="1:18" ht="14.25" x14ac:dyDescent="0.2">
      <c r="B169" s="216"/>
      <c r="C169" s="215">
        <v>9</v>
      </c>
      <c r="D169" s="335" t="s">
        <v>1256</v>
      </c>
      <c r="E169" s="335"/>
      <c r="F169" s="335"/>
      <c r="G169" s="336" t="s">
        <v>367</v>
      </c>
      <c r="H169" s="336"/>
      <c r="I169" s="336"/>
      <c r="J169" s="336">
        <v>42</v>
      </c>
      <c r="K169" s="336"/>
      <c r="L169" s="335" t="s">
        <v>355</v>
      </c>
      <c r="M169" s="335"/>
    </row>
    <row r="170" spans="1:18" ht="14.25" x14ac:dyDescent="0.2">
      <c r="B170" s="216"/>
      <c r="C170" s="215">
        <v>18</v>
      </c>
      <c r="D170" s="335" t="s">
        <v>1257</v>
      </c>
      <c r="E170" s="335"/>
      <c r="F170" s="335"/>
      <c r="G170" s="336" t="s">
        <v>538</v>
      </c>
      <c r="H170" s="336"/>
      <c r="I170" s="336"/>
      <c r="J170" s="336">
        <v>23</v>
      </c>
      <c r="K170" s="336"/>
      <c r="L170" s="335" t="s">
        <v>355</v>
      </c>
      <c r="M170" s="335"/>
    </row>
    <row r="171" spans="1:18" ht="14.25" x14ac:dyDescent="0.2">
      <c r="B171" s="216"/>
      <c r="C171" s="215">
        <v>8</v>
      </c>
      <c r="D171" s="337" t="s">
        <v>1255</v>
      </c>
      <c r="E171" s="338"/>
      <c r="F171" s="339"/>
      <c r="G171" s="336" t="s">
        <v>1258</v>
      </c>
      <c r="H171" s="336"/>
      <c r="I171" s="336"/>
      <c r="J171" s="336">
        <v>149</v>
      </c>
      <c r="K171" s="336"/>
      <c r="L171" s="335" t="s">
        <v>355</v>
      </c>
      <c r="M171" s="335"/>
    </row>
    <row r="172" spans="1:18" ht="14.25" x14ac:dyDescent="0.2">
      <c r="B172" s="216"/>
      <c r="C172" s="215">
        <v>12</v>
      </c>
      <c r="D172" s="335" t="s">
        <v>1259</v>
      </c>
      <c r="E172" s="335"/>
      <c r="F172" s="335"/>
      <c r="G172" s="336" t="s">
        <v>372</v>
      </c>
      <c r="H172" s="336"/>
      <c r="I172" s="336"/>
      <c r="J172" s="336">
        <v>47</v>
      </c>
      <c r="K172" s="336"/>
      <c r="L172" s="335" t="s">
        <v>355</v>
      </c>
      <c r="M172" s="335"/>
    </row>
    <row r="173" spans="1:18" ht="14.25" x14ac:dyDescent="0.2">
      <c r="B173" s="216"/>
      <c r="C173" s="215">
        <v>13</v>
      </c>
      <c r="D173" s="335" t="s">
        <v>1260</v>
      </c>
      <c r="E173" s="335"/>
      <c r="F173" s="335"/>
      <c r="G173" s="336" t="s">
        <v>701</v>
      </c>
      <c r="H173" s="336"/>
      <c r="I173" s="336"/>
      <c r="J173" s="336">
        <v>35</v>
      </c>
      <c r="K173" s="336"/>
      <c r="L173" s="335" t="s">
        <v>355</v>
      </c>
      <c r="M173" s="335"/>
    </row>
    <row r="174" spans="1:18" ht="14.25" x14ac:dyDescent="0.2">
      <c r="B174" s="216"/>
      <c r="C174" s="215">
        <v>13</v>
      </c>
      <c r="D174" s="335" t="s">
        <v>1261</v>
      </c>
      <c r="E174" s="335"/>
      <c r="F174" s="335"/>
      <c r="G174" s="336" t="s">
        <v>510</v>
      </c>
      <c r="H174" s="336"/>
      <c r="I174" s="336"/>
      <c r="J174" s="336">
        <v>48</v>
      </c>
      <c r="K174" s="336"/>
      <c r="L174" s="335" t="s">
        <v>355</v>
      </c>
      <c r="M174" s="335"/>
    </row>
    <row r="175" spans="1:18" ht="14.25" x14ac:dyDescent="0.2">
      <c r="B175" s="216"/>
      <c r="C175" s="215">
        <v>19</v>
      </c>
      <c r="D175" s="335" t="s">
        <v>1262</v>
      </c>
      <c r="E175" s="335"/>
      <c r="F175" s="335"/>
      <c r="G175" s="336" t="s">
        <v>587</v>
      </c>
      <c r="H175" s="336"/>
      <c r="I175" s="336"/>
      <c r="J175" s="336">
        <v>18</v>
      </c>
      <c r="K175" s="336"/>
      <c r="L175" s="335" t="s">
        <v>1263</v>
      </c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C7AF0B31-B081-483E-B905-0451BA0E0AE1}">
      <formula1>INDIRECT(D63)</formula1>
    </dataValidation>
  </dataValidations>
  <hyperlinks>
    <hyperlink ref="J14:L15" location="Summary!A1" display="MTD Summary " xr:uid="{33115FA3-AD88-4EC0-A2EF-DA52B2683711}"/>
    <hyperlink ref="J16:L17" location="Graph!A1" display="MTD Trendings" xr:uid="{D22D3C6C-E6F1-4569-83A5-F8BA02903607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0264308-8FAA-41F6-8A4F-98A22EE83E41}">
          <x14:formula1>
            <xm:f>List!$C$5:$C$14</xm:f>
          </x14:formula1>
          <xm:sqref>D63:D131</xm:sqref>
        </x14:dataValidation>
        <x14:dataValidation type="list" allowBlank="1" showInputMessage="1" showErrorMessage="1" xr:uid="{348B6C3F-DA7F-4161-99E3-5D9246B8C4EC}">
          <x14:formula1>
            <xm:f>List!$B$10:$B$12</xm:f>
          </x14:formula1>
          <xm:sqref>C63:C131</xm:sqref>
        </x14:dataValidation>
        <x14:dataValidation type="list" allowBlank="1" showInputMessage="1" showErrorMessage="1" xr:uid="{7375D8AC-5BC3-40D4-934D-9605D815931F}">
          <x14:formula1>
            <xm:f>List!$B$5:$B$8</xm:f>
          </x14:formula1>
          <xm:sqref>B63:B131</xm:sqref>
        </x14:dataValidation>
        <x14:dataValidation type="list" allowBlank="1" showInputMessage="1" showErrorMessage="1" xr:uid="{FB6B8045-017D-4E4D-9FF7-D4D70367C632}">
          <x14:formula1>
            <xm:f>Sheet3!$C$3:$C$4</xm:f>
          </x14:formula1>
          <xm:sqref>M63:M132</xm:sqref>
        </x14:dataValidation>
        <x14:dataValidation type="list" allowBlank="1" showInputMessage="1" xr:uid="{97E78288-6601-4EB6-8BEC-5ABC0CE505A8}">
          <x14:formula1>
            <xm:f>Sheet3!$D$3:$D$11</xm:f>
          </x14:formula1>
          <xm:sqref>C132</xm:sqref>
        </x14:dataValidation>
        <x14:dataValidation type="list" allowBlank="1" showInputMessage="1" showErrorMessage="1" xr:uid="{E87DB4A7-ABA1-486B-A63D-FBD588304924}">
          <x14:formula1>
            <xm:f>Sheet3!$B$3:$B$5</xm:f>
          </x14:formula1>
          <xm:sqref>B143:B165 B132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CC32-9A96-45DA-AE1D-325E7CBE8C4B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CCF5-2E8F-40D3-A714-78AD4FCD2B94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3898-E393-40F9-BE0C-373FB3B247A8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3A6A-284E-41B5-9389-D7C616FA866E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I39" sqref="I39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27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1660.82</v>
      </c>
      <c r="K6" s="420"/>
      <c r="L6" s="420">
        <f ca="1">Summary!G34</f>
        <v>1532.6299999999999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130</v>
      </c>
      <c r="E7" s="84">
        <v>70</v>
      </c>
      <c r="F7" s="395">
        <v>40</v>
      </c>
      <c r="G7" s="396"/>
      <c r="H7" s="374">
        <f>SUM(D7:D10)</f>
        <v>530.33000000000004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140</v>
      </c>
      <c r="E8" s="86">
        <v>70</v>
      </c>
      <c r="F8" s="397">
        <v>40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120</v>
      </c>
      <c r="E9" s="86">
        <v>70</v>
      </c>
      <c r="F9" s="397">
        <v>40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140.33000000000001</v>
      </c>
      <c r="E10" s="88">
        <v>70</v>
      </c>
      <c r="F10" s="399">
        <v>40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100</v>
      </c>
      <c r="E11" s="90">
        <v>70</v>
      </c>
      <c r="F11" s="386">
        <v>40</v>
      </c>
      <c r="G11" s="387"/>
      <c r="H11" s="388">
        <f>SUM(D11:D14)</f>
        <v>550.27</v>
      </c>
      <c r="I11" s="69"/>
      <c r="J11" s="403">
        <v>0</v>
      </c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140</v>
      </c>
      <c r="E12" s="92">
        <v>70</v>
      </c>
      <c r="F12" s="391">
        <v>40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150</v>
      </c>
      <c r="E13" s="92">
        <v>70</v>
      </c>
      <c r="F13" s="391">
        <v>40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160.27000000000001</v>
      </c>
      <c r="E14" s="94">
        <v>70</v>
      </c>
      <c r="F14" s="393">
        <v>40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140</v>
      </c>
      <c r="E15" s="96">
        <v>70</v>
      </c>
      <c r="F15" s="372">
        <v>40</v>
      </c>
      <c r="G15" s="373"/>
      <c r="H15" s="374">
        <f>SUM(D15:D18)</f>
        <v>580.22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150</v>
      </c>
      <c r="E16" s="98">
        <v>70</v>
      </c>
      <c r="F16" s="401">
        <v>40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140</v>
      </c>
      <c r="E17" s="98">
        <v>70</v>
      </c>
      <c r="F17" s="401">
        <v>40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150.22</v>
      </c>
      <c r="E18" s="100">
        <v>70</v>
      </c>
      <c r="F18" s="404">
        <v>40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1660.82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7</v>
      </c>
      <c r="D25" s="102">
        <v>124</v>
      </c>
      <c r="E25" s="56">
        <v>6</v>
      </c>
      <c r="F25" s="107">
        <v>89</v>
      </c>
      <c r="G25" s="410">
        <v>8</v>
      </c>
      <c r="H25" s="411"/>
      <c r="I25" s="111">
        <v>120</v>
      </c>
      <c r="J25" s="38">
        <f t="shared" ref="J25:J40" si="0">C25+E25+G25</f>
        <v>21</v>
      </c>
      <c r="K25" s="412">
        <f>D25+F25+I25</f>
        <v>333</v>
      </c>
      <c r="L25" s="413"/>
      <c r="M25" s="2"/>
    </row>
    <row r="26" spans="2:14" ht="14.1" customHeight="1" x14ac:dyDescent="0.2">
      <c r="B26" s="80" t="s">
        <v>281</v>
      </c>
      <c r="C26" s="45">
        <v>6</v>
      </c>
      <c r="D26" s="103">
        <v>144</v>
      </c>
      <c r="E26" s="57">
        <v>5</v>
      </c>
      <c r="F26" s="108">
        <v>106</v>
      </c>
      <c r="G26" s="406">
        <v>5</v>
      </c>
      <c r="H26" s="407"/>
      <c r="I26" s="112">
        <v>104</v>
      </c>
      <c r="J26" s="25">
        <f t="shared" si="0"/>
        <v>16</v>
      </c>
      <c r="K26" s="408">
        <f t="shared" ref="K26:K39" si="1">D26+F26+I26</f>
        <v>354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130</v>
      </c>
      <c r="E27" s="57"/>
      <c r="F27" s="108">
        <v>136</v>
      </c>
      <c r="G27" s="406"/>
      <c r="H27" s="407"/>
      <c r="I27" s="112">
        <v>154</v>
      </c>
      <c r="J27" s="25">
        <f t="shared" si="0"/>
        <v>0</v>
      </c>
      <c r="K27" s="408">
        <f t="shared" si="1"/>
        <v>420</v>
      </c>
      <c r="L27" s="409"/>
      <c r="M27" s="2"/>
    </row>
    <row r="28" spans="2:14" ht="14.1" customHeight="1" x14ac:dyDescent="0.2">
      <c r="B28" s="80" t="s">
        <v>283</v>
      </c>
      <c r="C28" s="45">
        <v>5</v>
      </c>
      <c r="D28" s="103"/>
      <c r="E28" s="57">
        <v>7</v>
      </c>
      <c r="F28" s="108"/>
      <c r="G28" s="406">
        <v>5</v>
      </c>
      <c r="H28" s="407"/>
      <c r="I28" s="112"/>
      <c r="J28" s="25">
        <f t="shared" si="0"/>
        <v>17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4</v>
      </c>
      <c r="D29" s="103"/>
      <c r="E29" s="57">
        <v>3</v>
      </c>
      <c r="F29" s="108"/>
      <c r="G29" s="406">
        <v>5</v>
      </c>
      <c r="H29" s="407"/>
      <c r="I29" s="112"/>
      <c r="J29" s="25">
        <f t="shared" si="0"/>
        <v>12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/>
      <c r="D30" s="103"/>
      <c r="E30" s="57">
        <v>1</v>
      </c>
      <c r="F30" s="108">
        <v>43.75</v>
      </c>
      <c r="G30" s="406">
        <v>1</v>
      </c>
      <c r="H30" s="407"/>
      <c r="I30" s="112"/>
      <c r="J30" s="25">
        <f t="shared" si="0"/>
        <v>2</v>
      </c>
      <c r="K30" s="408">
        <f t="shared" si="1"/>
        <v>43.75</v>
      </c>
      <c r="L30" s="409"/>
    </row>
    <row r="31" spans="2:14" ht="14.1" customHeight="1" x14ac:dyDescent="0.2">
      <c r="B31" s="80" t="s">
        <v>286</v>
      </c>
      <c r="C31" s="45">
        <v>1</v>
      </c>
      <c r="D31" s="103"/>
      <c r="E31" s="57">
        <v>3</v>
      </c>
      <c r="F31" s="108"/>
      <c r="G31" s="406">
        <v>3</v>
      </c>
      <c r="H31" s="407"/>
      <c r="I31" s="112"/>
      <c r="J31" s="25">
        <f t="shared" si="0"/>
        <v>7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1</v>
      </c>
      <c r="F32" s="108"/>
      <c r="G32" s="406">
        <v>1</v>
      </c>
      <c r="H32" s="407"/>
      <c r="I32" s="112"/>
      <c r="J32" s="25">
        <f t="shared" si="0"/>
        <v>3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>
        <v>24.6</v>
      </c>
      <c r="E33" s="57"/>
      <c r="F33" s="108"/>
      <c r="G33" s="406"/>
      <c r="H33" s="407"/>
      <c r="I33" s="112"/>
      <c r="J33" s="25">
        <f t="shared" si="0"/>
        <v>0</v>
      </c>
      <c r="K33" s="408">
        <f t="shared" si="1"/>
        <v>24.6</v>
      </c>
      <c r="L33" s="409"/>
    </row>
    <row r="34" spans="1:16" ht="14.1" customHeight="1" x14ac:dyDescent="0.2">
      <c r="B34" s="80" t="s">
        <v>289</v>
      </c>
      <c r="C34" s="45"/>
      <c r="D34" s="103"/>
      <c r="E34" s="57">
        <v>1</v>
      </c>
      <c r="F34" s="108"/>
      <c r="G34" s="406"/>
      <c r="H34" s="407"/>
      <c r="I34" s="112"/>
      <c r="J34" s="25">
        <f t="shared" si="0"/>
        <v>1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/>
      <c r="E36" s="58"/>
      <c r="F36" s="109"/>
      <c r="G36" s="406"/>
      <c r="H36" s="407"/>
      <c r="I36" s="113"/>
      <c r="J36" s="25">
        <f t="shared" si="0"/>
        <v>0</v>
      </c>
      <c r="K36" s="408">
        <f t="shared" si="1"/>
        <v>0</v>
      </c>
      <c r="L36" s="409"/>
    </row>
    <row r="37" spans="1:16" ht="14.1" customHeight="1" x14ac:dyDescent="0.2">
      <c r="B37" s="37" t="s">
        <v>292</v>
      </c>
      <c r="C37" s="55"/>
      <c r="D37" s="104">
        <v>5</v>
      </c>
      <c r="E37" s="58"/>
      <c r="F37" s="109">
        <v>2</v>
      </c>
      <c r="G37" s="406"/>
      <c r="H37" s="407"/>
      <c r="I37" s="113"/>
      <c r="J37" s="25">
        <f t="shared" si="0"/>
        <v>0</v>
      </c>
      <c r="K37" s="408">
        <f t="shared" si="1"/>
        <v>7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v>30</v>
      </c>
      <c r="J38" s="25">
        <f t="shared" si="0"/>
        <v>0</v>
      </c>
      <c r="K38" s="408">
        <f t="shared" si="1"/>
        <v>30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120</v>
      </c>
      <c r="J39" s="25">
        <f t="shared" si="0"/>
        <v>0</v>
      </c>
      <c r="K39" s="408">
        <f t="shared" si="1"/>
        <v>120</v>
      </c>
      <c r="L39" s="409"/>
    </row>
    <row r="40" spans="1:16" ht="14.1" customHeight="1" thickBot="1" x14ac:dyDescent="0.25">
      <c r="B40" s="81" t="s">
        <v>295</v>
      </c>
      <c r="C40" s="47"/>
      <c r="D40" s="105">
        <v>75.599999999999994</v>
      </c>
      <c r="E40" s="59"/>
      <c r="F40" s="110">
        <v>108</v>
      </c>
      <c r="G40" s="473"/>
      <c r="H40" s="474"/>
      <c r="I40" s="114">
        <v>76.680000000000007</v>
      </c>
      <c r="J40" s="26">
        <f t="shared" si="0"/>
        <v>0</v>
      </c>
      <c r="K40" s="475">
        <f>D40+F40+I40</f>
        <v>260.27999999999997</v>
      </c>
      <c r="L40" s="476"/>
    </row>
    <row r="41" spans="1:16" ht="17.25" customHeight="1" x14ac:dyDescent="0.2">
      <c r="B41" s="15" t="s">
        <v>273</v>
      </c>
      <c r="C41" s="16">
        <f>SUM(C25:C40)</f>
        <v>24</v>
      </c>
      <c r="D41" s="106">
        <f>SUM(D25:D40)</f>
        <v>503.20000000000005</v>
      </c>
      <c r="E41" s="16">
        <f>SUM(E25:E40)</f>
        <v>27</v>
      </c>
      <c r="F41" s="106">
        <f>SUM(F25:F40)</f>
        <v>484.75</v>
      </c>
      <c r="G41" s="430">
        <f>SUM(G25:H40)</f>
        <v>28</v>
      </c>
      <c r="H41" s="430"/>
      <c r="I41" s="106">
        <f>SUM(I25:I40)</f>
        <v>604.68000000000006</v>
      </c>
      <c r="J41" s="16">
        <f>SUM(J25:J40)</f>
        <v>79</v>
      </c>
      <c r="K41" s="477">
        <f>SUM(K25:L40)</f>
        <v>1592.6299999999999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/>
      <c r="D45" s="210"/>
      <c r="E45" s="209"/>
      <c r="F45" s="210"/>
      <c r="G45" s="471"/>
      <c r="H45" s="472"/>
      <c r="I45" s="210"/>
      <c r="J45" s="209">
        <v>0.1</v>
      </c>
      <c r="K45" s="209">
        <v>0.2</v>
      </c>
      <c r="L45" s="210"/>
      <c r="M45" s="211"/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5</v>
      </c>
      <c r="K46" s="40">
        <f>K45*50</f>
        <v>10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/>
      <c r="D48" s="209"/>
      <c r="E48" s="209"/>
      <c r="F48" s="209">
        <v>0.3</v>
      </c>
      <c r="G48" s="442">
        <v>0.1</v>
      </c>
      <c r="H48" s="443"/>
      <c r="I48" s="209">
        <v>0.5</v>
      </c>
      <c r="J48" s="209">
        <v>0</v>
      </c>
      <c r="K48" s="209">
        <v>0.1</v>
      </c>
      <c r="L48" s="209">
        <v>0.7</v>
      </c>
      <c r="M48" s="211">
        <v>0.3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48</v>
      </c>
      <c r="G49" s="438">
        <f>G48*100</f>
        <v>10</v>
      </c>
      <c r="H49" s="439"/>
      <c r="I49" s="40">
        <f>I48*100</f>
        <v>50</v>
      </c>
      <c r="J49" s="40">
        <f>J48*150</f>
        <v>0</v>
      </c>
      <c r="K49" s="40">
        <f>K48*70</f>
        <v>7</v>
      </c>
      <c r="L49" s="40">
        <f>L48*70</f>
        <v>49</v>
      </c>
      <c r="M49" s="79">
        <f>M48*70</f>
        <v>21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0.4</v>
      </c>
      <c r="D51" s="213">
        <v>0</v>
      </c>
      <c r="E51" s="213">
        <v>0</v>
      </c>
      <c r="F51" s="209"/>
      <c r="G51" s="442"/>
      <c r="H51" s="443"/>
      <c r="I51" s="209">
        <v>0</v>
      </c>
      <c r="J51" s="209">
        <v>0.05</v>
      </c>
      <c r="K51" s="209">
        <v>0.3</v>
      </c>
      <c r="L51" s="209">
        <v>0.1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28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12.5</v>
      </c>
      <c r="K52" s="41">
        <f>K51*250</f>
        <v>75</v>
      </c>
      <c r="L52" s="41">
        <f>L51*250</f>
        <v>25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340.5</v>
      </c>
      <c r="F54" s="39" t="s">
        <v>309</v>
      </c>
      <c r="G54" s="188"/>
      <c r="H54" s="188"/>
      <c r="I54" s="30">
        <f>'26'!D54</f>
        <v>261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>
        <v>174500</v>
      </c>
      <c r="D58" s="60">
        <v>17660</v>
      </c>
      <c r="E58" s="124">
        <f>SUM(C58:D58)</f>
        <v>192160</v>
      </c>
      <c r="F58" s="425"/>
      <c r="G58" s="426"/>
      <c r="H58" s="60">
        <v>3950</v>
      </c>
      <c r="I58" s="61">
        <v>2646</v>
      </c>
      <c r="J58" s="422"/>
      <c r="K58" s="428"/>
      <c r="L58" s="60">
        <f>N58*1660</f>
        <v>6855.8</v>
      </c>
      <c r="M58" s="61">
        <f>L58/3</f>
        <v>2285.2666666666669</v>
      </c>
      <c r="N58" s="288">
        <v>4.13</v>
      </c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115.70188220276731</v>
      </c>
      <c r="D59" s="432"/>
      <c r="E59" s="433"/>
      <c r="F59" s="434" t="s">
        <v>321</v>
      </c>
      <c r="G59" s="435"/>
      <c r="H59" s="436">
        <f>IF(ISERROR(SUM(H58:I58)/$H$19),"",(SUM(H58:I58)/$H$19))</f>
        <v>3.9715321347286281</v>
      </c>
      <c r="I59" s="437"/>
      <c r="J59" s="434" t="s">
        <v>322</v>
      </c>
      <c r="K59" s="435"/>
      <c r="L59" s="115">
        <f>IF(ISERROR(L58/$H$19),"",(L58/$H$19))</f>
        <v>4.1279608867908628</v>
      </c>
      <c r="M59" s="116">
        <f>IF(ISERROR(M58/$H$19),"",(M58/$H$19))</f>
        <v>1.3759869622636209</v>
      </c>
      <c r="N59" s="288"/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0.57291666666666652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322"/>
      <c r="F63" s="324"/>
      <c r="G63" s="322"/>
      <c r="H63" s="323"/>
      <c r="I63" s="323"/>
      <c r="J63" s="324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17</v>
      </c>
      <c r="C64" s="236" t="s">
        <v>22</v>
      </c>
      <c r="D64" s="236" t="s">
        <v>26</v>
      </c>
      <c r="E64" s="322"/>
      <c r="F64" s="324"/>
      <c r="G64" s="322" t="s">
        <v>1264</v>
      </c>
      <c r="H64" s="323"/>
      <c r="I64" s="323"/>
      <c r="J64" s="324"/>
      <c r="K64" s="238">
        <v>0.2638888888888889</v>
      </c>
      <c r="L64" s="238">
        <v>0.3125</v>
      </c>
      <c r="M64" s="236" t="s">
        <v>9</v>
      </c>
      <c r="N64" s="237">
        <f t="shared" si="2"/>
        <v>4.8611111111111105E-2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23</v>
      </c>
      <c r="E65" s="322" t="s">
        <v>107</v>
      </c>
      <c r="F65" s="324"/>
      <c r="G65" s="322" t="s">
        <v>1265</v>
      </c>
      <c r="H65" s="323"/>
      <c r="I65" s="323"/>
      <c r="J65" s="324"/>
      <c r="K65" s="239">
        <v>0.31944444444444448</v>
      </c>
      <c r="L65" s="239">
        <v>0.34027777777777773</v>
      </c>
      <c r="M65" s="236" t="s">
        <v>9</v>
      </c>
      <c r="N65" s="237">
        <f t="shared" si="2"/>
        <v>2.0833333333333259E-2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20</v>
      </c>
      <c r="E66" s="322"/>
      <c r="F66" s="324"/>
      <c r="G66" s="322" t="s">
        <v>1266</v>
      </c>
      <c r="H66" s="323"/>
      <c r="I66" s="323"/>
      <c r="J66" s="324"/>
      <c r="K66" s="239">
        <v>0.375</v>
      </c>
      <c r="L66" s="239">
        <v>0.46527777777777773</v>
      </c>
      <c r="M66" s="236" t="s">
        <v>13</v>
      </c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11</v>
      </c>
      <c r="E67" s="322" t="s">
        <v>39</v>
      </c>
      <c r="F67" s="324"/>
      <c r="G67" s="322" t="s">
        <v>1267</v>
      </c>
      <c r="H67" s="323"/>
      <c r="I67" s="323"/>
      <c r="J67" s="324"/>
      <c r="K67" s="238">
        <v>0.46875</v>
      </c>
      <c r="L67" s="238">
        <v>0.4861111111111111</v>
      </c>
      <c r="M67" s="236" t="s">
        <v>9</v>
      </c>
      <c r="N67" s="237">
        <f t="shared" si="2"/>
        <v>1.7361111111111105E-2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20</v>
      </c>
      <c r="E68" s="322"/>
      <c r="F68" s="324"/>
      <c r="G68" s="322" t="s">
        <v>1268</v>
      </c>
      <c r="H68" s="323"/>
      <c r="I68" s="323"/>
      <c r="J68" s="324"/>
      <c r="K68" s="239">
        <v>0.50694444444444442</v>
      </c>
      <c r="L68" s="239">
        <v>0.54861111111111105</v>
      </c>
      <c r="M68" s="236" t="s">
        <v>9</v>
      </c>
      <c r="N68" s="237">
        <f t="shared" si="2"/>
        <v>4.166666666666663E-2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322"/>
      <c r="F69" s="324"/>
      <c r="G69" s="322"/>
      <c r="H69" s="323"/>
      <c r="I69" s="323"/>
      <c r="J69" s="324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322"/>
      <c r="F70" s="324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 t="s">
        <v>6</v>
      </c>
      <c r="C71" s="236" t="s">
        <v>25</v>
      </c>
      <c r="D71" s="236" t="s">
        <v>15</v>
      </c>
      <c r="E71" s="322" t="s">
        <v>62</v>
      </c>
      <c r="F71" s="324"/>
      <c r="G71" s="322" t="s">
        <v>1269</v>
      </c>
      <c r="H71" s="323"/>
      <c r="I71" s="323"/>
      <c r="J71" s="324"/>
      <c r="K71" s="239">
        <v>0.85416666666666663</v>
      </c>
      <c r="L71" s="239"/>
      <c r="M71" s="236" t="s">
        <v>13</v>
      </c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23</v>
      </c>
      <c r="E72" s="322" t="s">
        <v>106</v>
      </c>
      <c r="F72" s="324"/>
      <c r="G72" s="322" t="s">
        <v>1270</v>
      </c>
      <c r="H72" s="323"/>
      <c r="I72" s="323"/>
      <c r="J72" s="324"/>
      <c r="K72" s="239">
        <v>0.625</v>
      </c>
      <c r="L72" s="239">
        <v>0.66666666666666663</v>
      </c>
      <c r="M72" s="236" t="s">
        <v>9</v>
      </c>
      <c r="N72" s="237">
        <f t="shared" si="2"/>
        <v>4.166666666666663E-2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26</v>
      </c>
      <c r="E73" s="322"/>
      <c r="F73" s="324"/>
      <c r="G73" s="322" t="s">
        <v>1271</v>
      </c>
      <c r="H73" s="323"/>
      <c r="I73" s="323"/>
      <c r="J73" s="324"/>
      <c r="K73" s="239">
        <v>0.625</v>
      </c>
      <c r="L73" s="239">
        <v>0.65277777777777779</v>
      </c>
      <c r="M73" s="236" t="s">
        <v>9</v>
      </c>
      <c r="N73" s="237">
        <f t="shared" si="2"/>
        <v>2.777777777777779E-2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26</v>
      </c>
      <c r="E74" s="322"/>
      <c r="F74" s="324"/>
      <c r="G74" s="322" t="s">
        <v>1264</v>
      </c>
      <c r="H74" s="323"/>
      <c r="I74" s="323"/>
      <c r="J74" s="324"/>
      <c r="K74" s="238">
        <v>0.70138888888888884</v>
      </c>
      <c r="L74" s="238">
        <v>0.72222222222222221</v>
      </c>
      <c r="M74" s="236" t="s">
        <v>9</v>
      </c>
      <c r="N74" s="237">
        <f t="shared" si="2"/>
        <v>2.083333333333337E-2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26</v>
      </c>
      <c r="E75" s="322"/>
      <c r="F75" s="324"/>
      <c r="G75" s="322" t="s">
        <v>1264</v>
      </c>
      <c r="H75" s="323"/>
      <c r="I75" s="323"/>
      <c r="J75" s="324"/>
      <c r="K75" s="239">
        <v>0.79166666666666663</v>
      </c>
      <c r="L75" s="239">
        <v>0.86805555555555547</v>
      </c>
      <c r="M75" s="236" t="s">
        <v>9</v>
      </c>
      <c r="N75" s="237">
        <f t="shared" si="2"/>
        <v>7.638888888888884E-2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322"/>
      <c r="F76" s="324"/>
      <c r="G76" s="322"/>
      <c r="H76" s="323"/>
      <c r="I76" s="323"/>
      <c r="J76" s="324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 t="s">
        <v>10</v>
      </c>
      <c r="C77" s="236" t="s">
        <v>28</v>
      </c>
      <c r="D77" s="236" t="s">
        <v>23</v>
      </c>
      <c r="E77" s="322"/>
      <c r="F77" s="324"/>
      <c r="G77" s="322" t="s">
        <v>605</v>
      </c>
      <c r="H77" s="323"/>
      <c r="I77" s="323"/>
      <c r="J77" s="324"/>
      <c r="K77" s="238">
        <v>1</v>
      </c>
      <c r="L77" s="238">
        <v>9.0277777777777776E-2</v>
      </c>
      <c r="M77" s="236" t="s">
        <v>339</v>
      </c>
      <c r="N77" s="237">
        <f t="shared" si="2"/>
        <v>9.027777777777779E-2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/>
      <c r="H78" s="323"/>
      <c r="I78" s="323"/>
      <c r="J78" s="324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26</v>
      </c>
      <c r="E79" s="322"/>
      <c r="F79" s="324"/>
      <c r="G79" s="322" t="s">
        <v>1272</v>
      </c>
      <c r="H79" s="323"/>
      <c r="I79" s="323"/>
      <c r="J79" s="324"/>
      <c r="K79" s="239">
        <v>4.8611111111111112E-2</v>
      </c>
      <c r="L79" s="239">
        <v>0.1388888888888889</v>
      </c>
      <c r="M79" s="236" t="s">
        <v>339</v>
      </c>
      <c r="N79" s="237">
        <f t="shared" si="2"/>
        <v>9.027777777777779E-2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 t="s">
        <v>26</v>
      </c>
      <c r="E80" s="322"/>
      <c r="F80" s="324"/>
      <c r="G80" s="322" t="s">
        <v>1273</v>
      </c>
      <c r="H80" s="323"/>
      <c r="I80" s="323"/>
      <c r="J80" s="324"/>
      <c r="K80" s="239">
        <v>0.15277777777777776</v>
      </c>
      <c r="L80" s="239">
        <v>0.20833333333333334</v>
      </c>
      <c r="M80" s="236" t="s">
        <v>339</v>
      </c>
      <c r="N80" s="237">
        <f t="shared" si="2"/>
        <v>5.555555555555558E-2</v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 t="s">
        <v>20</v>
      </c>
      <c r="E81" s="322"/>
      <c r="F81" s="324"/>
      <c r="G81" s="322" t="s">
        <v>1274</v>
      </c>
      <c r="H81" s="323"/>
      <c r="I81" s="323"/>
      <c r="J81" s="324"/>
      <c r="K81" s="239">
        <v>0.21527777777777779</v>
      </c>
      <c r="L81" s="239">
        <v>0.25694444444444448</v>
      </c>
      <c r="M81" s="236" t="s">
        <v>339</v>
      </c>
      <c r="N81" s="237">
        <f t="shared" si="2"/>
        <v>4.1666666666666685E-2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322"/>
      <c r="F83" s="324"/>
      <c r="G83" s="322"/>
      <c r="H83" s="323"/>
      <c r="I83" s="323"/>
      <c r="J83" s="324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 t="s">
        <v>691</v>
      </c>
      <c r="D136" s="481"/>
      <c r="E136" s="463" t="s">
        <v>1049</v>
      </c>
      <c r="F136" s="464"/>
      <c r="G136" s="452" t="s">
        <v>345</v>
      </c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692</v>
      </c>
      <c r="D137" s="479"/>
      <c r="E137" s="463"/>
      <c r="F137" s="464"/>
      <c r="G137" s="452"/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35"/>
      <c r="E143" s="335"/>
      <c r="F143" s="335"/>
      <c r="G143" s="336"/>
      <c r="H143" s="336"/>
      <c r="I143" s="336"/>
      <c r="J143" s="336"/>
      <c r="K143" s="336"/>
      <c r="L143" s="335"/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 t="s">
        <v>255</v>
      </c>
      <c r="C144" s="215">
        <v>3</v>
      </c>
      <c r="D144" s="335" t="s">
        <v>1275</v>
      </c>
      <c r="E144" s="335"/>
      <c r="F144" s="335"/>
      <c r="G144" s="336" t="s">
        <v>357</v>
      </c>
      <c r="H144" s="336"/>
      <c r="I144" s="336"/>
      <c r="J144" s="336">
        <v>27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9</v>
      </c>
      <c r="D145" s="335" t="s">
        <v>1276</v>
      </c>
      <c r="E145" s="335"/>
      <c r="F145" s="335"/>
      <c r="G145" s="336" t="s">
        <v>367</v>
      </c>
      <c r="H145" s="336"/>
      <c r="I145" s="336"/>
      <c r="J145" s="336">
        <v>44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13</v>
      </c>
      <c r="D146" s="335" t="s">
        <v>1277</v>
      </c>
      <c r="E146" s="335"/>
      <c r="F146" s="335"/>
      <c r="G146" s="336" t="s">
        <v>357</v>
      </c>
      <c r="H146" s="336"/>
      <c r="I146" s="336"/>
      <c r="J146" s="336">
        <v>31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18</v>
      </c>
      <c r="D147" s="335" t="s">
        <v>1278</v>
      </c>
      <c r="E147" s="335"/>
      <c r="F147" s="335"/>
      <c r="G147" s="336" t="s">
        <v>538</v>
      </c>
      <c r="H147" s="336"/>
      <c r="I147" s="336"/>
      <c r="J147" s="336">
        <v>18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19</v>
      </c>
      <c r="D148" s="335" t="s">
        <v>1279</v>
      </c>
      <c r="E148" s="335"/>
      <c r="F148" s="335"/>
      <c r="G148" s="336" t="s">
        <v>1280</v>
      </c>
      <c r="H148" s="336"/>
      <c r="I148" s="336"/>
      <c r="J148" s="336">
        <v>13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8</v>
      </c>
      <c r="D149" s="335" t="s">
        <v>1275</v>
      </c>
      <c r="E149" s="335"/>
      <c r="F149" s="335"/>
      <c r="G149" s="336" t="s">
        <v>1281</v>
      </c>
      <c r="H149" s="336"/>
      <c r="I149" s="336"/>
      <c r="J149" s="336">
        <v>70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35" t="s">
        <v>1282</v>
      </c>
      <c r="E150" s="335"/>
      <c r="F150" s="335"/>
      <c r="G150" s="336" t="s">
        <v>1283</v>
      </c>
      <c r="H150" s="336"/>
      <c r="I150" s="336"/>
      <c r="J150" s="336">
        <v>37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13</v>
      </c>
      <c r="D151" s="335" t="s">
        <v>1284</v>
      </c>
      <c r="E151" s="335"/>
      <c r="F151" s="335"/>
      <c r="G151" s="336" t="s">
        <v>1285</v>
      </c>
      <c r="H151" s="336"/>
      <c r="I151" s="336"/>
      <c r="J151" s="336">
        <v>32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35" t="s">
        <v>1286</v>
      </c>
      <c r="E152" s="335"/>
      <c r="F152" s="335"/>
      <c r="G152" s="336" t="s">
        <v>365</v>
      </c>
      <c r="H152" s="336"/>
      <c r="I152" s="336"/>
      <c r="J152" s="336">
        <v>3423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35"/>
      <c r="E153" s="335"/>
      <c r="F153" s="335"/>
      <c r="G153" s="336"/>
      <c r="H153" s="336"/>
      <c r="I153" s="336"/>
      <c r="J153" s="336"/>
      <c r="K153" s="336"/>
      <c r="L153" s="335"/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 t="s">
        <v>261</v>
      </c>
      <c r="C154" s="215">
        <v>23</v>
      </c>
      <c r="D154" s="335" t="s">
        <v>1287</v>
      </c>
      <c r="E154" s="335"/>
      <c r="F154" s="335"/>
      <c r="G154" s="336" t="s">
        <v>403</v>
      </c>
      <c r="H154" s="336"/>
      <c r="I154" s="336"/>
      <c r="J154" s="336">
        <v>333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3</v>
      </c>
      <c r="D155" s="335" t="s">
        <v>1288</v>
      </c>
      <c r="E155" s="335"/>
      <c r="F155" s="335"/>
      <c r="G155" s="336" t="s">
        <v>1285</v>
      </c>
      <c r="H155" s="336"/>
      <c r="I155" s="336"/>
      <c r="J155" s="336">
        <v>25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9</v>
      </c>
      <c r="D156" s="335" t="s">
        <v>1289</v>
      </c>
      <c r="E156" s="335"/>
      <c r="F156" s="335"/>
      <c r="G156" s="336" t="s">
        <v>367</v>
      </c>
      <c r="H156" s="336"/>
      <c r="I156" s="336"/>
      <c r="J156" s="336">
        <v>50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12</v>
      </c>
      <c r="D157" s="335" t="s">
        <v>1290</v>
      </c>
      <c r="E157" s="335"/>
      <c r="F157" s="335"/>
      <c r="G157" s="336" t="s">
        <v>372</v>
      </c>
      <c r="H157" s="336"/>
      <c r="I157" s="336"/>
      <c r="J157" s="336">
        <v>90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18</v>
      </c>
      <c r="D158" s="335" t="s">
        <v>1291</v>
      </c>
      <c r="E158" s="335"/>
      <c r="F158" s="335"/>
      <c r="G158" s="336" t="s">
        <v>538</v>
      </c>
      <c r="H158" s="336"/>
      <c r="I158" s="336"/>
      <c r="J158" s="336">
        <v>20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8</v>
      </c>
      <c r="D159" s="335" t="s">
        <v>1288</v>
      </c>
      <c r="E159" s="335"/>
      <c r="F159" s="335"/>
      <c r="G159" s="336" t="s">
        <v>753</v>
      </c>
      <c r="H159" s="336"/>
      <c r="I159" s="336"/>
      <c r="J159" s="336">
        <v>35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13</v>
      </c>
      <c r="D160" s="335" t="s">
        <v>1292</v>
      </c>
      <c r="E160" s="335"/>
      <c r="F160" s="335"/>
      <c r="G160" s="336" t="s">
        <v>359</v>
      </c>
      <c r="H160" s="336"/>
      <c r="I160" s="336"/>
      <c r="J160" s="336">
        <v>38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19</v>
      </c>
      <c r="D161" s="335" t="s">
        <v>1293</v>
      </c>
      <c r="E161" s="335"/>
      <c r="F161" s="335"/>
      <c r="G161" s="336" t="s">
        <v>361</v>
      </c>
      <c r="H161" s="336"/>
      <c r="I161" s="336"/>
      <c r="J161" s="336">
        <v>12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12</v>
      </c>
      <c r="D162" s="335" t="s">
        <v>1290</v>
      </c>
      <c r="E162" s="335"/>
      <c r="F162" s="335"/>
      <c r="G162" s="336" t="s">
        <v>372</v>
      </c>
      <c r="H162" s="336"/>
      <c r="I162" s="336"/>
      <c r="J162" s="336">
        <v>88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35"/>
      <c r="E163" s="335"/>
      <c r="F163" s="335"/>
      <c r="G163" s="336"/>
      <c r="H163" s="336"/>
      <c r="I163" s="336"/>
      <c r="J163" s="336"/>
      <c r="K163" s="336"/>
      <c r="L163" s="335"/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 t="s">
        <v>267</v>
      </c>
      <c r="C164" s="215" t="s">
        <v>376</v>
      </c>
      <c r="D164" s="335" t="s">
        <v>1294</v>
      </c>
      <c r="E164" s="335"/>
      <c r="F164" s="335"/>
      <c r="G164" s="336" t="s">
        <v>357</v>
      </c>
      <c r="H164" s="336"/>
      <c r="I164" s="336"/>
      <c r="J164" s="336">
        <v>31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 t="s">
        <v>378</v>
      </c>
      <c r="D165" s="335" t="s">
        <v>1295</v>
      </c>
      <c r="E165" s="335"/>
      <c r="F165" s="335"/>
      <c r="G165" s="336" t="s">
        <v>367</v>
      </c>
      <c r="H165" s="336"/>
      <c r="I165" s="336"/>
      <c r="J165" s="336">
        <v>33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18</v>
      </c>
      <c r="D166" s="335" t="s">
        <v>1296</v>
      </c>
      <c r="E166" s="335"/>
      <c r="F166" s="335"/>
      <c r="G166" s="336" t="s">
        <v>538</v>
      </c>
      <c r="H166" s="336"/>
      <c r="I166" s="336"/>
      <c r="J166" s="336">
        <v>25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>
        <v>12</v>
      </c>
      <c r="D167" s="335" t="s">
        <v>1297</v>
      </c>
      <c r="E167" s="335"/>
      <c r="F167" s="335"/>
      <c r="G167" s="336" t="s">
        <v>372</v>
      </c>
      <c r="H167" s="336"/>
      <c r="I167" s="336"/>
      <c r="J167" s="336">
        <v>47</v>
      </c>
      <c r="K167" s="336"/>
      <c r="L167" s="335" t="s">
        <v>355</v>
      </c>
      <c r="M167" s="335"/>
    </row>
    <row r="168" spans="1:18" ht="14.25" x14ac:dyDescent="0.2">
      <c r="B168" s="216"/>
      <c r="C168" s="215">
        <v>13</v>
      </c>
      <c r="D168" s="335" t="s">
        <v>1298</v>
      </c>
      <c r="E168" s="335"/>
      <c r="F168" s="335"/>
      <c r="G168" s="336" t="s">
        <v>359</v>
      </c>
      <c r="H168" s="336"/>
      <c r="I168" s="336"/>
      <c r="J168" s="336">
        <v>50</v>
      </c>
      <c r="K168" s="336"/>
      <c r="L168" s="335" t="s">
        <v>355</v>
      </c>
      <c r="M168" s="335"/>
    </row>
    <row r="169" spans="1:18" ht="14.25" x14ac:dyDescent="0.2">
      <c r="B169" s="216"/>
      <c r="C169" s="215">
        <v>19</v>
      </c>
      <c r="D169" s="335" t="s">
        <v>1299</v>
      </c>
      <c r="E169" s="335"/>
      <c r="F169" s="335"/>
      <c r="G169" s="336" t="s">
        <v>587</v>
      </c>
      <c r="H169" s="336"/>
      <c r="I169" s="336"/>
      <c r="J169" s="336">
        <v>18</v>
      </c>
      <c r="K169" s="336"/>
      <c r="L169" s="335" t="s">
        <v>355</v>
      </c>
      <c r="M169" s="335"/>
    </row>
    <row r="170" spans="1:18" ht="14.25" x14ac:dyDescent="0.2">
      <c r="B170" s="216"/>
      <c r="C170" s="215"/>
      <c r="D170" s="335"/>
      <c r="E170" s="335"/>
      <c r="F170" s="335"/>
      <c r="G170" s="336"/>
      <c r="H170" s="336"/>
      <c r="I170" s="336"/>
      <c r="J170" s="336"/>
      <c r="K170" s="336"/>
      <c r="L170" s="335"/>
      <c r="M170" s="335"/>
    </row>
    <row r="171" spans="1:18" ht="14.25" x14ac:dyDescent="0.2">
      <c r="B171" s="216"/>
      <c r="C171" s="215"/>
      <c r="D171" s="337"/>
      <c r="E171" s="338"/>
      <c r="F171" s="339"/>
      <c r="G171" s="336"/>
      <c r="H171" s="336"/>
      <c r="I171" s="336"/>
      <c r="J171" s="336"/>
      <c r="K171" s="336"/>
      <c r="L171" s="335"/>
      <c r="M171" s="335"/>
    </row>
    <row r="172" spans="1:18" ht="14.25" x14ac:dyDescent="0.2">
      <c r="B172" s="216"/>
      <c r="C172" s="215"/>
      <c r="D172" s="335"/>
      <c r="E172" s="335"/>
      <c r="F172" s="335"/>
      <c r="G172" s="336"/>
      <c r="H172" s="336"/>
      <c r="I172" s="336"/>
      <c r="J172" s="336"/>
      <c r="K172" s="336"/>
      <c r="L172" s="335"/>
      <c r="M172" s="335"/>
    </row>
    <row r="173" spans="1:18" ht="14.25" x14ac:dyDescent="0.2">
      <c r="B173" s="216"/>
      <c r="C173" s="215"/>
      <c r="D173" s="335"/>
      <c r="E173" s="335"/>
      <c r="F173" s="335"/>
      <c r="G173" s="336"/>
      <c r="H173" s="336"/>
      <c r="I173" s="336"/>
      <c r="J173" s="336"/>
      <c r="K173" s="336"/>
      <c r="L173" s="335"/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39C1B02D-D66D-49FF-A0E9-3FC82E604E66}">
      <formula1>INDIRECT(D63)</formula1>
    </dataValidation>
  </dataValidations>
  <hyperlinks>
    <hyperlink ref="J14:L15" location="Summary!A1" display="MTD Summary " xr:uid="{1FA33A76-3718-4BA6-9FA3-FBDB20BC97FF}"/>
    <hyperlink ref="J16:L17" location="Graph!A1" display="MTD Trendings" xr:uid="{A5E91366-8862-41DE-89E5-C6E3CD504591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8D4DF95-3E7A-4ACF-A15A-EE1D7F58928D}">
          <x14:formula1>
            <xm:f>Sheet3!$B$3:$B$5</xm:f>
          </x14:formula1>
          <xm:sqref>B143:B165 B132</xm:sqref>
        </x14:dataValidation>
        <x14:dataValidation type="list" allowBlank="1" showInputMessage="1" xr:uid="{BDBB3E64-46B1-4C68-B464-99D0AA0FD84E}">
          <x14:formula1>
            <xm:f>Sheet3!$D$3:$D$11</xm:f>
          </x14:formula1>
          <xm:sqref>C132</xm:sqref>
        </x14:dataValidation>
        <x14:dataValidation type="list" allowBlank="1" showInputMessage="1" showErrorMessage="1" xr:uid="{849732F3-F125-417A-A04A-4E1134D3A3A9}">
          <x14:formula1>
            <xm:f>Sheet3!$C$3:$C$4</xm:f>
          </x14:formula1>
          <xm:sqref>M63:M132</xm:sqref>
        </x14:dataValidation>
        <x14:dataValidation type="list" allowBlank="1" showInputMessage="1" showErrorMessage="1" xr:uid="{30501B17-E575-48E9-87F8-88EC50495C13}">
          <x14:formula1>
            <xm:f>List!$B$5:$B$8</xm:f>
          </x14:formula1>
          <xm:sqref>B63:B131</xm:sqref>
        </x14:dataValidation>
        <x14:dataValidation type="list" allowBlank="1" showInputMessage="1" showErrorMessage="1" xr:uid="{F830C8C1-C7BB-471D-8507-BD23307C6342}">
          <x14:formula1>
            <xm:f>List!$B$10:$B$12</xm:f>
          </x14:formula1>
          <xm:sqref>C63:C131</xm:sqref>
        </x14:dataValidation>
        <x14:dataValidation type="list" allowBlank="1" showInputMessage="1" showErrorMessage="1" xr:uid="{211B687F-805F-455F-937E-B67067EA8520}">
          <x14:formula1>
            <xm:f>List!$C$5:$C$14</xm:f>
          </x14:formula1>
          <xm:sqref>D63:D131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ED7D-7AAC-444D-8B5C-4DB88FD4F599}">
  <sheetPr>
    <pageSetUpPr fitToPage="1"/>
  </sheetPr>
  <dimension ref="A1:R188"/>
  <sheetViews>
    <sheetView showGridLines="0" view="pageBreakPreview" topLeftCell="A31" zoomScale="80" zoomScaleNormal="90" zoomScaleSheetLayoutView="80" zoomScalePageLayoutView="80" workbookViewId="0">
      <selection activeCell="E65" sqref="E65:F65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28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1670.6</v>
      </c>
      <c r="K6" s="420"/>
      <c r="L6" s="420">
        <f ca="1">Summary!G35</f>
        <v>1625.5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100</v>
      </c>
      <c r="E7" s="84">
        <v>70</v>
      </c>
      <c r="F7" s="395">
        <v>40</v>
      </c>
      <c r="G7" s="396"/>
      <c r="H7" s="374">
        <f>SUM(D7:D10)</f>
        <v>450.33000000000004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40</v>
      </c>
      <c r="E8" s="86">
        <v>70</v>
      </c>
      <c r="F8" s="397">
        <v>40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130</v>
      </c>
      <c r="E9" s="86">
        <v>70</v>
      </c>
      <c r="F9" s="397">
        <v>40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180.33</v>
      </c>
      <c r="E10" s="88">
        <v>70</v>
      </c>
      <c r="F10" s="399">
        <v>40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140</v>
      </c>
      <c r="E11" s="90">
        <v>70</v>
      </c>
      <c r="F11" s="386">
        <v>40</v>
      </c>
      <c r="G11" s="387"/>
      <c r="H11" s="388">
        <f>SUM(D11:D14)</f>
        <v>610.27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150</v>
      </c>
      <c r="E12" s="92">
        <v>70</v>
      </c>
      <c r="F12" s="391">
        <v>40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170</v>
      </c>
      <c r="E13" s="92">
        <v>70</v>
      </c>
      <c r="F13" s="391">
        <v>40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150.27000000000001</v>
      </c>
      <c r="E14" s="94">
        <v>70</v>
      </c>
      <c r="F14" s="393">
        <v>40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140</v>
      </c>
      <c r="E15" s="96">
        <v>70</v>
      </c>
      <c r="F15" s="372">
        <v>40</v>
      </c>
      <c r="G15" s="373"/>
      <c r="H15" s="374">
        <f>SUM(D15:D18)</f>
        <v>610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150</v>
      </c>
      <c r="E16" s="98">
        <v>70</v>
      </c>
      <c r="F16" s="401">
        <v>40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160</v>
      </c>
      <c r="E17" s="98">
        <v>70</v>
      </c>
      <c r="F17" s="401">
        <v>40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160</v>
      </c>
      <c r="E18" s="100">
        <v>70</v>
      </c>
      <c r="F18" s="404">
        <v>40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1670.6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6</v>
      </c>
      <c r="D25" s="102">
        <v>85</v>
      </c>
      <c r="E25" s="56">
        <v>6</v>
      </c>
      <c r="F25" s="107">
        <v>105</v>
      </c>
      <c r="G25" s="410">
        <v>9</v>
      </c>
      <c r="H25" s="411"/>
      <c r="I25" s="111">
        <v>160</v>
      </c>
      <c r="J25" s="38">
        <f t="shared" ref="J25:J40" si="0">C25+E25+G25</f>
        <v>21</v>
      </c>
      <c r="K25" s="412">
        <f>D25+F25+I25</f>
        <v>350</v>
      </c>
      <c r="L25" s="413"/>
      <c r="M25" s="2"/>
    </row>
    <row r="26" spans="2:14" ht="14.1" customHeight="1" x14ac:dyDescent="0.2">
      <c r="B26" s="80" t="s">
        <v>281</v>
      </c>
      <c r="C26" s="45">
        <v>6</v>
      </c>
      <c r="D26" s="103">
        <v>116</v>
      </c>
      <c r="E26" s="57">
        <v>4</v>
      </c>
      <c r="F26" s="108">
        <v>18</v>
      </c>
      <c r="G26" s="406">
        <v>6</v>
      </c>
      <c r="H26" s="407"/>
      <c r="I26" s="112">
        <v>133.25</v>
      </c>
      <c r="J26" s="25">
        <f t="shared" si="0"/>
        <v>16</v>
      </c>
      <c r="K26" s="408">
        <f t="shared" ref="K26:K39" si="1">D26+F26+I26</f>
        <v>267.25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110</v>
      </c>
      <c r="E27" s="57"/>
      <c r="F27" s="108">
        <v>104</v>
      </c>
      <c r="G27" s="406"/>
      <c r="H27" s="407"/>
      <c r="I27" s="112">
        <v>50</v>
      </c>
      <c r="J27" s="25">
        <f t="shared" si="0"/>
        <v>0</v>
      </c>
      <c r="K27" s="408">
        <f t="shared" si="1"/>
        <v>264</v>
      </c>
      <c r="L27" s="409"/>
      <c r="M27" s="2"/>
    </row>
    <row r="28" spans="2:14" ht="14.1" customHeight="1" x14ac:dyDescent="0.2">
      <c r="B28" s="80" t="s">
        <v>283</v>
      </c>
      <c r="C28" s="45">
        <v>5</v>
      </c>
      <c r="D28" s="103"/>
      <c r="E28" s="57">
        <v>4</v>
      </c>
      <c r="F28" s="108"/>
      <c r="G28" s="406">
        <v>5</v>
      </c>
      <c r="H28" s="407"/>
      <c r="I28" s="112"/>
      <c r="J28" s="25">
        <f t="shared" si="0"/>
        <v>14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2</v>
      </c>
      <c r="D29" s="103"/>
      <c r="E29" s="57">
        <v>2</v>
      </c>
      <c r="F29" s="108"/>
      <c r="G29" s="406">
        <v>2</v>
      </c>
      <c r="H29" s="407"/>
      <c r="I29" s="112"/>
      <c r="J29" s="25">
        <f t="shared" si="0"/>
        <v>6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>
        <v>1</v>
      </c>
      <c r="D30" s="103">
        <v>22.4</v>
      </c>
      <c r="E30" s="57"/>
      <c r="F30" s="108">
        <v>21.85</v>
      </c>
      <c r="G30" s="406"/>
      <c r="H30" s="407"/>
      <c r="I30" s="112"/>
      <c r="J30" s="25">
        <f t="shared" si="0"/>
        <v>1</v>
      </c>
      <c r="K30" s="408">
        <f t="shared" si="1"/>
        <v>44.25</v>
      </c>
      <c r="L30" s="409"/>
    </row>
    <row r="31" spans="2:14" ht="14.1" customHeight="1" x14ac:dyDescent="0.2">
      <c r="B31" s="80" t="s">
        <v>286</v>
      </c>
      <c r="C31" s="45">
        <v>3</v>
      </c>
      <c r="D31" s="103"/>
      <c r="E31" s="57">
        <v>3</v>
      </c>
      <c r="F31" s="108"/>
      <c r="G31" s="406">
        <v>2</v>
      </c>
      <c r="H31" s="407"/>
      <c r="I31" s="112"/>
      <c r="J31" s="25">
        <f t="shared" si="0"/>
        <v>8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1</v>
      </c>
      <c r="F32" s="108"/>
      <c r="G32" s="406">
        <v>1</v>
      </c>
      <c r="H32" s="407"/>
      <c r="I32" s="112"/>
      <c r="J32" s="25">
        <f t="shared" si="0"/>
        <v>3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/>
      <c r="G33" s="406">
        <v>1</v>
      </c>
      <c r="H33" s="407"/>
      <c r="I33" s="112"/>
      <c r="J33" s="25">
        <f t="shared" si="0"/>
        <v>1</v>
      </c>
      <c r="K33" s="408">
        <f t="shared" si="1"/>
        <v>0</v>
      </c>
      <c r="L33" s="409"/>
    </row>
    <row r="34" spans="1:16" ht="14.1" customHeight="1" x14ac:dyDescent="0.2">
      <c r="B34" s="80" t="s">
        <v>289</v>
      </c>
      <c r="C34" s="45"/>
      <c r="D34" s="103"/>
      <c r="E34" s="57"/>
      <c r="F34" s="108"/>
      <c r="G34" s="406">
        <v>1</v>
      </c>
      <c r="H34" s="407"/>
      <c r="I34" s="112"/>
      <c r="J34" s="25">
        <f t="shared" si="0"/>
        <v>1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>
        <v>36</v>
      </c>
      <c r="E36" s="58"/>
      <c r="F36" s="109"/>
      <c r="G36" s="406"/>
      <c r="H36" s="407"/>
      <c r="I36" s="113"/>
      <c r="J36" s="25">
        <f t="shared" si="0"/>
        <v>0</v>
      </c>
      <c r="K36" s="408">
        <f t="shared" si="1"/>
        <v>36</v>
      </c>
      <c r="L36" s="409"/>
    </row>
    <row r="37" spans="1:16" ht="14.1" customHeight="1" x14ac:dyDescent="0.2">
      <c r="B37" s="37" t="s">
        <v>292</v>
      </c>
      <c r="C37" s="55"/>
      <c r="D37" s="104">
        <v>8</v>
      </c>
      <c r="E37" s="58"/>
      <c r="F37" s="109">
        <v>7</v>
      </c>
      <c r="G37" s="406"/>
      <c r="H37" s="407"/>
      <c r="I37" s="113">
        <v>3</v>
      </c>
      <c r="J37" s="25">
        <f t="shared" si="0"/>
        <v>0</v>
      </c>
      <c r="K37" s="408">
        <f t="shared" si="1"/>
        <v>18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v>210</v>
      </c>
      <c r="J38" s="25">
        <f t="shared" si="0"/>
        <v>0</v>
      </c>
      <c r="K38" s="408">
        <f t="shared" si="1"/>
        <v>210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195</v>
      </c>
      <c r="J39" s="25">
        <f t="shared" si="0"/>
        <v>0</v>
      </c>
      <c r="K39" s="408">
        <f t="shared" si="1"/>
        <v>195</v>
      </c>
      <c r="L39" s="409"/>
    </row>
    <row r="40" spans="1:16" ht="14.1" customHeight="1" thickBot="1" x14ac:dyDescent="0.25">
      <c r="B40" s="81" t="s">
        <v>295</v>
      </c>
      <c r="C40" s="47"/>
      <c r="D40" s="105">
        <v>108</v>
      </c>
      <c r="E40" s="59"/>
      <c r="F40" s="110">
        <v>108</v>
      </c>
      <c r="G40" s="473"/>
      <c r="H40" s="474"/>
      <c r="I40" s="114">
        <v>81</v>
      </c>
      <c r="J40" s="26">
        <f t="shared" si="0"/>
        <v>0</v>
      </c>
      <c r="K40" s="475">
        <f>D40+F40+I40</f>
        <v>297</v>
      </c>
      <c r="L40" s="476"/>
    </row>
    <row r="41" spans="1:16" ht="17.25" customHeight="1" x14ac:dyDescent="0.2">
      <c r="B41" s="15" t="s">
        <v>273</v>
      </c>
      <c r="C41" s="16">
        <f>SUM(C25:C40)</f>
        <v>24</v>
      </c>
      <c r="D41" s="106">
        <f>SUM(D25:D40)</f>
        <v>485.4</v>
      </c>
      <c r="E41" s="16">
        <f>SUM(E25:E40)</f>
        <v>20</v>
      </c>
      <c r="F41" s="106">
        <f>SUM(F25:F40)</f>
        <v>363.85</v>
      </c>
      <c r="G41" s="430">
        <f>SUM(G25:H40)</f>
        <v>27</v>
      </c>
      <c r="H41" s="430"/>
      <c r="I41" s="106">
        <f>SUM(I25:I40)</f>
        <v>832.25</v>
      </c>
      <c r="J41" s="16">
        <f>SUM(J25:J40)</f>
        <v>71</v>
      </c>
      <c r="K41" s="477">
        <f>SUM(K25:L40)</f>
        <v>1681.5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>
        <v>0</v>
      </c>
      <c r="D45" s="210"/>
      <c r="E45" s="209">
        <v>0.1</v>
      </c>
      <c r="F45" s="210"/>
      <c r="G45" s="471">
        <v>0</v>
      </c>
      <c r="H45" s="472"/>
      <c r="I45" s="210">
        <v>0</v>
      </c>
      <c r="J45" s="210">
        <v>0.3</v>
      </c>
      <c r="K45" s="209">
        <v>0.3</v>
      </c>
      <c r="L45" s="210">
        <v>0.05</v>
      </c>
      <c r="M45" s="211">
        <v>0.4</v>
      </c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5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15</v>
      </c>
      <c r="K46" s="40">
        <f>K45*50</f>
        <v>15</v>
      </c>
      <c r="L46" s="40">
        <f>L45*50</f>
        <v>2.5</v>
      </c>
      <c r="M46" s="79">
        <f>M45*50</f>
        <v>20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>
        <v>0</v>
      </c>
      <c r="D48" s="209">
        <v>0</v>
      </c>
      <c r="E48" s="209"/>
      <c r="F48" s="209">
        <v>0.2</v>
      </c>
      <c r="G48" s="442">
        <v>0.2</v>
      </c>
      <c r="H48" s="443"/>
      <c r="I48" s="209">
        <v>0.2</v>
      </c>
      <c r="J48" s="209">
        <v>0</v>
      </c>
      <c r="K48" s="209">
        <v>0</v>
      </c>
      <c r="L48" s="209">
        <v>0.3</v>
      </c>
      <c r="M48" s="211">
        <v>0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438">
        <f>G48*100</f>
        <v>20</v>
      </c>
      <c r="H49" s="439"/>
      <c r="I49" s="40">
        <f>I48*100</f>
        <v>20</v>
      </c>
      <c r="J49" s="40">
        <f>J48*150</f>
        <v>0</v>
      </c>
      <c r="K49" s="40">
        <f>K48*70</f>
        <v>0</v>
      </c>
      <c r="L49" s="40">
        <f>L48*70</f>
        <v>21</v>
      </c>
      <c r="M49" s="79">
        <f>M48*70</f>
        <v>0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0.3</v>
      </c>
      <c r="D51" s="213">
        <v>0</v>
      </c>
      <c r="E51" s="214">
        <v>0</v>
      </c>
      <c r="F51" s="209"/>
      <c r="G51" s="442"/>
      <c r="H51" s="443"/>
      <c r="I51" s="209">
        <v>0</v>
      </c>
      <c r="J51" s="209">
        <v>0.02</v>
      </c>
      <c r="K51" s="209">
        <v>0.06</v>
      </c>
      <c r="L51" s="209">
        <v>0.06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21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5</v>
      </c>
      <c r="K52" s="41">
        <f>K51*250</f>
        <v>15</v>
      </c>
      <c r="L52" s="41">
        <f>L51*250</f>
        <v>15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206.5</v>
      </c>
      <c r="F54" s="39" t="s">
        <v>309</v>
      </c>
      <c r="G54" s="188"/>
      <c r="H54" s="188"/>
      <c r="I54" s="30">
        <f>'27'!D54</f>
        <v>340.5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>
        <v>18650</v>
      </c>
      <c r="D58" s="60">
        <v>173000</v>
      </c>
      <c r="E58" s="124">
        <f>SUM(C58:D58)</f>
        <v>191650</v>
      </c>
      <c r="F58" s="425"/>
      <c r="G58" s="426"/>
      <c r="H58" s="60">
        <v>3990</v>
      </c>
      <c r="I58" s="61">
        <v>3299</v>
      </c>
      <c r="J58" s="422"/>
      <c r="K58" s="428"/>
      <c r="L58" s="60">
        <v>6799.34</v>
      </c>
      <c r="M58" s="61">
        <f>L58/3</f>
        <v>2266.4466666666667</v>
      </c>
      <c r="N58" s="288">
        <v>4.07</v>
      </c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114.71926254040466</v>
      </c>
      <c r="D59" s="432"/>
      <c r="E59" s="433"/>
      <c r="F59" s="434" t="s">
        <v>321</v>
      </c>
      <c r="G59" s="435"/>
      <c r="H59" s="436">
        <f>IF(ISERROR(SUM(H58:I58)/$H$19),"",(SUM(H58:I58)/$H$19))</f>
        <v>4.3631030767388967</v>
      </c>
      <c r="I59" s="437"/>
      <c r="J59" s="434" t="s">
        <v>322</v>
      </c>
      <c r="K59" s="435"/>
      <c r="L59" s="115">
        <f>IF(ISERROR(L58/$H$19),"",(L58/$H$19))</f>
        <v>4.0699988028253324</v>
      </c>
      <c r="M59" s="116">
        <f>IF(ISERROR(M58/$H$19),"",(M58/$H$19))</f>
        <v>1.3566662676084442</v>
      </c>
      <c r="N59" s="194">
        <f>N58*H19</f>
        <v>6799.3420000000006</v>
      </c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0.48611111111111094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322"/>
      <c r="F63" s="324"/>
      <c r="G63" s="322"/>
      <c r="H63" s="323"/>
      <c r="I63" s="323"/>
      <c r="J63" s="324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17</v>
      </c>
      <c r="C64" s="236" t="s">
        <v>22</v>
      </c>
      <c r="D64" s="236" t="s">
        <v>23</v>
      </c>
      <c r="E64" s="322"/>
      <c r="F64" s="324"/>
      <c r="G64" s="322" t="s">
        <v>605</v>
      </c>
      <c r="H64" s="323"/>
      <c r="I64" s="323"/>
      <c r="J64" s="324"/>
      <c r="K64" s="238">
        <v>0.30555555555555552</v>
      </c>
      <c r="L64" s="238">
        <v>0.35416666666666669</v>
      </c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20</v>
      </c>
      <c r="E65" s="322" t="s">
        <v>106</v>
      </c>
      <c r="F65" s="324"/>
      <c r="G65" s="322" t="s">
        <v>528</v>
      </c>
      <c r="H65" s="323"/>
      <c r="I65" s="323"/>
      <c r="J65" s="324"/>
      <c r="K65" s="239">
        <v>0.3125</v>
      </c>
      <c r="L65" s="239">
        <v>0.33333333333333331</v>
      </c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23</v>
      </c>
      <c r="E66" s="322" t="s">
        <v>107</v>
      </c>
      <c r="F66" s="324"/>
      <c r="G66" s="322" t="s">
        <v>528</v>
      </c>
      <c r="H66" s="323"/>
      <c r="I66" s="323"/>
      <c r="J66" s="324"/>
      <c r="K66" s="239">
        <v>0.39583333333333331</v>
      </c>
      <c r="L66" s="239">
        <v>0.40972222222222227</v>
      </c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11</v>
      </c>
      <c r="E67" s="322" t="s">
        <v>38</v>
      </c>
      <c r="F67" s="324"/>
      <c r="G67" s="322" t="s">
        <v>1300</v>
      </c>
      <c r="H67" s="323"/>
      <c r="I67" s="323"/>
      <c r="J67" s="324"/>
      <c r="K67" s="238">
        <v>0.3125</v>
      </c>
      <c r="L67" s="238">
        <v>0.3888888888888889</v>
      </c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11</v>
      </c>
      <c r="E68" s="322" t="s">
        <v>38</v>
      </c>
      <c r="F68" s="324"/>
      <c r="G68" s="322" t="s">
        <v>1301</v>
      </c>
      <c r="H68" s="323"/>
      <c r="I68" s="323"/>
      <c r="J68" s="324"/>
      <c r="K68" s="239">
        <v>0.40625</v>
      </c>
      <c r="L68" s="239">
        <v>0.5</v>
      </c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11</v>
      </c>
      <c r="E69" s="322" t="s">
        <v>43</v>
      </c>
      <c r="F69" s="324"/>
      <c r="G69" s="322" t="s">
        <v>1302</v>
      </c>
      <c r="H69" s="323"/>
      <c r="I69" s="323"/>
      <c r="J69" s="324"/>
      <c r="K69" s="239">
        <v>0.36805555555555558</v>
      </c>
      <c r="L69" s="239">
        <v>12.2</v>
      </c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20</v>
      </c>
      <c r="E70" s="322"/>
      <c r="F70" s="324"/>
      <c r="H70" t="s">
        <v>1303</v>
      </c>
      <c r="K70" s="239">
        <v>0.49305555555555558</v>
      </c>
      <c r="L70" s="239">
        <v>0.52777777777777779</v>
      </c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18</v>
      </c>
      <c r="E71" s="322" t="s">
        <v>86</v>
      </c>
      <c r="F71" s="324"/>
      <c r="G71" s="322" t="s">
        <v>1304</v>
      </c>
      <c r="H71" s="323"/>
      <c r="I71" s="323"/>
      <c r="J71" s="324"/>
      <c r="K71" s="239">
        <v>11.3</v>
      </c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20</v>
      </c>
      <c r="E72" s="322"/>
      <c r="F72" s="324"/>
      <c r="G72" s="322" t="s">
        <v>1305</v>
      </c>
      <c r="H72" s="323"/>
      <c r="I72" s="323"/>
      <c r="J72" s="324"/>
      <c r="K72" s="239">
        <v>0.61111111111111105</v>
      </c>
      <c r="L72" s="239">
        <v>0.625</v>
      </c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322"/>
      <c r="F73" s="324"/>
      <c r="G73" s="322"/>
      <c r="H73" s="323"/>
      <c r="I73" s="323"/>
      <c r="J73" s="324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 t="s">
        <v>6</v>
      </c>
      <c r="C74" s="236" t="s">
        <v>25</v>
      </c>
      <c r="D74" s="236" t="s">
        <v>11</v>
      </c>
      <c r="E74" s="322" t="s">
        <v>43</v>
      </c>
      <c r="F74" s="324"/>
      <c r="G74" s="322" t="s">
        <v>1306</v>
      </c>
      <c r="H74" s="323"/>
      <c r="I74" s="323"/>
      <c r="J74" s="324"/>
      <c r="K74" s="238">
        <v>0.66666666666666663</v>
      </c>
      <c r="L74" s="238">
        <v>0.68055555555555547</v>
      </c>
      <c r="M74" s="236" t="s">
        <v>9</v>
      </c>
      <c r="N74" s="237">
        <f t="shared" si="2"/>
        <v>1.388888888888884E-2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23</v>
      </c>
      <c r="E75" s="322" t="s">
        <v>108</v>
      </c>
      <c r="F75" s="324"/>
      <c r="G75" s="322" t="s">
        <v>973</v>
      </c>
      <c r="H75" s="323"/>
      <c r="I75" s="323"/>
      <c r="J75" s="324"/>
      <c r="K75" s="239">
        <v>0.71527777777777779</v>
      </c>
      <c r="L75" s="239">
        <v>0.75</v>
      </c>
      <c r="M75" s="236" t="s">
        <v>9</v>
      </c>
      <c r="N75" s="237">
        <f t="shared" si="2"/>
        <v>3.472222222222221E-2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23</v>
      </c>
      <c r="E76" s="322"/>
      <c r="F76" s="324"/>
      <c r="G76" s="322" t="s">
        <v>605</v>
      </c>
      <c r="H76" s="323"/>
      <c r="I76" s="323"/>
      <c r="J76" s="324"/>
      <c r="K76" s="239">
        <v>0.55555555555555558</v>
      </c>
      <c r="L76" s="239">
        <v>0.66666666666666663</v>
      </c>
      <c r="M76" s="236" t="s">
        <v>9</v>
      </c>
      <c r="N76" s="237">
        <f t="shared" si="2"/>
        <v>0.11111111111111105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322"/>
      <c r="F77" s="324"/>
      <c r="G77" s="322" t="s">
        <v>605</v>
      </c>
      <c r="H77" s="323"/>
      <c r="I77" s="323"/>
      <c r="J77" s="324"/>
      <c r="K77" s="238">
        <v>0.73611111111111116</v>
      </c>
      <c r="L77" s="238">
        <v>0.77777777777777779</v>
      </c>
      <c r="M77" s="236" t="s">
        <v>9</v>
      </c>
      <c r="N77" s="237">
        <f t="shared" si="2"/>
        <v>4.166666666666663E-2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 t="s">
        <v>605</v>
      </c>
      <c r="H78" s="323"/>
      <c r="I78" s="323"/>
      <c r="J78" s="324"/>
      <c r="K78" s="239">
        <v>0.8125</v>
      </c>
      <c r="L78" s="239">
        <v>0.86805555555555547</v>
      </c>
      <c r="M78" s="236" t="s">
        <v>9</v>
      </c>
      <c r="N78" s="237">
        <f t="shared" si="2"/>
        <v>5.5555555555555469E-2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20</v>
      </c>
      <c r="E79" s="322"/>
      <c r="F79" s="324"/>
      <c r="G79" s="322" t="s">
        <v>1307</v>
      </c>
      <c r="H79" s="323"/>
      <c r="I79" s="323"/>
      <c r="J79" s="324"/>
      <c r="K79" s="239">
        <v>0.91666666666666663</v>
      </c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 t="s">
        <v>31</v>
      </c>
      <c r="E80" s="322" t="s">
        <v>167</v>
      </c>
      <c r="F80" s="324"/>
      <c r="G80" s="322" t="s">
        <v>1308</v>
      </c>
      <c r="H80" s="323"/>
      <c r="I80" s="323"/>
      <c r="J80" s="324"/>
      <c r="K80" s="239">
        <v>0.9375</v>
      </c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322"/>
      <c r="F81" s="324"/>
      <c r="G81" s="322"/>
      <c r="H81" s="323"/>
      <c r="I81" s="323"/>
      <c r="J81" s="324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 t="s">
        <v>14</v>
      </c>
      <c r="C82" s="236" t="s">
        <v>28</v>
      </c>
      <c r="D82" s="236" t="s">
        <v>20</v>
      </c>
      <c r="E82" s="322"/>
      <c r="F82" s="324"/>
      <c r="G82" s="322" t="s">
        <v>332</v>
      </c>
      <c r="H82" s="323"/>
      <c r="I82" s="323"/>
      <c r="J82" s="324"/>
      <c r="K82" s="239">
        <v>0.97916666666666663</v>
      </c>
      <c r="L82" s="239">
        <v>8.3333333333333329E-2</v>
      </c>
      <c r="M82" s="236" t="s">
        <v>9</v>
      </c>
      <c r="N82" s="237">
        <f t="shared" si="2"/>
        <v>0.10416666666666674</v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 t="s">
        <v>23</v>
      </c>
      <c r="E83" s="322"/>
      <c r="F83" s="324"/>
      <c r="G83" s="322" t="s">
        <v>335</v>
      </c>
      <c r="H83" s="323"/>
      <c r="I83" s="323"/>
      <c r="J83" s="324"/>
      <c r="K83" s="239">
        <v>0.91666666666666663</v>
      </c>
      <c r="L83" s="239">
        <v>1</v>
      </c>
      <c r="M83" s="236" t="s">
        <v>9</v>
      </c>
      <c r="N83" s="237">
        <f t="shared" si="2"/>
        <v>8.333333333333337E-2</v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 t="s">
        <v>23</v>
      </c>
      <c r="E84" s="322"/>
      <c r="F84" s="324"/>
      <c r="G84" s="322" t="s">
        <v>1309</v>
      </c>
      <c r="H84" s="323"/>
      <c r="I84" s="323"/>
      <c r="J84" s="324"/>
      <c r="K84" s="239">
        <v>0.125</v>
      </c>
      <c r="L84" s="239">
        <v>0.16666666666666666</v>
      </c>
      <c r="M84" s="236" t="s">
        <v>9</v>
      </c>
      <c r="N84" s="237">
        <f t="shared" si="2"/>
        <v>4.1666666666666657E-2</v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 t="s">
        <v>691</v>
      </c>
      <c r="D136" s="481"/>
      <c r="E136" s="463"/>
      <c r="F136" s="464"/>
      <c r="G136" s="452" t="s">
        <v>651</v>
      </c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692</v>
      </c>
      <c r="D137" s="479"/>
      <c r="E137" s="463" t="s">
        <v>395</v>
      </c>
      <c r="F137" s="464"/>
      <c r="G137" s="452" t="s">
        <v>347</v>
      </c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35"/>
      <c r="E143" s="335"/>
      <c r="F143" s="335"/>
      <c r="G143" s="336"/>
      <c r="H143" s="336"/>
      <c r="I143" s="336"/>
      <c r="J143" s="336"/>
      <c r="K143" s="336"/>
      <c r="L143" s="335"/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 t="s">
        <v>255</v>
      </c>
      <c r="C144" s="215">
        <v>3</v>
      </c>
      <c r="D144" s="335" t="s">
        <v>1310</v>
      </c>
      <c r="E144" s="335"/>
      <c r="F144" s="335"/>
      <c r="G144" s="336" t="s">
        <v>515</v>
      </c>
      <c r="H144" s="336"/>
      <c r="I144" s="336"/>
      <c r="J144" s="336">
        <v>27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9</v>
      </c>
      <c r="D145" s="335" t="s">
        <v>1311</v>
      </c>
      <c r="E145" s="335"/>
      <c r="F145" s="335"/>
      <c r="G145" s="336" t="s">
        <v>367</v>
      </c>
      <c r="H145" s="336"/>
      <c r="I145" s="336"/>
      <c r="J145" s="336">
        <v>42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18</v>
      </c>
      <c r="D146" s="335" t="s">
        <v>1312</v>
      </c>
      <c r="E146" s="335"/>
      <c r="F146" s="335"/>
      <c r="G146" s="336" t="s">
        <v>1313</v>
      </c>
      <c r="H146" s="336"/>
      <c r="I146" s="336"/>
      <c r="J146" s="336">
        <v>18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14</v>
      </c>
      <c r="D147" s="335" t="s">
        <v>1314</v>
      </c>
      <c r="E147" s="335"/>
      <c r="F147" s="335"/>
      <c r="G147" s="336" t="s">
        <v>456</v>
      </c>
      <c r="H147" s="336"/>
      <c r="I147" s="336"/>
      <c r="J147" s="336">
        <v>29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24</v>
      </c>
      <c r="D148" s="335" t="s">
        <v>1315</v>
      </c>
      <c r="E148" s="335"/>
      <c r="F148" s="335"/>
      <c r="G148" s="336" t="s">
        <v>403</v>
      </c>
      <c r="H148" s="336"/>
      <c r="I148" s="336"/>
      <c r="J148" s="336">
        <v>341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35"/>
      <c r="E149" s="335"/>
      <c r="F149" s="335"/>
      <c r="G149" s="336"/>
      <c r="H149" s="336"/>
      <c r="I149" s="336"/>
      <c r="J149" s="336"/>
      <c r="K149" s="336"/>
      <c r="L149" s="335"/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 t="s">
        <v>261</v>
      </c>
      <c r="C150" s="215" t="s">
        <v>376</v>
      </c>
      <c r="D150" s="335" t="s">
        <v>1316</v>
      </c>
      <c r="E150" s="335"/>
      <c r="F150" s="335"/>
      <c r="G150" s="336" t="s">
        <v>357</v>
      </c>
      <c r="H150" s="336"/>
      <c r="I150" s="336"/>
      <c r="J150" s="336">
        <v>33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22</v>
      </c>
      <c r="D151" s="335" t="s">
        <v>1317</v>
      </c>
      <c r="E151" s="335"/>
      <c r="F151" s="335"/>
      <c r="G151" s="336" t="s">
        <v>630</v>
      </c>
      <c r="H151" s="336"/>
      <c r="I151" s="336"/>
      <c r="J151" s="336">
        <v>1283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215">
        <v>13</v>
      </c>
      <c r="D152" s="335" t="s">
        <v>1318</v>
      </c>
      <c r="E152" s="335"/>
      <c r="F152" s="335"/>
      <c r="G152" s="336" t="s">
        <v>359</v>
      </c>
      <c r="H152" s="336"/>
      <c r="I152" s="336"/>
      <c r="J152" s="336">
        <v>33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19</v>
      </c>
      <c r="D153" s="335" t="s">
        <v>1319</v>
      </c>
      <c r="E153" s="335"/>
      <c r="F153" s="335"/>
      <c r="G153" s="336" t="s">
        <v>361</v>
      </c>
      <c r="H153" s="336"/>
      <c r="I153" s="336"/>
      <c r="J153" s="336">
        <v>14</v>
      </c>
      <c r="K153" s="336"/>
      <c r="L153" s="335" t="s">
        <v>355</v>
      </c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18</v>
      </c>
      <c r="D154" s="335" t="s">
        <v>1320</v>
      </c>
      <c r="E154" s="335"/>
      <c r="F154" s="335"/>
      <c r="G154" s="336" t="s">
        <v>538</v>
      </c>
      <c r="H154" s="336"/>
      <c r="I154" s="336"/>
      <c r="J154" s="336">
        <v>21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10</v>
      </c>
      <c r="D155" s="335" t="s">
        <v>1321</v>
      </c>
      <c r="E155" s="335"/>
      <c r="F155" s="335"/>
      <c r="G155" s="336" t="s">
        <v>766</v>
      </c>
      <c r="H155" s="336"/>
      <c r="I155" s="336"/>
      <c r="J155" s="336">
        <v>103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8</v>
      </c>
      <c r="D156" s="335" t="s">
        <v>1316</v>
      </c>
      <c r="E156" s="335"/>
      <c r="F156" s="335"/>
      <c r="G156" s="336" t="s">
        <v>753</v>
      </c>
      <c r="H156" s="336"/>
      <c r="I156" s="336"/>
      <c r="J156" s="336">
        <v>131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12</v>
      </c>
      <c r="D157" s="335" t="s">
        <v>1322</v>
      </c>
      <c r="E157" s="335"/>
      <c r="F157" s="335"/>
      <c r="G157" s="336" t="s">
        <v>372</v>
      </c>
      <c r="H157" s="336"/>
      <c r="I157" s="336"/>
      <c r="J157" s="336">
        <v>45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35"/>
      <c r="E158" s="335"/>
      <c r="F158" s="335"/>
      <c r="G158" s="336"/>
      <c r="H158" s="336"/>
      <c r="I158" s="336"/>
      <c r="J158" s="336"/>
      <c r="K158" s="336"/>
      <c r="L158" s="335"/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35"/>
      <c r="E159" s="335"/>
      <c r="F159" s="335"/>
      <c r="G159" s="336"/>
      <c r="H159" s="336"/>
      <c r="I159" s="336"/>
      <c r="J159" s="336"/>
      <c r="K159" s="336"/>
      <c r="L159" s="335"/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 t="s">
        <v>267</v>
      </c>
      <c r="C160" s="215">
        <v>9</v>
      </c>
      <c r="D160" s="335" t="s">
        <v>1323</v>
      </c>
      <c r="E160" s="335"/>
      <c r="F160" s="335"/>
      <c r="G160" s="336" t="s">
        <v>367</v>
      </c>
      <c r="H160" s="336"/>
      <c r="I160" s="336"/>
      <c r="J160" s="336">
        <v>26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3</v>
      </c>
      <c r="D161" s="335" t="s">
        <v>1324</v>
      </c>
      <c r="E161" s="335"/>
      <c r="F161" s="335"/>
      <c r="G161" s="336" t="s">
        <v>766</v>
      </c>
      <c r="H161" s="336"/>
      <c r="I161" s="336"/>
      <c r="J161" s="336">
        <v>58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18</v>
      </c>
      <c r="D162" s="335" t="s">
        <v>1325</v>
      </c>
      <c r="E162" s="335"/>
      <c r="F162" s="335"/>
      <c r="G162" s="336" t="s">
        <v>538</v>
      </c>
      <c r="H162" s="336"/>
      <c r="I162" s="336"/>
      <c r="J162" s="336">
        <v>17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8</v>
      </c>
      <c r="D163" s="335" t="s">
        <v>1324</v>
      </c>
      <c r="E163" s="335"/>
      <c r="F163" s="335"/>
      <c r="G163" s="336" t="s">
        <v>753</v>
      </c>
      <c r="H163" s="336"/>
      <c r="I163" s="336"/>
      <c r="J163" s="336">
        <v>130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13</v>
      </c>
      <c r="D164" s="335" t="s">
        <v>1326</v>
      </c>
      <c r="E164" s="335"/>
      <c r="F164" s="335"/>
      <c r="G164" s="336" t="s">
        <v>857</v>
      </c>
      <c r="H164" s="336"/>
      <c r="I164" s="336"/>
      <c r="J164" s="336">
        <v>35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19</v>
      </c>
      <c r="D165" s="335" t="s">
        <v>1327</v>
      </c>
      <c r="E165" s="335"/>
      <c r="F165" s="335"/>
      <c r="G165" s="336" t="s">
        <v>361</v>
      </c>
      <c r="H165" s="336"/>
      <c r="I165" s="336"/>
      <c r="J165" s="336">
        <v>15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10</v>
      </c>
      <c r="D166" s="335" t="s">
        <v>1323</v>
      </c>
      <c r="E166" s="335"/>
      <c r="F166" s="335"/>
      <c r="G166" s="336" t="s">
        <v>766</v>
      </c>
      <c r="H166" s="336"/>
      <c r="I166" s="336"/>
      <c r="J166" s="336">
        <v>61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>
        <v>12</v>
      </c>
      <c r="D167" s="335" t="s">
        <v>1328</v>
      </c>
      <c r="E167" s="335"/>
      <c r="F167" s="335"/>
      <c r="G167" s="336" t="s">
        <v>372</v>
      </c>
      <c r="H167" s="336"/>
      <c r="I167" s="336"/>
      <c r="J167" s="336">
        <v>46</v>
      </c>
      <c r="K167" s="336"/>
      <c r="L167" s="335" t="s">
        <v>355</v>
      </c>
      <c r="M167" s="335"/>
    </row>
    <row r="168" spans="1:18" ht="14.25" x14ac:dyDescent="0.2">
      <c r="B168" s="216"/>
      <c r="C168" s="215"/>
      <c r="D168" s="335"/>
      <c r="E168" s="335"/>
      <c r="F168" s="335"/>
      <c r="G168" s="336"/>
      <c r="H168" s="336"/>
      <c r="I168" s="336"/>
      <c r="J168" s="336"/>
      <c r="K168" s="336"/>
      <c r="L168" s="335"/>
      <c r="M168" s="335"/>
    </row>
    <row r="169" spans="1:18" ht="14.25" x14ac:dyDescent="0.2">
      <c r="B169" s="216"/>
      <c r="C169" s="215"/>
      <c r="D169" s="335"/>
      <c r="E169" s="335"/>
      <c r="F169" s="335"/>
      <c r="G169" s="336"/>
      <c r="H169" s="336"/>
      <c r="I169" s="336"/>
      <c r="J169" s="336"/>
      <c r="K169" s="336"/>
      <c r="L169" s="335"/>
      <c r="M169" s="335"/>
    </row>
    <row r="170" spans="1:18" ht="14.25" x14ac:dyDescent="0.2">
      <c r="B170" s="216"/>
      <c r="C170" s="215"/>
      <c r="D170" s="335"/>
      <c r="E170" s="335"/>
      <c r="F170" s="335"/>
      <c r="G170" s="336"/>
      <c r="H170" s="336"/>
      <c r="I170" s="336"/>
      <c r="J170" s="336"/>
      <c r="K170" s="336"/>
      <c r="L170" s="335"/>
      <c r="M170" s="335"/>
    </row>
    <row r="171" spans="1:18" ht="14.25" x14ac:dyDescent="0.2">
      <c r="B171" s="216"/>
      <c r="C171" s="215"/>
      <c r="D171" s="337"/>
      <c r="E171" s="338"/>
      <c r="F171" s="339"/>
      <c r="G171" s="336"/>
      <c r="H171" s="336"/>
      <c r="I171" s="336"/>
      <c r="J171" s="336"/>
      <c r="K171" s="336"/>
      <c r="L171" s="335"/>
      <c r="M171" s="335"/>
    </row>
    <row r="172" spans="1:18" ht="14.25" x14ac:dyDescent="0.2">
      <c r="B172" s="216"/>
      <c r="C172" s="215"/>
      <c r="D172" s="335"/>
      <c r="E172" s="335"/>
      <c r="F172" s="335"/>
      <c r="G172" s="336"/>
      <c r="H172" s="336"/>
      <c r="I172" s="336"/>
      <c r="J172" s="336"/>
      <c r="K172" s="336"/>
      <c r="L172" s="335"/>
      <c r="M172" s="335"/>
    </row>
    <row r="173" spans="1:18" ht="14.25" x14ac:dyDescent="0.2">
      <c r="B173" s="216"/>
      <c r="C173" s="215"/>
      <c r="D173" s="335"/>
      <c r="E173" s="335"/>
      <c r="F173" s="335"/>
      <c r="G173" s="336"/>
      <c r="H173" s="336"/>
      <c r="I173" s="336"/>
      <c r="J173" s="336"/>
      <c r="K173" s="336"/>
      <c r="L173" s="335"/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A8406CE3-0D25-4A86-88F5-BB5C7A688F54}">
      <formula1>INDIRECT(D63)</formula1>
    </dataValidation>
  </dataValidations>
  <hyperlinks>
    <hyperlink ref="J14:L15" location="Summary!A1" display="MTD Summary " xr:uid="{06634360-0CFB-4651-B230-B01D08E9018D}"/>
    <hyperlink ref="J16:L17" location="Graph!A1" display="MTD Trendings" xr:uid="{54F9EEB9-D527-4AC9-86E4-61CC99F34D0A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67A86A3-5F47-4697-8E17-61EA60FB52D6}">
          <x14:formula1>
            <xm:f>List!$C$5:$C$14</xm:f>
          </x14:formula1>
          <xm:sqref>D63:D131</xm:sqref>
        </x14:dataValidation>
        <x14:dataValidation type="list" allowBlank="1" showInputMessage="1" showErrorMessage="1" xr:uid="{27F79080-9ED8-4AE6-9044-4600033EFB6F}">
          <x14:formula1>
            <xm:f>List!$B$10:$B$12</xm:f>
          </x14:formula1>
          <xm:sqref>C63:C131</xm:sqref>
        </x14:dataValidation>
        <x14:dataValidation type="list" allowBlank="1" showInputMessage="1" showErrorMessage="1" xr:uid="{B2BCE1D1-6A88-4D01-B041-756EE3FDB68C}">
          <x14:formula1>
            <xm:f>List!$B$5:$B$8</xm:f>
          </x14:formula1>
          <xm:sqref>B63:B131</xm:sqref>
        </x14:dataValidation>
        <x14:dataValidation type="list" allowBlank="1" showInputMessage="1" showErrorMessage="1" xr:uid="{AA83ABD0-FBA8-4E88-A436-B0E23EA4D6FD}">
          <x14:formula1>
            <xm:f>Sheet3!$C$3:$C$4</xm:f>
          </x14:formula1>
          <xm:sqref>M63:M132</xm:sqref>
        </x14:dataValidation>
        <x14:dataValidation type="list" allowBlank="1" showInputMessage="1" xr:uid="{D59FB672-B0EE-42D6-A38A-6EB5D0375A87}">
          <x14:formula1>
            <xm:f>Sheet3!$D$3:$D$11</xm:f>
          </x14:formula1>
          <xm:sqref>C132</xm:sqref>
        </x14:dataValidation>
        <x14:dataValidation type="list" allowBlank="1" showInputMessage="1" showErrorMessage="1" xr:uid="{F5C5ED58-500B-439E-B5CA-71274BC0428A}">
          <x14:formula1>
            <xm:f>Sheet3!$B$3:$B$5</xm:f>
          </x14:formula1>
          <xm:sqref>B143:B165 B132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438D-9560-42E1-82B0-3A31A9623725}">
  <sheetPr>
    <pageSetUpPr fitToPage="1"/>
  </sheetPr>
  <dimension ref="A1:R188"/>
  <sheetViews>
    <sheetView showGridLines="0" view="pageBreakPreview" topLeftCell="B24" zoomScale="80" zoomScaleNormal="90" zoomScaleSheetLayoutView="80" zoomScalePageLayoutView="80" workbookViewId="0">
      <selection activeCell="J14" sqref="J14:L15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29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1700.5500000000002</v>
      </c>
      <c r="K6" s="420"/>
      <c r="L6" s="420">
        <f ca="1">Summary!G36</f>
        <v>1488.1000000000001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130</v>
      </c>
      <c r="E7" s="84">
        <v>70</v>
      </c>
      <c r="F7" s="395">
        <v>40</v>
      </c>
      <c r="G7" s="396"/>
      <c r="H7" s="374">
        <f>SUM(D7:D10)</f>
        <v>590.33000000000004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150</v>
      </c>
      <c r="E8" s="86">
        <v>70</v>
      </c>
      <c r="F8" s="397">
        <v>40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150</v>
      </c>
      <c r="E9" s="86">
        <v>70</v>
      </c>
      <c r="F9" s="397">
        <v>40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160.33000000000001</v>
      </c>
      <c r="E10" s="88">
        <v>70</v>
      </c>
      <c r="F10" s="399">
        <v>40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100</v>
      </c>
      <c r="E11" s="90">
        <v>70</v>
      </c>
      <c r="F11" s="386">
        <v>40</v>
      </c>
      <c r="G11" s="387"/>
      <c r="H11" s="388">
        <f>SUM(D11:D14)</f>
        <v>500.22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150</v>
      </c>
      <c r="E12" s="92">
        <v>70</v>
      </c>
      <c r="F12" s="391">
        <v>40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120</v>
      </c>
      <c r="E13" s="92">
        <v>70</v>
      </c>
      <c r="F13" s="391">
        <v>40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130.22</v>
      </c>
      <c r="E14" s="94">
        <v>70</v>
      </c>
      <c r="F14" s="393">
        <v>40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140</v>
      </c>
      <c r="E15" s="96">
        <v>70</v>
      </c>
      <c r="F15" s="372">
        <v>40</v>
      </c>
      <c r="G15" s="373"/>
      <c r="H15" s="374">
        <f>SUM(D15:D18)</f>
        <v>610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150</v>
      </c>
      <c r="E16" s="98">
        <v>70</v>
      </c>
      <c r="F16" s="401">
        <v>40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140</v>
      </c>
      <c r="E17" s="98">
        <v>70</v>
      </c>
      <c r="F17" s="401">
        <v>40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180</v>
      </c>
      <c r="E18" s="100">
        <v>70</v>
      </c>
      <c r="F18" s="404">
        <v>40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1700.5500000000002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/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6</v>
      </c>
      <c r="D25" s="102">
        <v>84</v>
      </c>
      <c r="E25" s="56">
        <v>7</v>
      </c>
      <c r="F25" s="107">
        <v>74</v>
      </c>
      <c r="G25" s="410">
        <v>7</v>
      </c>
      <c r="H25" s="411"/>
      <c r="I25" s="111">
        <v>90</v>
      </c>
      <c r="J25" s="38">
        <f t="shared" ref="J25:J40" si="0">C25+E25+G25</f>
        <v>20</v>
      </c>
      <c r="K25" s="412">
        <f>D25+F25+I25</f>
        <v>248</v>
      </c>
      <c r="L25" s="413"/>
      <c r="M25" s="2"/>
    </row>
    <row r="26" spans="2:14" ht="14.1" customHeight="1" x14ac:dyDescent="0.2">
      <c r="B26" s="80" t="s">
        <v>281</v>
      </c>
      <c r="C26" s="45">
        <v>4</v>
      </c>
      <c r="D26" s="103">
        <v>38</v>
      </c>
      <c r="E26" s="57">
        <v>5</v>
      </c>
      <c r="F26" s="108">
        <v>56</v>
      </c>
      <c r="G26" s="406">
        <v>6</v>
      </c>
      <c r="H26" s="407"/>
      <c r="I26" s="112">
        <v>78</v>
      </c>
      <c r="J26" s="25">
        <f t="shared" si="0"/>
        <v>15</v>
      </c>
      <c r="K26" s="408">
        <f t="shared" ref="K26:K39" si="1">D26+F26+I26</f>
        <v>172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124</v>
      </c>
      <c r="E27" s="57"/>
      <c r="F27" s="108">
        <v>108</v>
      </c>
      <c r="G27" s="406"/>
      <c r="H27" s="407"/>
      <c r="I27" s="112">
        <v>90</v>
      </c>
      <c r="J27" s="25">
        <f t="shared" si="0"/>
        <v>0</v>
      </c>
      <c r="K27" s="408">
        <f t="shared" si="1"/>
        <v>322</v>
      </c>
      <c r="L27" s="409"/>
      <c r="M27" s="2"/>
    </row>
    <row r="28" spans="2:14" ht="14.1" customHeight="1" x14ac:dyDescent="0.2">
      <c r="B28" s="80" t="s">
        <v>283</v>
      </c>
      <c r="C28" s="45">
        <v>5</v>
      </c>
      <c r="D28" s="103"/>
      <c r="E28" s="57">
        <v>4</v>
      </c>
      <c r="F28" s="108"/>
      <c r="G28" s="406">
        <v>6</v>
      </c>
      <c r="H28" s="407"/>
      <c r="I28" s="112"/>
      <c r="J28" s="25">
        <f t="shared" si="0"/>
        <v>15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2</v>
      </c>
      <c r="D29" s="103"/>
      <c r="E29" s="57">
        <v>3</v>
      </c>
      <c r="F29" s="108"/>
      <c r="G29" s="406">
        <v>3</v>
      </c>
      <c r="H29" s="407"/>
      <c r="I29" s="112"/>
      <c r="J29" s="25">
        <f t="shared" si="0"/>
        <v>8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>
        <v>1</v>
      </c>
      <c r="D30" s="103">
        <v>26.4</v>
      </c>
      <c r="E30" s="57">
        <v>1</v>
      </c>
      <c r="F30" s="108"/>
      <c r="G30" s="406">
        <v>1</v>
      </c>
      <c r="H30" s="407"/>
      <c r="I30" s="112"/>
      <c r="J30" s="25">
        <f t="shared" si="0"/>
        <v>3</v>
      </c>
      <c r="K30" s="408">
        <f t="shared" si="1"/>
        <v>26.4</v>
      </c>
      <c r="L30" s="409"/>
    </row>
    <row r="31" spans="2:14" ht="14.1" customHeight="1" x14ac:dyDescent="0.2">
      <c r="B31" s="80" t="s">
        <v>286</v>
      </c>
      <c r="C31" s="45">
        <v>2</v>
      </c>
      <c r="D31" s="103"/>
      <c r="E31" s="57">
        <v>2</v>
      </c>
      <c r="F31" s="108"/>
      <c r="G31" s="406">
        <v>2</v>
      </c>
      <c r="H31" s="407"/>
      <c r="I31" s="112"/>
      <c r="J31" s="25">
        <f t="shared" si="0"/>
        <v>6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1</v>
      </c>
      <c r="F32" s="108"/>
      <c r="G32" s="406">
        <v>1</v>
      </c>
      <c r="H32" s="407"/>
      <c r="I32" s="112"/>
      <c r="J32" s="25">
        <f t="shared" si="0"/>
        <v>3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/>
      <c r="G33" s="406"/>
      <c r="H33" s="407"/>
      <c r="I33" s="112"/>
      <c r="J33" s="25">
        <f t="shared" si="0"/>
        <v>0</v>
      </c>
      <c r="K33" s="408">
        <f t="shared" si="1"/>
        <v>0</v>
      </c>
      <c r="L33" s="409"/>
    </row>
    <row r="34" spans="1:16" ht="14.1" customHeight="1" x14ac:dyDescent="0.2">
      <c r="B34" s="80" t="s">
        <v>289</v>
      </c>
      <c r="C34" s="45"/>
      <c r="D34" s="103"/>
      <c r="E34" s="57"/>
      <c r="F34" s="108"/>
      <c r="G34" s="406">
        <v>1</v>
      </c>
      <c r="H34" s="407"/>
      <c r="I34" s="112"/>
      <c r="J34" s="25">
        <f t="shared" si="0"/>
        <v>1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/>
      <c r="E36" s="58"/>
      <c r="F36" s="109"/>
      <c r="G36" s="406"/>
      <c r="H36" s="407"/>
      <c r="I36" s="113">
        <v>40.5</v>
      </c>
      <c r="J36" s="25">
        <f t="shared" si="0"/>
        <v>0</v>
      </c>
      <c r="K36" s="408">
        <f t="shared" si="1"/>
        <v>40.5</v>
      </c>
      <c r="L36" s="409"/>
    </row>
    <row r="37" spans="1:16" ht="14.1" customHeight="1" x14ac:dyDescent="0.2">
      <c r="B37" s="37" t="s">
        <v>292</v>
      </c>
      <c r="C37" s="55"/>
      <c r="D37" s="104">
        <v>7</v>
      </c>
      <c r="E37" s="58"/>
      <c r="F37" s="109">
        <v>10</v>
      </c>
      <c r="G37" s="406"/>
      <c r="H37" s="407"/>
      <c r="I37" s="113">
        <v>10</v>
      </c>
      <c r="J37" s="25">
        <f t="shared" si="0"/>
        <v>0</v>
      </c>
      <c r="K37" s="408">
        <f t="shared" si="1"/>
        <v>27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f>8*30</f>
        <v>240</v>
      </c>
      <c r="J38" s="25">
        <f t="shared" si="0"/>
        <v>0</v>
      </c>
      <c r="K38" s="408">
        <f t="shared" si="1"/>
        <v>240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150</v>
      </c>
      <c r="J39" s="25">
        <f t="shared" si="0"/>
        <v>0</v>
      </c>
      <c r="K39" s="408">
        <f t="shared" si="1"/>
        <v>150</v>
      </c>
      <c r="L39" s="409"/>
    </row>
    <row r="40" spans="1:16" ht="14.1" customHeight="1" thickBot="1" x14ac:dyDescent="0.25">
      <c r="B40" s="81" t="s">
        <v>295</v>
      </c>
      <c r="C40" s="47"/>
      <c r="D40" s="105">
        <v>91.8</v>
      </c>
      <c r="E40" s="59"/>
      <c r="F40" s="110">
        <v>120.12</v>
      </c>
      <c r="G40" s="473"/>
      <c r="H40" s="474"/>
      <c r="I40" s="114">
        <v>125.28</v>
      </c>
      <c r="J40" s="26">
        <f t="shared" si="0"/>
        <v>0</v>
      </c>
      <c r="K40" s="475">
        <f>D40+F40+I40</f>
        <v>337.20000000000005</v>
      </c>
      <c r="L40" s="476"/>
    </row>
    <row r="41" spans="1:16" ht="17.25" customHeight="1" x14ac:dyDescent="0.2">
      <c r="B41" s="15" t="s">
        <v>273</v>
      </c>
      <c r="C41" s="16">
        <f>SUM(C25:C40)</f>
        <v>21</v>
      </c>
      <c r="D41" s="106">
        <f>SUM(D25:D40)</f>
        <v>371.2</v>
      </c>
      <c r="E41" s="16">
        <f>SUM(E25:E40)</f>
        <v>23</v>
      </c>
      <c r="F41" s="106">
        <f>SUM(F25:F40)</f>
        <v>368.12</v>
      </c>
      <c r="G41" s="430">
        <f>SUM(G25:H40)</f>
        <v>27</v>
      </c>
      <c r="H41" s="430"/>
      <c r="I41" s="106">
        <f>SUM(I25:I40)</f>
        <v>823.78</v>
      </c>
      <c r="J41" s="16">
        <f>SUM(J25:J40)</f>
        <v>71</v>
      </c>
      <c r="K41" s="477">
        <f>SUM(K25:L40)</f>
        <v>1563.1000000000001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/>
      <c r="D45" s="210"/>
      <c r="E45" s="209"/>
      <c r="F45" s="210"/>
      <c r="G45" s="471"/>
      <c r="H45" s="472"/>
      <c r="I45" s="210"/>
      <c r="J45" s="210">
        <v>0.3</v>
      </c>
      <c r="K45" s="209">
        <v>0.2</v>
      </c>
      <c r="L45" s="210">
        <v>0.05</v>
      </c>
      <c r="M45" s="211">
        <v>0.1</v>
      </c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15</v>
      </c>
      <c r="K46" s="40">
        <f>K45*50</f>
        <v>10</v>
      </c>
      <c r="L46" s="40">
        <f>L45*50</f>
        <v>2.5</v>
      </c>
      <c r="M46" s="79">
        <f>M45*50</f>
        <v>5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/>
      <c r="D48" s="209"/>
      <c r="E48" s="209"/>
      <c r="F48" s="209">
        <v>0.2</v>
      </c>
      <c r="G48" s="442">
        <v>0.3</v>
      </c>
      <c r="H48" s="443"/>
      <c r="I48" s="209">
        <v>0.35</v>
      </c>
      <c r="J48" s="209"/>
      <c r="K48" s="209"/>
      <c r="L48" s="209">
        <v>0.1</v>
      </c>
      <c r="M48" s="211">
        <v>0.05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438">
        <f>G48*100</f>
        <v>30</v>
      </c>
      <c r="H49" s="439"/>
      <c r="I49" s="40">
        <f>I48*100</f>
        <v>35</v>
      </c>
      <c r="J49" s="40">
        <f>J48*150</f>
        <v>0</v>
      </c>
      <c r="K49" s="40">
        <f>K48*70</f>
        <v>0</v>
      </c>
      <c r="L49" s="40">
        <f>L48*70</f>
        <v>7</v>
      </c>
      <c r="M49" s="79">
        <f>M48*70</f>
        <v>3.5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/>
      <c r="D51" s="213"/>
      <c r="E51" s="214"/>
      <c r="F51" s="209"/>
      <c r="G51" s="442"/>
      <c r="H51" s="443"/>
      <c r="I51" s="209">
        <v>0</v>
      </c>
      <c r="J51" s="209">
        <v>0.03</v>
      </c>
      <c r="K51" s="209">
        <v>0.22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7.5</v>
      </c>
      <c r="K52" s="41">
        <f>K51*250</f>
        <v>55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202.5</v>
      </c>
      <c r="F54" s="39" t="s">
        <v>309</v>
      </c>
      <c r="G54" s="188"/>
      <c r="H54" s="188"/>
      <c r="I54" s="30">
        <f>'28'!D54</f>
        <v>206.5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/>
      <c r="D58" s="60"/>
      <c r="E58" s="124">
        <f>SUM(C58:D58)</f>
        <v>0</v>
      </c>
      <c r="F58" s="425"/>
      <c r="G58" s="426"/>
      <c r="H58" s="60"/>
      <c r="I58" s="61"/>
      <c r="J58" s="422"/>
      <c r="K58" s="428"/>
      <c r="L58" s="60">
        <v>6564.12</v>
      </c>
      <c r="M58" s="61">
        <f>L58/3</f>
        <v>2188.04</v>
      </c>
      <c r="N58" s="288">
        <v>3.86</v>
      </c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0</v>
      </c>
      <c r="D59" s="432"/>
      <c r="E59" s="433"/>
      <c r="F59" s="434" t="s">
        <v>321</v>
      </c>
      <c r="G59" s="435"/>
      <c r="H59" s="436">
        <f>IF(ISERROR(SUM(H58:I58)/$H$19),"",(SUM(H58:I58)/$H$19))</f>
        <v>0</v>
      </c>
      <c r="I59" s="437"/>
      <c r="J59" s="434" t="s">
        <v>322</v>
      </c>
      <c r="K59" s="435"/>
      <c r="L59" s="115">
        <f>IF(ISERROR(L58/$H$19),"",(L58/$H$19))</f>
        <v>3.8599982358648668</v>
      </c>
      <c r="M59" s="116">
        <f>IF(ISERROR(M58/$H$19),"",(M58/$H$19))</f>
        <v>1.2866660786216222</v>
      </c>
      <c r="N59" s="194">
        <f>N58*H19</f>
        <v>6564.1230000000005</v>
      </c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0.68750000000000022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17</v>
      </c>
      <c r="C63" s="236" t="s">
        <v>22</v>
      </c>
      <c r="D63" s="236" t="s">
        <v>20</v>
      </c>
      <c r="E63" s="322"/>
      <c r="F63" s="324"/>
      <c r="G63" s="322" t="s">
        <v>1329</v>
      </c>
      <c r="H63" s="323"/>
      <c r="I63" s="323"/>
      <c r="J63" s="324"/>
      <c r="K63" s="238">
        <v>0.28472222222222221</v>
      </c>
      <c r="L63" s="238">
        <v>0.3125</v>
      </c>
      <c r="M63" s="236" t="s">
        <v>9</v>
      </c>
      <c r="N63" s="237">
        <f t="shared" ref="N63:N126" si="2">IF(M63="No","",IF(M63="Yes",(L63-K63+(L63&lt;K63)),""))</f>
        <v>2.777777777777779E-2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322"/>
      <c r="F64" s="324"/>
      <c r="G64" s="322"/>
      <c r="H64" s="323"/>
      <c r="I64" s="323"/>
      <c r="J64" s="324"/>
      <c r="K64" s="238">
        <v>0.3611111111111111</v>
      </c>
      <c r="L64" s="238">
        <v>0.45833333333333331</v>
      </c>
      <c r="M64" s="236" t="s">
        <v>9</v>
      </c>
      <c r="N64" s="237">
        <f t="shared" si="2"/>
        <v>9.722222222222221E-2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23</v>
      </c>
      <c r="E65" s="322"/>
      <c r="F65" s="324"/>
      <c r="G65" s="322" t="s">
        <v>479</v>
      </c>
      <c r="H65" s="323"/>
      <c r="I65" s="323"/>
      <c r="J65" s="324"/>
      <c r="K65" s="239">
        <v>0.27777777777777779</v>
      </c>
      <c r="L65" s="239">
        <v>0.31944444444444448</v>
      </c>
      <c r="M65" s="236" t="s">
        <v>9</v>
      </c>
      <c r="N65" s="237">
        <f t="shared" si="2"/>
        <v>4.1666666666666685E-2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322"/>
      <c r="F66" s="324"/>
      <c r="G66" s="322"/>
      <c r="H66" s="323"/>
      <c r="I66" s="323"/>
      <c r="J66" s="324"/>
      <c r="K66" s="239">
        <v>0.36805555555555558</v>
      </c>
      <c r="L66" s="239">
        <v>0.41666666666666669</v>
      </c>
      <c r="M66" s="236" t="s">
        <v>9</v>
      </c>
      <c r="N66" s="237">
        <f t="shared" si="2"/>
        <v>4.8611111111111105E-2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322"/>
      <c r="F67" s="324"/>
      <c r="G67" s="322"/>
      <c r="H67" s="323"/>
      <c r="I67" s="323"/>
      <c r="J67" s="324"/>
      <c r="K67" s="238">
        <v>0.54861111111111105</v>
      </c>
      <c r="L67" s="238">
        <v>0.57638888888888895</v>
      </c>
      <c r="M67" s="236" t="s">
        <v>9</v>
      </c>
      <c r="N67" s="237">
        <f t="shared" si="2"/>
        <v>2.7777777777777901E-2</v>
      </c>
      <c r="O67" s="134"/>
      <c r="P67" s="12"/>
      <c r="Q67" s="12"/>
      <c r="R67" s="12"/>
    </row>
    <row r="68" spans="1:18" ht="30.75" customHeight="1" x14ac:dyDescent="0.2">
      <c r="A68" s="12"/>
      <c r="B68" s="236"/>
      <c r="C68" s="236"/>
      <c r="D68" s="236" t="s">
        <v>20</v>
      </c>
      <c r="E68" s="322"/>
      <c r="F68" s="324"/>
      <c r="G68" s="322" t="s">
        <v>1330</v>
      </c>
      <c r="H68" s="323"/>
      <c r="I68" s="323"/>
      <c r="J68" s="324"/>
      <c r="K68" s="239">
        <v>0.35416666666666669</v>
      </c>
      <c r="L68" s="239">
        <v>0.36805555555555558</v>
      </c>
      <c r="M68" s="236" t="s">
        <v>9</v>
      </c>
      <c r="N68" s="237">
        <f t="shared" si="2"/>
        <v>1.3888888888888895E-2</v>
      </c>
      <c r="O68" s="134"/>
      <c r="P68" s="12"/>
      <c r="Q68" s="12"/>
      <c r="R68" s="12"/>
    </row>
    <row r="69" spans="1:18" ht="36.75" customHeight="1" x14ac:dyDescent="0.2">
      <c r="A69" s="12"/>
      <c r="B69" s="236"/>
      <c r="C69" s="236"/>
      <c r="D69" s="236" t="s">
        <v>23</v>
      </c>
      <c r="E69" s="322"/>
      <c r="F69" s="324"/>
      <c r="G69" s="322" t="s">
        <v>1331</v>
      </c>
      <c r="H69" s="323"/>
      <c r="I69" s="323"/>
      <c r="J69" s="324"/>
      <c r="K69" s="239">
        <v>0.3263888888888889</v>
      </c>
      <c r="L69" s="239">
        <v>0.34027777777777773</v>
      </c>
      <c r="M69" s="236" t="s">
        <v>9</v>
      </c>
      <c r="N69" s="237">
        <f t="shared" si="2"/>
        <v>1.388888888888884E-2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23</v>
      </c>
      <c r="E70" s="322"/>
      <c r="F70" s="324"/>
      <c r="H70" t="s">
        <v>1332</v>
      </c>
      <c r="K70" s="239">
        <v>0.59722222222222221</v>
      </c>
      <c r="L70" s="239">
        <v>0.61111111111111105</v>
      </c>
      <c r="M70" s="236" t="s">
        <v>9</v>
      </c>
      <c r="N70" s="237">
        <f t="shared" si="2"/>
        <v>1.388888888888884E-2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26</v>
      </c>
      <c r="E71" s="322"/>
      <c r="F71" s="324"/>
      <c r="G71" s="322" t="s">
        <v>1332</v>
      </c>
      <c r="H71" s="323"/>
      <c r="I71" s="323"/>
      <c r="J71" s="324"/>
      <c r="K71" s="239">
        <v>0.57638888888888895</v>
      </c>
      <c r="L71" s="239">
        <v>0.59722222222222221</v>
      </c>
      <c r="M71" s="236" t="s">
        <v>9</v>
      </c>
      <c r="N71" s="237">
        <f t="shared" si="2"/>
        <v>2.0833333333333259E-2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29</v>
      </c>
      <c r="E72" s="322"/>
      <c r="F72" s="324"/>
      <c r="G72" s="322" t="s">
        <v>1333</v>
      </c>
      <c r="H72" s="323"/>
      <c r="I72" s="323"/>
      <c r="J72" s="324"/>
      <c r="K72" s="239">
        <v>0.46527777777777773</v>
      </c>
      <c r="L72" s="239">
        <v>0.5</v>
      </c>
      <c r="M72" s="236" t="s">
        <v>9</v>
      </c>
      <c r="N72" s="237">
        <f t="shared" si="2"/>
        <v>3.4722222222222265E-2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322"/>
      <c r="F73" s="324"/>
      <c r="G73" s="322"/>
      <c r="H73" s="323"/>
      <c r="I73" s="323"/>
      <c r="J73" s="324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 t="s">
        <v>10</v>
      </c>
      <c r="C74" s="236" t="s">
        <v>25</v>
      </c>
      <c r="D74" s="236" t="s">
        <v>20</v>
      </c>
      <c r="E74" s="322"/>
      <c r="F74" s="324"/>
      <c r="G74" s="322" t="s">
        <v>1334</v>
      </c>
      <c r="H74" s="323"/>
      <c r="I74" s="323"/>
      <c r="J74" s="324"/>
      <c r="K74" s="238">
        <v>0.63194444444444442</v>
      </c>
      <c r="L74" s="238">
        <v>0.67361111111111116</v>
      </c>
      <c r="M74" s="236" t="s">
        <v>339</v>
      </c>
      <c r="N74" s="237">
        <f t="shared" si="2"/>
        <v>4.1666666666666741E-2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20</v>
      </c>
      <c r="E75" s="322"/>
      <c r="F75" s="324"/>
      <c r="G75" s="322" t="s">
        <v>1335</v>
      </c>
      <c r="H75" s="323"/>
      <c r="I75" s="323"/>
      <c r="J75" s="324"/>
      <c r="K75" s="239">
        <v>0.66666666666666663</v>
      </c>
      <c r="L75" s="239">
        <v>0.6875</v>
      </c>
      <c r="M75" s="236" t="s">
        <v>339</v>
      </c>
      <c r="N75" s="237">
        <f t="shared" si="2"/>
        <v>2.083333333333337E-2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23</v>
      </c>
      <c r="E76" s="322"/>
      <c r="F76" s="324"/>
      <c r="G76" s="322" t="s">
        <v>1336</v>
      </c>
      <c r="H76" s="323"/>
      <c r="I76" s="323"/>
      <c r="J76" s="324"/>
      <c r="K76" s="239">
        <v>0.68055555555555547</v>
      </c>
      <c r="L76" s="239">
        <v>0.71527777777777779</v>
      </c>
      <c r="M76" s="236" t="s">
        <v>339</v>
      </c>
      <c r="N76" s="237">
        <f t="shared" si="2"/>
        <v>3.4722222222222321E-2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29</v>
      </c>
      <c r="E77" s="322"/>
      <c r="F77" s="324"/>
      <c r="G77" s="322" t="s">
        <v>338</v>
      </c>
      <c r="H77" s="323"/>
      <c r="I77" s="323"/>
      <c r="J77" s="324"/>
      <c r="K77" s="238">
        <v>0.73611111111111116</v>
      </c>
      <c r="L77" s="238">
        <v>0.78472222222222221</v>
      </c>
      <c r="M77" s="236" t="s">
        <v>339</v>
      </c>
      <c r="N77" s="237">
        <f t="shared" si="2"/>
        <v>4.8611111111111049E-2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/>
      <c r="H78" s="323"/>
      <c r="I78" s="323"/>
      <c r="J78" s="324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23</v>
      </c>
      <c r="E79" s="322"/>
      <c r="F79" s="324"/>
      <c r="G79" s="322" t="s">
        <v>338</v>
      </c>
      <c r="H79" s="323"/>
      <c r="I79" s="323"/>
      <c r="J79" s="324"/>
      <c r="K79" s="239">
        <v>0.63194444444444442</v>
      </c>
      <c r="L79" s="239">
        <v>0.67361111111111116</v>
      </c>
      <c r="M79" s="236" t="s">
        <v>339</v>
      </c>
      <c r="N79" s="237">
        <f t="shared" si="2"/>
        <v>4.1666666666666741E-2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322"/>
      <c r="F80" s="324"/>
      <c r="G80" s="322"/>
      <c r="H80" s="323"/>
      <c r="I80" s="323"/>
      <c r="J80" s="324"/>
      <c r="K80" s="239">
        <v>0.77083333333333337</v>
      </c>
      <c r="L80" s="239">
        <v>0.8125</v>
      </c>
      <c r="M80" s="236" t="s">
        <v>339</v>
      </c>
      <c r="N80" s="237">
        <f t="shared" si="2"/>
        <v>4.166666666666663E-2</v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322"/>
      <c r="F81" s="324"/>
      <c r="G81" s="322"/>
      <c r="H81" s="323"/>
      <c r="I81" s="323"/>
      <c r="J81" s="324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 t="s">
        <v>23</v>
      </c>
      <c r="E82" s="322"/>
      <c r="F82" s="324"/>
      <c r="G82" s="322" t="s">
        <v>341</v>
      </c>
      <c r="H82" s="323"/>
      <c r="I82" s="323"/>
      <c r="J82" s="324"/>
      <c r="K82" s="239">
        <v>0.8125</v>
      </c>
      <c r="L82" s="239">
        <v>0.83333333333333337</v>
      </c>
      <c r="M82" s="236" t="s">
        <v>339</v>
      </c>
      <c r="N82" s="237">
        <f t="shared" si="2"/>
        <v>2.083333333333337E-2</v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 t="s">
        <v>18</v>
      </c>
      <c r="E83" s="322"/>
      <c r="F83" s="324"/>
      <c r="G83" s="322" t="s">
        <v>1337</v>
      </c>
      <c r="H83" s="323"/>
      <c r="I83" s="323"/>
      <c r="J83" s="324"/>
      <c r="K83" s="239">
        <v>0.64583333333333337</v>
      </c>
      <c r="L83" s="239">
        <v>0.70833333333333337</v>
      </c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 t="s">
        <v>18</v>
      </c>
      <c r="E84" s="322"/>
      <c r="F84" s="324"/>
      <c r="G84" s="322" t="s">
        <v>1338</v>
      </c>
      <c r="H84" s="323"/>
      <c r="I84" s="323"/>
      <c r="J84" s="324"/>
      <c r="K84" s="239">
        <v>0.70833333333333337</v>
      </c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 t="s">
        <v>14</v>
      </c>
      <c r="C86" s="236" t="s">
        <v>28</v>
      </c>
      <c r="D86" s="236" t="s">
        <v>23</v>
      </c>
      <c r="E86" s="322"/>
      <c r="F86" s="324"/>
      <c r="G86" s="322" t="s">
        <v>1172</v>
      </c>
      <c r="H86" s="323"/>
      <c r="I86" s="323"/>
      <c r="J86" s="324"/>
      <c r="K86" s="239">
        <v>0.20833333333333334</v>
      </c>
      <c r="L86" s="239">
        <v>0.27083333333333331</v>
      </c>
      <c r="M86" s="236" t="s">
        <v>9</v>
      </c>
      <c r="N86" s="237">
        <f t="shared" si="2"/>
        <v>6.2499999999999972E-2</v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 t="s">
        <v>20</v>
      </c>
      <c r="E87" s="322"/>
      <c r="F87" s="324"/>
      <c r="G87" s="322" t="s">
        <v>1339</v>
      </c>
      <c r="H87" s="323"/>
      <c r="I87" s="323"/>
      <c r="J87" s="324"/>
      <c r="K87" s="239">
        <v>0.125</v>
      </c>
      <c r="L87" s="239">
        <v>0.15972222222222224</v>
      </c>
      <c r="M87" s="236" t="s">
        <v>9</v>
      </c>
      <c r="N87" s="237">
        <f t="shared" si="2"/>
        <v>3.4722222222222238E-2</v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/>
      <c r="D136" s="481"/>
      <c r="E136" s="463" t="s">
        <v>345</v>
      </c>
      <c r="F136" s="464"/>
      <c r="G136" s="452" t="s">
        <v>651</v>
      </c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438</v>
      </c>
      <c r="D137" s="479"/>
      <c r="E137" s="463"/>
      <c r="F137" s="464"/>
      <c r="G137" s="452" t="s">
        <v>347</v>
      </c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 t="s">
        <v>255</v>
      </c>
      <c r="C143" s="215">
        <v>10</v>
      </c>
      <c r="D143" s="335" t="s">
        <v>1340</v>
      </c>
      <c r="E143" s="335"/>
      <c r="F143" s="335"/>
      <c r="G143" s="336" t="s">
        <v>367</v>
      </c>
      <c r="H143" s="336"/>
      <c r="I143" s="336"/>
      <c r="J143" s="336">
        <v>33</v>
      </c>
      <c r="K143" s="336"/>
      <c r="L143" s="335" t="s">
        <v>355</v>
      </c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/>
      <c r="C144" s="215">
        <v>3</v>
      </c>
      <c r="D144" s="335" t="s">
        <v>1341</v>
      </c>
      <c r="E144" s="335"/>
      <c r="F144" s="335"/>
      <c r="G144" s="336" t="s">
        <v>766</v>
      </c>
      <c r="H144" s="336"/>
      <c r="I144" s="336"/>
      <c r="J144" s="336">
        <v>71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18</v>
      </c>
      <c r="D145" s="335" t="s">
        <v>1342</v>
      </c>
      <c r="E145" s="335"/>
      <c r="F145" s="335"/>
      <c r="G145" s="336" t="s">
        <v>538</v>
      </c>
      <c r="H145" s="336"/>
      <c r="I145" s="336"/>
      <c r="J145" s="336">
        <v>20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13</v>
      </c>
      <c r="D146" s="335" t="s">
        <v>1343</v>
      </c>
      <c r="E146" s="335"/>
      <c r="F146" s="335"/>
      <c r="G146" s="336" t="s">
        <v>1344</v>
      </c>
      <c r="H146" s="336"/>
      <c r="I146" s="336"/>
      <c r="J146" s="336">
        <v>39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19</v>
      </c>
      <c r="D147" s="335" t="s">
        <v>1345</v>
      </c>
      <c r="E147" s="335"/>
      <c r="F147" s="335"/>
      <c r="G147" s="336" t="s">
        <v>446</v>
      </c>
      <c r="H147" s="336"/>
      <c r="I147" s="336"/>
      <c r="J147" s="336">
        <v>14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13</v>
      </c>
      <c r="D148" s="335" t="s">
        <v>1346</v>
      </c>
      <c r="E148" s="335"/>
      <c r="F148" s="335"/>
      <c r="G148" s="336" t="s">
        <v>359</v>
      </c>
      <c r="H148" s="336"/>
      <c r="I148" s="336"/>
      <c r="J148" s="336">
        <v>37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12</v>
      </c>
      <c r="D149" s="335" t="s">
        <v>1347</v>
      </c>
      <c r="E149" s="335"/>
      <c r="F149" s="335"/>
      <c r="G149" s="336" t="s">
        <v>372</v>
      </c>
      <c r="H149" s="336"/>
      <c r="I149" s="336"/>
      <c r="J149" s="336">
        <v>21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8</v>
      </c>
      <c r="D150" s="335" t="s">
        <v>1341</v>
      </c>
      <c r="E150" s="335"/>
      <c r="F150" s="335"/>
      <c r="G150" s="336" t="s">
        <v>753</v>
      </c>
      <c r="H150" s="336"/>
      <c r="I150" s="336"/>
      <c r="J150" s="336">
        <v>163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35" t="s">
        <v>1348</v>
      </c>
      <c r="E151" s="335"/>
      <c r="F151" s="335"/>
      <c r="G151" s="336" t="s">
        <v>365</v>
      </c>
      <c r="H151" s="336"/>
      <c r="I151" s="336"/>
      <c r="J151" s="336">
        <v>3659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35" t="s">
        <v>1349</v>
      </c>
      <c r="E152" s="335"/>
      <c r="F152" s="335"/>
      <c r="G152" s="336" t="s">
        <v>441</v>
      </c>
      <c r="H152" s="336"/>
      <c r="I152" s="336"/>
      <c r="J152" s="336">
        <v>31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</v>
      </c>
      <c r="D153" s="335" t="s">
        <v>1341</v>
      </c>
      <c r="E153" s="335"/>
      <c r="F153" s="335"/>
      <c r="G153" s="336" t="s">
        <v>357</v>
      </c>
      <c r="H153" s="336"/>
      <c r="I153" s="336"/>
      <c r="J153" s="336">
        <v>24</v>
      </c>
      <c r="K153" s="336"/>
      <c r="L153" s="335" t="s">
        <v>355</v>
      </c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35"/>
      <c r="E154" s="335"/>
      <c r="F154" s="335"/>
      <c r="G154" s="336"/>
      <c r="H154" s="336"/>
      <c r="I154" s="336"/>
      <c r="J154" s="336"/>
      <c r="K154" s="336"/>
      <c r="L154" s="335"/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 t="s">
        <v>261</v>
      </c>
      <c r="C155" s="215">
        <v>12</v>
      </c>
      <c r="D155" s="335" t="s">
        <v>1350</v>
      </c>
      <c r="E155" s="335"/>
      <c r="F155" s="335"/>
      <c r="G155" s="336" t="s">
        <v>372</v>
      </c>
      <c r="H155" s="336"/>
      <c r="I155" s="336"/>
      <c r="J155" s="336">
        <v>24</v>
      </c>
      <c r="K155" s="336"/>
      <c r="L155" s="335" t="s">
        <v>355</v>
      </c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 t="s">
        <v>376</v>
      </c>
      <c r="D156" s="335" t="s">
        <v>1351</v>
      </c>
      <c r="E156" s="335"/>
      <c r="F156" s="335"/>
      <c r="G156" s="336" t="s">
        <v>357</v>
      </c>
      <c r="H156" s="336"/>
      <c r="I156" s="336"/>
      <c r="J156" s="336">
        <v>50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 t="s">
        <v>378</v>
      </c>
      <c r="D157" s="335" t="s">
        <v>1352</v>
      </c>
      <c r="E157" s="335"/>
      <c r="F157" s="335"/>
      <c r="G157" s="336" t="s">
        <v>367</v>
      </c>
      <c r="H157" s="336"/>
      <c r="I157" s="336"/>
      <c r="J157" s="336">
        <v>25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13</v>
      </c>
      <c r="D158" s="335" t="s">
        <v>1353</v>
      </c>
      <c r="E158" s="335"/>
      <c r="F158" s="335"/>
      <c r="G158" s="336" t="s">
        <v>775</v>
      </c>
      <c r="H158" s="336"/>
      <c r="I158" s="336"/>
      <c r="J158" s="336" t="s">
        <v>1354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18</v>
      </c>
      <c r="D159" s="335" t="s">
        <v>1355</v>
      </c>
      <c r="E159" s="335"/>
      <c r="F159" s="335"/>
      <c r="G159" s="336" t="s">
        <v>538</v>
      </c>
      <c r="H159" s="336"/>
      <c r="I159" s="336"/>
      <c r="J159" s="336">
        <v>22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19</v>
      </c>
      <c r="D160" s="335" t="s">
        <v>1356</v>
      </c>
      <c r="E160" s="335"/>
      <c r="F160" s="335"/>
      <c r="G160" s="336" t="s">
        <v>587</v>
      </c>
      <c r="H160" s="336"/>
      <c r="I160" s="336"/>
      <c r="J160" s="336">
        <v>15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13</v>
      </c>
      <c r="D161" s="335" t="s">
        <v>1357</v>
      </c>
      <c r="E161" s="335"/>
      <c r="F161" s="335"/>
      <c r="G161" s="336" t="s">
        <v>359</v>
      </c>
      <c r="H161" s="336"/>
      <c r="I161" s="336"/>
      <c r="J161" s="336">
        <v>29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35"/>
      <c r="E162" s="335"/>
      <c r="F162" s="335"/>
      <c r="G162" s="336"/>
      <c r="H162" s="336"/>
      <c r="I162" s="336"/>
      <c r="J162" s="336"/>
      <c r="K162" s="336"/>
      <c r="L162" s="335"/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35"/>
      <c r="E163" s="335"/>
      <c r="F163" s="335"/>
      <c r="G163" s="336"/>
      <c r="H163" s="336"/>
      <c r="I163" s="336"/>
      <c r="J163" s="336"/>
      <c r="K163" s="336"/>
      <c r="L163" s="335"/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 t="s">
        <v>267</v>
      </c>
      <c r="C164" s="215">
        <v>19</v>
      </c>
      <c r="D164" s="335" t="s">
        <v>1358</v>
      </c>
      <c r="E164" s="335"/>
      <c r="F164" s="335"/>
      <c r="G164" s="336" t="s">
        <v>361</v>
      </c>
      <c r="H164" s="336"/>
      <c r="I164" s="336"/>
      <c r="J164" s="336">
        <v>18</v>
      </c>
      <c r="K164" s="336"/>
      <c r="L164" s="335" t="s">
        <v>355</v>
      </c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14</v>
      </c>
      <c r="D165" s="335" t="s">
        <v>1359</v>
      </c>
      <c r="E165" s="335"/>
      <c r="F165" s="335"/>
      <c r="G165" s="336" t="s">
        <v>734</v>
      </c>
      <c r="H165" s="336"/>
      <c r="I165" s="336"/>
      <c r="J165" s="336">
        <v>27</v>
      </c>
      <c r="K165" s="336"/>
      <c r="L165" s="335" t="s">
        <v>355</v>
      </c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8</v>
      </c>
      <c r="D166" s="335" t="s">
        <v>1360</v>
      </c>
      <c r="E166" s="335"/>
      <c r="F166" s="335"/>
      <c r="G166" s="336" t="s">
        <v>363</v>
      </c>
      <c r="H166" s="336"/>
      <c r="I166" s="336"/>
      <c r="J166" s="336">
        <v>131</v>
      </c>
      <c r="K166" s="336"/>
      <c r="L166" s="335" t="s">
        <v>355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>
        <v>18</v>
      </c>
      <c r="D167" s="335" t="s">
        <v>1361</v>
      </c>
      <c r="E167" s="335"/>
      <c r="F167" s="335"/>
      <c r="G167" s="336" t="s">
        <v>538</v>
      </c>
      <c r="H167" s="336"/>
      <c r="I167" s="336"/>
      <c r="J167" s="336">
        <v>17</v>
      </c>
      <c r="K167" s="336"/>
      <c r="L167" s="335" t="s">
        <v>355</v>
      </c>
      <c r="M167" s="335"/>
    </row>
    <row r="168" spans="1:18" ht="14.25" x14ac:dyDescent="0.2">
      <c r="B168" s="216"/>
      <c r="C168" s="215">
        <v>12</v>
      </c>
      <c r="D168" s="335" t="s">
        <v>1362</v>
      </c>
      <c r="E168" s="335"/>
      <c r="F168" s="335"/>
      <c r="G168" s="336" t="s">
        <v>372</v>
      </c>
      <c r="H168" s="336"/>
      <c r="I168" s="336"/>
      <c r="J168" s="336">
        <v>61</v>
      </c>
      <c r="K168" s="336"/>
      <c r="L168" s="335" t="s">
        <v>355</v>
      </c>
      <c r="M168" s="335"/>
    </row>
    <row r="169" spans="1:18" ht="14.25" x14ac:dyDescent="0.2">
      <c r="B169" s="216"/>
      <c r="C169" s="215">
        <v>1</v>
      </c>
      <c r="D169" s="335" t="s">
        <v>1360</v>
      </c>
      <c r="E169" s="335"/>
      <c r="F169" s="335"/>
      <c r="G169" s="336" t="s">
        <v>357</v>
      </c>
      <c r="H169" s="336"/>
      <c r="I169" s="336"/>
      <c r="J169" s="336">
        <v>25</v>
      </c>
      <c r="K169" s="336"/>
      <c r="L169" s="335" t="s">
        <v>355</v>
      </c>
      <c r="M169" s="335"/>
    </row>
    <row r="170" spans="1:18" ht="14.25" x14ac:dyDescent="0.2">
      <c r="B170" s="216"/>
      <c r="C170" s="215">
        <v>9</v>
      </c>
      <c r="D170" s="335" t="s">
        <v>1359</v>
      </c>
      <c r="E170" s="335"/>
      <c r="F170" s="335"/>
      <c r="G170" s="336" t="s">
        <v>367</v>
      </c>
      <c r="H170" s="336"/>
      <c r="I170" s="336"/>
      <c r="J170" s="336">
        <v>50</v>
      </c>
      <c r="K170" s="336"/>
      <c r="L170" s="335" t="s">
        <v>355</v>
      </c>
      <c r="M170" s="335"/>
    </row>
    <row r="171" spans="1:18" ht="14.25" x14ac:dyDescent="0.2">
      <c r="B171" s="216"/>
      <c r="C171" s="215">
        <v>13</v>
      </c>
      <c r="D171" s="337" t="s">
        <v>1363</v>
      </c>
      <c r="E171" s="338"/>
      <c r="F171" s="339"/>
      <c r="G171" s="336" t="s">
        <v>857</v>
      </c>
      <c r="H171" s="336"/>
      <c r="I171" s="336"/>
      <c r="J171" s="336">
        <v>50</v>
      </c>
      <c r="K171" s="336"/>
      <c r="L171" s="335" t="s">
        <v>355</v>
      </c>
      <c r="M171" s="335"/>
    </row>
    <row r="172" spans="1:18" ht="14.25" x14ac:dyDescent="0.2">
      <c r="B172" s="216"/>
      <c r="C172" s="215">
        <v>12</v>
      </c>
      <c r="D172" s="335" t="s">
        <v>1362</v>
      </c>
      <c r="E172" s="335"/>
      <c r="F172" s="335"/>
      <c r="G172" s="336" t="s">
        <v>372</v>
      </c>
      <c r="H172" s="336"/>
      <c r="I172" s="336"/>
      <c r="J172" s="336">
        <v>60</v>
      </c>
      <c r="K172" s="336"/>
      <c r="L172" s="335" t="s">
        <v>355</v>
      </c>
      <c r="M172" s="335"/>
    </row>
    <row r="173" spans="1:18" ht="14.25" x14ac:dyDescent="0.2">
      <c r="B173" s="216"/>
      <c r="C173" s="215"/>
      <c r="D173" s="335"/>
      <c r="E173" s="335"/>
      <c r="F173" s="335"/>
      <c r="G173" s="336"/>
      <c r="H173" s="336"/>
      <c r="I173" s="336"/>
      <c r="J173" s="336"/>
      <c r="K173" s="336"/>
      <c r="L173" s="335"/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5C01B8C9-7BB9-4572-915E-7DEC71F18386}">
      <formula1>INDIRECT(D63)</formula1>
    </dataValidation>
  </dataValidations>
  <hyperlinks>
    <hyperlink ref="J14:L15" location="Summary!A1" display="MTD Summary " xr:uid="{F3CD1BE5-4721-48B5-946C-936D5DF67487}"/>
    <hyperlink ref="J16:L17" location="Graph!A1" display="MTD Trendings" xr:uid="{DC1081E2-FE8C-48CC-9550-A2F2448F555A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8D70DEE-278F-43F4-98F0-57BF7E65EB1A}">
          <x14:formula1>
            <xm:f>Sheet3!$B$3:$B$5</xm:f>
          </x14:formula1>
          <xm:sqref>B143:B165 B132</xm:sqref>
        </x14:dataValidation>
        <x14:dataValidation type="list" allowBlank="1" showInputMessage="1" xr:uid="{FC5BA9D8-D31E-4CDB-B284-D1116860A701}">
          <x14:formula1>
            <xm:f>Sheet3!$D$3:$D$11</xm:f>
          </x14:formula1>
          <xm:sqref>C132</xm:sqref>
        </x14:dataValidation>
        <x14:dataValidation type="list" allowBlank="1" showInputMessage="1" showErrorMessage="1" xr:uid="{407EA6B5-64F0-4ABE-ACF2-A045FA9B6702}">
          <x14:formula1>
            <xm:f>Sheet3!$C$3:$C$4</xm:f>
          </x14:formula1>
          <xm:sqref>M63:M132</xm:sqref>
        </x14:dataValidation>
        <x14:dataValidation type="list" allowBlank="1" showInputMessage="1" showErrorMessage="1" xr:uid="{14CBC857-DD85-4C17-A6DD-DDAE79E076DC}">
          <x14:formula1>
            <xm:f>List!$B$5:$B$8</xm:f>
          </x14:formula1>
          <xm:sqref>B63:B131</xm:sqref>
        </x14:dataValidation>
        <x14:dataValidation type="list" allowBlank="1" showInputMessage="1" showErrorMessage="1" xr:uid="{ED04CEBC-4EED-4B4D-AF67-9FEB8056C6EC}">
          <x14:formula1>
            <xm:f>List!$B$10:$B$12</xm:f>
          </x14:formula1>
          <xm:sqref>C63:C131</xm:sqref>
        </x14:dataValidation>
        <x14:dataValidation type="list" allowBlank="1" showInputMessage="1" showErrorMessage="1" xr:uid="{EF062A6A-8844-4D6A-9A4D-58F62FA6EC33}">
          <x14:formula1>
            <xm:f>List!$C$5:$C$14</xm:f>
          </x14:formula1>
          <xm:sqref>D63:D131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7C79-B837-4FDB-B8D9-30CC2AF9D592}">
  <sheetPr>
    <pageSetUpPr fitToPage="1"/>
  </sheetPr>
  <dimension ref="A1:R188"/>
  <sheetViews>
    <sheetView showGridLines="0" view="pageBreakPreview" topLeftCell="A28" zoomScale="80" zoomScaleNormal="90" zoomScaleSheetLayoutView="80" zoomScalePageLayoutView="80" workbookViewId="0">
      <selection activeCell="O39" sqref="O39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30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1560.49</v>
      </c>
      <c r="K6" s="420"/>
      <c r="L6" s="420">
        <f ca="1">Summary!G37</f>
        <v>1534.56</v>
      </c>
      <c r="M6" s="420"/>
    </row>
    <row r="7" spans="1:16" ht="14.1" customHeight="1" x14ac:dyDescent="0.2">
      <c r="B7" s="380" t="s">
        <v>255</v>
      </c>
      <c r="C7" s="43" t="s">
        <v>256</v>
      </c>
      <c r="D7" s="83">
        <v>130</v>
      </c>
      <c r="E7" s="84">
        <v>70</v>
      </c>
      <c r="F7" s="395">
        <v>40</v>
      </c>
      <c r="G7" s="396"/>
      <c r="H7" s="374">
        <f>SUM(D7:D10)</f>
        <v>470.27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>
        <v>130</v>
      </c>
      <c r="E8" s="86">
        <v>50</v>
      </c>
      <c r="F8" s="397">
        <v>40</v>
      </c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>
        <v>60</v>
      </c>
      <c r="E9" s="86">
        <v>50</v>
      </c>
      <c r="F9" s="397">
        <v>40</v>
      </c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>
        <v>150.27000000000001</v>
      </c>
      <c r="E10" s="88">
        <v>70</v>
      </c>
      <c r="F10" s="399">
        <v>70</v>
      </c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>
        <v>110</v>
      </c>
      <c r="E11" s="90">
        <v>70</v>
      </c>
      <c r="F11" s="386">
        <v>40</v>
      </c>
      <c r="G11" s="387"/>
      <c r="H11" s="388">
        <f>SUM(D11:D14)</f>
        <v>560.22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>
        <v>140</v>
      </c>
      <c r="E12" s="92">
        <v>70</v>
      </c>
      <c r="F12" s="391">
        <v>40</v>
      </c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>
        <v>140</v>
      </c>
      <c r="E13" s="92">
        <v>70</v>
      </c>
      <c r="F13" s="391">
        <v>40</v>
      </c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>
        <v>170.22</v>
      </c>
      <c r="E14" s="94">
        <v>70</v>
      </c>
      <c r="F14" s="393">
        <v>40</v>
      </c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>
        <v>130</v>
      </c>
      <c r="E15" s="96">
        <v>70</v>
      </c>
      <c r="F15" s="372">
        <v>40</v>
      </c>
      <c r="G15" s="373"/>
      <c r="H15" s="374">
        <f>SUM(D15:D18)</f>
        <v>530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>
        <v>150</v>
      </c>
      <c r="E16" s="98">
        <v>70</v>
      </c>
      <c r="F16" s="401">
        <v>40</v>
      </c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>
        <v>130</v>
      </c>
      <c r="E17" s="98">
        <v>70</v>
      </c>
      <c r="F17" s="401">
        <v>40</v>
      </c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>
        <v>120</v>
      </c>
      <c r="E18" s="100">
        <v>70</v>
      </c>
      <c r="F18" s="404">
        <v>40</v>
      </c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1560.49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>
        <v>6</v>
      </c>
      <c r="D25" s="102">
        <v>74</v>
      </c>
      <c r="E25" s="56">
        <v>7</v>
      </c>
      <c r="F25" s="107">
        <v>60</v>
      </c>
      <c r="G25" s="410">
        <v>7</v>
      </c>
      <c r="H25" s="411"/>
      <c r="I25" s="111">
        <v>120</v>
      </c>
      <c r="J25" s="38">
        <f t="shared" ref="J25:J40" si="0">C25+E25+G25</f>
        <v>20</v>
      </c>
      <c r="K25" s="412">
        <f>D25+F25+I25</f>
        <v>254</v>
      </c>
      <c r="L25" s="413"/>
      <c r="M25" s="2"/>
    </row>
    <row r="26" spans="2:14" ht="14.1" customHeight="1" x14ac:dyDescent="0.2">
      <c r="B26" s="80" t="s">
        <v>281</v>
      </c>
      <c r="C26" s="45">
        <v>5</v>
      </c>
      <c r="D26" s="103">
        <v>21.1</v>
      </c>
      <c r="E26" s="57">
        <v>5</v>
      </c>
      <c r="F26" s="108">
        <v>102</v>
      </c>
      <c r="G26" s="406">
        <v>5</v>
      </c>
      <c r="H26" s="407"/>
      <c r="I26" s="112">
        <v>120</v>
      </c>
      <c r="J26" s="25">
        <f t="shared" si="0"/>
        <v>15</v>
      </c>
      <c r="K26" s="408">
        <f t="shared" ref="K26:K39" si="1">D26+F26+I26</f>
        <v>243.1</v>
      </c>
      <c r="L26" s="409"/>
      <c r="M26" s="2"/>
    </row>
    <row r="27" spans="2:14" ht="14.1" customHeight="1" x14ac:dyDescent="0.2">
      <c r="B27" s="80" t="s">
        <v>282</v>
      </c>
      <c r="C27" s="45"/>
      <c r="D27" s="103">
        <v>115</v>
      </c>
      <c r="E27" s="57"/>
      <c r="F27" s="108">
        <v>108</v>
      </c>
      <c r="G27" s="406"/>
      <c r="H27" s="407"/>
      <c r="I27" s="112">
        <v>88</v>
      </c>
      <c r="J27" s="25">
        <f t="shared" si="0"/>
        <v>0</v>
      </c>
      <c r="K27" s="408">
        <f t="shared" si="1"/>
        <v>311</v>
      </c>
      <c r="L27" s="409"/>
      <c r="M27" s="2"/>
    </row>
    <row r="28" spans="2:14" ht="14.1" customHeight="1" x14ac:dyDescent="0.2">
      <c r="B28" s="80" t="s">
        <v>283</v>
      </c>
      <c r="C28" s="45">
        <v>5</v>
      </c>
      <c r="D28" s="103"/>
      <c r="E28" s="57">
        <v>4</v>
      </c>
      <c r="F28" s="108"/>
      <c r="G28" s="406">
        <v>5</v>
      </c>
      <c r="H28" s="407"/>
      <c r="I28" s="112"/>
      <c r="J28" s="25">
        <f t="shared" si="0"/>
        <v>14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>
        <v>4</v>
      </c>
      <c r="D29" s="103"/>
      <c r="E29" s="57">
        <v>4</v>
      </c>
      <c r="F29" s="108"/>
      <c r="G29" s="406">
        <v>4</v>
      </c>
      <c r="H29" s="407"/>
      <c r="I29" s="112"/>
      <c r="J29" s="25">
        <f t="shared" si="0"/>
        <v>12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/>
      <c r="D30" s="103">
        <v>48</v>
      </c>
      <c r="E30" s="57">
        <v>1</v>
      </c>
      <c r="F30" s="108">
        <v>25.5</v>
      </c>
      <c r="G30" s="406"/>
      <c r="H30" s="407"/>
      <c r="I30" s="112"/>
      <c r="J30" s="25">
        <f t="shared" si="0"/>
        <v>1</v>
      </c>
      <c r="K30" s="408">
        <f t="shared" si="1"/>
        <v>73.5</v>
      </c>
      <c r="L30" s="409"/>
    </row>
    <row r="31" spans="2:14" ht="14.1" customHeight="1" x14ac:dyDescent="0.2">
      <c r="B31" s="80" t="s">
        <v>286</v>
      </c>
      <c r="C31" s="45">
        <v>2</v>
      </c>
      <c r="D31" s="103"/>
      <c r="E31" s="57">
        <v>3</v>
      </c>
      <c r="F31" s="108"/>
      <c r="G31" s="406">
        <v>3</v>
      </c>
      <c r="H31" s="407"/>
      <c r="I31" s="112"/>
      <c r="J31" s="25">
        <f t="shared" si="0"/>
        <v>8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>
        <v>1</v>
      </c>
      <c r="D32" s="103"/>
      <c r="E32" s="57">
        <v>2</v>
      </c>
      <c r="F32" s="108"/>
      <c r="G32" s="406">
        <v>1</v>
      </c>
      <c r="H32" s="407"/>
      <c r="I32" s="112"/>
      <c r="J32" s="25">
        <f t="shared" si="0"/>
        <v>4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/>
      <c r="G33" s="406">
        <v>1</v>
      </c>
      <c r="H33" s="407"/>
      <c r="I33" s="112"/>
      <c r="J33" s="25">
        <f t="shared" si="0"/>
        <v>1</v>
      </c>
      <c r="K33" s="408">
        <f t="shared" si="1"/>
        <v>0</v>
      </c>
      <c r="L33" s="409"/>
    </row>
    <row r="34" spans="1:16" ht="14.1" customHeight="1" x14ac:dyDescent="0.2">
      <c r="B34" s="80" t="s">
        <v>289</v>
      </c>
      <c r="C34" s="45"/>
      <c r="D34" s="103"/>
      <c r="E34" s="57">
        <v>1</v>
      </c>
      <c r="F34" s="108"/>
      <c r="G34" s="406"/>
      <c r="H34" s="407"/>
      <c r="I34" s="112"/>
      <c r="J34" s="25">
        <f t="shared" si="0"/>
        <v>1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>
        <v>27</v>
      </c>
      <c r="E36" s="58"/>
      <c r="F36" s="109"/>
      <c r="G36" s="406"/>
      <c r="H36" s="407"/>
      <c r="I36" s="113"/>
      <c r="J36" s="25">
        <f t="shared" si="0"/>
        <v>0</v>
      </c>
      <c r="K36" s="408">
        <f t="shared" si="1"/>
        <v>27</v>
      </c>
      <c r="L36" s="409"/>
    </row>
    <row r="37" spans="1:16" ht="14.1" customHeight="1" x14ac:dyDescent="0.2">
      <c r="B37" s="37" t="s">
        <v>292</v>
      </c>
      <c r="C37" s="55"/>
      <c r="D37" s="104">
        <v>11</v>
      </c>
      <c r="E37" s="58"/>
      <c r="F37" s="109">
        <v>7</v>
      </c>
      <c r="G37" s="406"/>
      <c r="H37" s="407"/>
      <c r="I37" s="113">
        <v>8</v>
      </c>
      <c r="J37" s="25">
        <f t="shared" si="0"/>
        <v>0</v>
      </c>
      <c r="K37" s="408">
        <f t="shared" si="1"/>
        <v>26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>
        <f>5*30</f>
        <v>150</v>
      </c>
      <c r="J38" s="25">
        <f t="shared" si="0"/>
        <v>0</v>
      </c>
      <c r="K38" s="408">
        <f t="shared" si="1"/>
        <v>150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>
        <v>165</v>
      </c>
      <c r="J39" s="25">
        <f t="shared" si="0"/>
        <v>0</v>
      </c>
      <c r="K39" s="408">
        <f t="shared" si="1"/>
        <v>165</v>
      </c>
      <c r="L39" s="409"/>
    </row>
    <row r="40" spans="1:16" ht="14.1" customHeight="1" thickBot="1" x14ac:dyDescent="0.25">
      <c r="B40" s="81" t="s">
        <v>295</v>
      </c>
      <c r="C40" s="47"/>
      <c r="D40" s="105">
        <v>133.19999999999999</v>
      </c>
      <c r="E40" s="59"/>
      <c r="F40" s="110">
        <v>118.8</v>
      </c>
      <c r="G40" s="473"/>
      <c r="H40" s="474"/>
      <c r="I40" s="114">
        <v>99.96</v>
      </c>
      <c r="J40" s="26">
        <f t="shared" si="0"/>
        <v>0</v>
      </c>
      <c r="K40" s="475">
        <f>D40+F40+I40</f>
        <v>351.96</v>
      </c>
      <c r="L40" s="476"/>
    </row>
    <row r="41" spans="1:16" ht="17.25" customHeight="1" x14ac:dyDescent="0.2">
      <c r="B41" s="15" t="s">
        <v>273</v>
      </c>
      <c r="C41" s="16">
        <f>SUM(C25:C40)</f>
        <v>23</v>
      </c>
      <c r="D41" s="106">
        <f>SUM(D25:D40)</f>
        <v>429.3</v>
      </c>
      <c r="E41" s="16">
        <f>SUM(E25:E40)</f>
        <v>27</v>
      </c>
      <c r="F41" s="106">
        <f>SUM(F25:F40)</f>
        <v>421.3</v>
      </c>
      <c r="G41" s="430">
        <f>SUM(G25:H40)</f>
        <v>26</v>
      </c>
      <c r="H41" s="430"/>
      <c r="I41" s="106">
        <f>SUM(I25:I40)</f>
        <v>750.96</v>
      </c>
      <c r="J41" s="16">
        <f>SUM(J25:J40)</f>
        <v>76</v>
      </c>
      <c r="K41" s="477">
        <f>SUM(K25:L40)</f>
        <v>1601.56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/>
      <c r="D45" s="210"/>
      <c r="E45" s="209">
        <v>0.1</v>
      </c>
      <c r="F45" s="210"/>
      <c r="G45" s="471">
        <v>0</v>
      </c>
      <c r="H45" s="472"/>
      <c r="I45" s="210">
        <v>0</v>
      </c>
      <c r="J45" s="210">
        <v>0.2</v>
      </c>
      <c r="K45" s="209">
        <v>0.7</v>
      </c>
      <c r="L45" s="210">
        <v>0.05</v>
      </c>
      <c r="M45" s="211"/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5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10</v>
      </c>
      <c r="K46" s="40">
        <f>K45*50</f>
        <v>35</v>
      </c>
      <c r="L46" s="40">
        <f>L45*50</f>
        <v>2.5</v>
      </c>
      <c r="M46" s="79">
        <f>M45*50</f>
        <v>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/>
      <c r="D48" s="209"/>
      <c r="E48" s="209"/>
      <c r="F48" s="209">
        <v>0.2</v>
      </c>
      <c r="G48" s="442">
        <v>0.1</v>
      </c>
      <c r="H48" s="443"/>
      <c r="I48" s="209">
        <v>0.75</v>
      </c>
      <c r="J48" s="209"/>
      <c r="K48" s="209"/>
      <c r="L48" s="209">
        <v>0.1</v>
      </c>
      <c r="M48" s="211">
        <v>0.05</v>
      </c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438">
        <f>G48*100</f>
        <v>10</v>
      </c>
      <c r="H49" s="439"/>
      <c r="I49" s="40">
        <f>I48*100</f>
        <v>75</v>
      </c>
      <c r="J49" s="40">
        <f>J48*150</f>
        <v>0</v>
      </c>
      <c r="K49" s="40">
        <f>K48*70</f>
        <v>0</v>
      </c>
      <c r="L49" s="40">
        <f>L48*70</f>
        <v>7</v>
      </c>
      <c r="M49" s="79">
        <f>M48*70</f>
        <v>3.5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>
        <v>0.3</v>
      </c>
      <c r="D51" s="213"/>
      <c r="E51" s="214"/>
      <c r="F51" s="209"/>
      <c r="G51" s="442"/>
      <c r="H51" s="443"/>
      <c r="I51" s="209">
        <v>0</v>
      </c>
      <c r="J51" s="209">
        <v>0.02</v>
      </c>
      <c r="K51" s="209">
        <v>0.18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21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5</v>
      </c>
      <c r="K52" s="41">
        <f>K51*250</f>
        <v>45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251</v>
      </c>
      <c r="F54" s="39" t="s">
        <v>309</v>
      </c>
      <c r="G54" s="188"/>
      <c r="H54" s="188"/>
      <c r="I54" s="30">
        <f>'29'!D54</f>
        <v>202.5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>
        <v>170300</v>
      </c>
      <c r="D58" s="60">
        <v>17950</v>
      </c>
      <c r="E58" s="124">
        <f>SUM(C58:D58)</f>
        <v>188250</v>
      </c>
      <c r="F58" s="425"/>
      <c r="G58" s="426"/>
      <c r="H58" s="60">
        <v>4005</v>
      </c>
      <c r="I58" s="61">
        <v>2493</v>
      </c>
      <c r="J58" s="422"/>
      <c r="K58" s="428"/>
      <c r="L58" s="60">
        <v>6569.66</v>
      </c>
      <c r="M58" s="61">
        <f>L58/3</f>
        <v>2189.8866666666668</v>
      </c>
      <c r="N58" s="288">
        <v>4.21</v>
      </c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>
        <f>IF(ISERROR(E58/$H$19),"",(E58/$H$19))</f>
        <v>120.63518510211536</v>
      </c>
      <c r="D59" s="432"/>
      <c r="E59" s="433"/>
      <c r="F59" s="434" t="s">
        <v>321</v>
      </c>
      <c r="G59" s="435"/>
      <c r="H59" s="436">
        <f>IF(ISERROR(SUM(H58:I58)/$H$19),"",(SUM(H58:I58)/$H$19))</f>
        <v>4.1640766682260058</v>
      </c>
      <c r="I59" s="437"/>
      <c r="J59" s="434" t="s">
        <v>322</v>
      </c>
      <c r="K59" s="435"/>
      <c r="L59" s="115">
        <f>IF(ISERROR(L58/$H$19),"",(L58/$H$19))</f>
        <v>4.2099981416093666</v>
      </c>
      <c r="M59" s="116">
        <f>IF(ISERROR(M58/$H$19),"",(M58/$H$19))</f>
        <v>1.4033327138697889</v>
      </c>
      <c r="N59" s="194">
        <f>N58*H19</f>
        <v>6569.6629000000003</v>
      </c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0.51736111111111127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322"/>
      <c r="F63" s="324"/>
      <c r="G63" s="322"/>
      <c r="H63" s="323"/>
      <c r="I63" s="323"/>
      <c r="J63" s="324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6</v>
      </c>
      <c r="C64" s="236" t="s">
        <v>22</v>
      </c>
      <c r="D64" s="236" t="s">
        <v>11</v>
      </c>
      <c r="E64" s="322" t="s">
        <v>43</v>
      </c>
      <c r="F64" s="324"/>
      <c r="G64" s="322" t="s">
        <v>1364</v>
      </c>
      <c r="H64" s="323"/>
      <c r="I64" s="323"/>
      <c r="J64" s="324"/>
      <c r="K64" s="238">
        <v>0.4375</v>
      </c>
      <c r="L64" s="238">
        <v>0.45833333333333331</v>
      </c>
      <c r="M64" s="236" t="s">
        <v>9</v>
      </c>
      <c r="N64" s="237">
        <f t="shared" si="2"/>
        <v>2.0833333333333315E-2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20</v>
      </c>
      <c r="E65" s="322"/>
      <c r="F65" s="324"/>
      <c r="G65" s="322" t="s">
        <v>1365</v>
      </c>
      <c r="H65" s="323"/>
      <c r="I65" s="323"/>
      <c r="J65" s="324"/>
      <c r="K65" s="239">
        <v>0.3125</v>
      </c>
      <c r="L65" s="239">
        <v>0.33333333333333331</v>
      </c>
      <c r="M65" s="236" t="s">
        <v>9</v>
      </c>
      <c r="N65" s="237">
        <f t="shared" si="2"/>
        <v>2.0833333333333315E-2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20</v>
      </c>
      <c r="E66" s="322"/>
      <c r="F66" s="324"/>
      <c r="G66" s="322" t="s">
        <v>1366</v>
      </c>
      <c r="H66" s="323"/>
      <c r="I66" s="323"/>
      <c r="J66" s="324"/>
      <c r="K66" s="239">
        <v>0.36805555555555558</v>
      </c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23</v>
      </c>
      <c r="E67" s="322" t="s">
        <v>107</v>
      </c>
      <c r="F67" s="324"/>
      <c r="G67" s="322" t="s">
        <v>594</v>
      </c>
      <c r="H67" s="323"/>
      <c r="I67" s="323"/>
      <c r="J67" s="324"/>
      <c r="K67" s="238">
        <v>0.27083333333333331</v>
      </c>
      <c r="L67" s="238">
        <v>0.3125</v>
      </c>
      <c r="M67" s="236" t="s">
        <v>9</v>
      </c>
      <c r="N67" s="237">
        <f t="shared" si="2"/>
        <v>4.1666666666666685E-2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23</v>
      </c>
      <c r="E68" s="322"/>
      <c r="F68" s="324"/>
      <c r="G68" s="322" t="s">
        <v>605</v>
      </c>
      <c r="H68" s="323"/>
      <c r="I68" s="323"/>
      <c r="J68" s="324"/>
      <c r="K68" s="239">
        <v>0.4236111111111111</v>
      </c>
      <c r="L68" s="239">
        <v>0.49305555555555558</v>
      </c>
      <c r="M68" s="236" t="s">
        <v>9</v>
      </c>
      <c r="N68" s="237">
        <f t="shared" si="2"/>
        <v>6.9444444444444475E-2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26</v>
      </c>
      <c r="E69" s="322" t="s">
        <v>96</v>
      </c>
      <c r="F69" s="324"/>
      <c r="G69" s="322" t="s">
        <v>1367</v>
      </c>
      <c r="H69" s="323"/>
      <c r="I69" s="323"/>
      <c r="J69" s="324"/>
      <c r="K69" s="239">
        <v>0.27083333333333331</v>
      </c>
      <c r="L69" s="239">
        <v>0.35416666666666669</v>
      </c>
      <c r="M69" s="236" t="s">
        <v>9</v>
      </c>
      <c r="N69" s="237">
        <f t="shared" si="2"/>
        <v>8.333333333333337E-2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26</v>
      </c>
      <c r="E70" s="322"/>
      <c r="F70" s="324"/>
      <c r="H70" t="s">
        <v>1368</v>
      </c>
      <c r="K70" s="239">
        <v>0.38194444444444442</v>
      </c>
      <c r="L70" s="239">
        <v>0.40277777777777773</v>
      </c>
      <c r="M70" s="236" t="s">
        <v>9</v>
      </c>
      <c r="N70" s="237">
        <f t="shared" si="2"/>
        <v>2.0833333333333315E-2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20</v>
      </c>
      <c r="E71" s="322"/>
      <c r="F71" s="324"/>
      <c r="G71" s="322" t="s">
        <v>1369</v>
      </c>
      <c r="H71" s="323"/>
      <c r="I71" s="323"/>
      <c r="J71" s="324"/>
      <c r="K71" s="239">
        <v>0.50694444444444442</v>
      </c>
      <c r="L71" s="239">
        <v>0.54166666666666663</v>
      </c>
      <c r="M71" s="236" t="s">
        <v>9</v>
      </c>
      <c r="N71" s="237">
        <f t="shared" si="2"/>
        <v>3.472222222222221E-2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29</v>
      </c>
      <c r="E72" s="322"/>
      <c r="F72" s="324"/>
      <c r="G72" s="322" t="s">
        <v>1370</v>
      </c>
      <c r="H72" s="323"/>
      <c r="I72" s="323"/>
      <c r="J72" s="324"/>
      <c r="K72" s="239">
        <v>0.45833333333333331</v>
      </c>
      <c r="L72" s="239">
        <v>0.52083333333333337</v>
      </c>
      <c r="M72" s="236" t="s">
        <v>9</v>
      </c>
      <c r="N72" s="237">
        <f t="shared" si="2"/>
        <v>6.2500000000000056E-2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18</v>
      </c>
      <c r="E73" s="322" t="s">
        <v>81</v>
      </c>
      <c r="F73" s="324"/>
      <c r="G73" s="322" t="s">
        <v>1371</v>
      </c>
      <c r="H73" s="323"/>
      <c r="I73" s="323"/>
      <c r="J73" s="324"/>
      <c r="K73" s="239">
        <v>0.4375</v>
      </c>
      <c r="L73" s="239">
        <v>0.52083333333333337</v>
      </c>
      <c r="M73" s="236" t="s">
        <v>9</v>
      </c>
      <c r="N73" s="237">
        <f t="shared" si="2"/>
        <v>8.333333333333337E-2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322"/>
      <c r="F74" s="324"/>
      <c r="G74" s="322"/>
      <c r="H74" s="323"/>
      <c r="I74" s="323"/>
      <c r="J74" s="324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 t="s">
        <v>10</v>
      </c>
      <c r="C75" s="236" t="s">
        <v>25</v>
      </c>
      <c r="D75" s="236" t="s">
        <v>11</v>
      </c>
      <c r="E75" s="322"/>
      <c r="F75" s="324"/>
      <c r="G75" s="322" t="s">
        <v>1372</v>
      </c>
      <c r="H75" s="323"/>
      <c r="I75" s="323"/>
      <c r="J75" s="324"/>
      <c r="K75" s="239">
        <v>0.65625</v>
      </c>
      <c r="L75" s="239">
        <v>0.67361111111111116</v>
      </c>
      <c r="M75" s="236" t="s">
        <v>339</v>
      </c>
      <c r="N75" s="237">
        <f t="shared" si="2"/>
        <v>1.736111111111116E-2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20</v>
      </c>
      <c r="E76" s="322"/>
      <c r="F76" s="324"/>
      <c r="G76" s="322" t="s">
        <v>338</v>
      </c>
      <c r="H76" s="323"/>
      <c r="I76" s="323"/>
      <c r="J76" s="324"/>
      <c r="K76" s="239">
        <v>0.77777777777777779</v>
      </c>
      <c r="L76" s="239">
        <v>0.79861111111111116</v>
      </c>
      <c r="M76" s="236" t="s">
        <v>339</v>
      </c>
      <c r="N76" s="237">
        <f t="shared" si="2"/>
        <v>2.083333333333337E-2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322"/>
      <c r="F77" s="324"/>
      <c r="G77" s="322"/>
      <c r="H77" s="323"/>
      <c r="I77" s="323"/>
      <c r="J77" s="324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/>
      <c r="H78" s="323"/>
      <c r="I78" s="323"/>
      <c r="J78" s="324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 t="s">
        <v>14</v>
      </c>
      <c r="C79" s="236" t="s">
        <v>28</v>
      </c>
      <c r="D79" s="236" t="s">
        <v>29</v>
      </c>
      <c r="E79" s="322"/>
      <c r="F79" s="324"/>
      <c r="G79" s="322" t="s">
        <v>1373</v>
      </c>
      <c r="H79" s="323"/>
      <c r="I79" s="323"/>
      <c r="J79" s="324"/>
      <c r="K79" s="239">
        <v>0.97916666666666663</v>
      </c>
      <c r="L79" s="239">
        <v>1.0208333333333333</v>
      </c>
      <c r="M79" s="236" t="s">
        <v>9</v>
      </c>
      <c r="N79" s="237">
        <f t="shared" si="2"/>
        <v>4.166666666666663E-2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322"/>
      <c r="F80" s="324"/>
      <c r="G80" s="322"/>
      <c r="H80" s="323"/>
      <c r="I80" s="323"/>
      <c r="J80" s="324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322"/>
      <c r="F81" s="324"/>
      <c r="G81" s="322"/>
      <c r="H81" s="323"/>
      <c r="I81" s="323"/>
      <c r="J81" s="324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322"/>
      <c r="F83" s="324"/>
      <c r="G83" s="322"/>
      <c r="H83" s="323"/>
      <c r="I83" s="323"/>
      <c r="J83" s="324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/>
      <c r="D136" s="481"/>
      <c r="E136" s="463" t="s">
        <v>345</v>
      </c>
      <c r="F136" s="464"/>
      <c r="G136" s="452" t="s">
        <v>344</v>
      </c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 t="s">
        <v>395</v>
      </c>
      <c r="D137" s="479"/>
      <c r="E137" s="463"/>
      <c r="F137" s="464"/>
      <c r="G137" s="452" t="s">
        <v>394</v>
      </c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35"/>
      <c r="E143" s="335"/>
      <c r="F143" s="335"/>
      <c r="G143" s="336"/>
      <c r="H143" s="336"/>
      <c r="I143" s="336"/>
      <c r="J143" s="336"/>
      <c r="K143" s="336"/>
      <c r="L143" s="335"/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 t="s">
        <v>255</v>
      </c>
      <c r="C144" s="215" t="s">
        <v>376</v>
      </c>
      <c r="D144" s="335" t="s">
        <v>1374</v>
      </c>
      <c r="E144" s="335"/>
      <c r="F144" s="335"/>
      <c r="G144" s="336" t="s">
        <v>357</v>
      </c>
      <c r="H144" s="336"/>
      <c r="I144" s="336"/>
      <c r="J144" s="336">
        <v>27</v>
      </c>
      <c r="K144" s="336"/>
      <c r="L144" s="335" t="s">
        <v>355</v>
      </c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 t="s">
        <v>378</v>
      </c>
      <c r="D145" s="335" t="s">
        <v>1375</v>
      </c>
      <c r="E145" s="335"/>
      <c r="F145" s="335"/>
      <c r="G145" s="336" t="s">
        <v>367</v>
      </c>
      <c r="H145" s="336"/>
      <c r="I145" s="336"/>
      <c r="J145" s="336">
        <v>50</v>
      </c>
      <c r="K145" s="336"/>
      <c r="L145" s="335" t="s">
        <v>355</v>
      </c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12</v>
      </c>
      <c r="D146" s="335" t="s">
        <v>1376</v>
      </c>
      <c r="E146" s="335"/>
      <c r="F146" s="335"/>
      <c r="G146" s="336" t="s">
        <v>372</v>
      </c>
      <c r="H146" s="336"/>
      <c r="I146" s="336"/>
      <c r="J146" s="336">
        <v>39</v>
      </c>
      <c r="K146" s="336"/>
      <c r="L146" s="335" t="s">
        <v>355</v>
      </c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13</v>
      </c>
      <c r="D147" s="335" t="s">
        <v>1377</v>
      </c>
      <c r="E147" s="335"/>
      <c r="F147" s="335"/>
      <c r="G147" s="336" t="s">
        <v>613</v>
      </c>
      <c r="H147" s="336"/>
      <c r="I147" s="336"/>
      <c r="J147" s="336">
        <v>50</v>
      </c>
      <c r="K147" s="336"/>
      <c r="L147" s="335" t="s">
        <v>355</v>
      </c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13</v>
      </c>
      <c r="D148" s="335" t="s">
        <v>1378</v>
      </c>
      <c r="E148" s="335"/>
      <c r="F148" s="335"/>
      <c r="G148" s="336" t="s">
        <v>357</v>
      </c>
      <c r="H148" s="336"/>
      <c r="I148" s="336"/>
      <c r="J148" s="336">
        <v>58</v>
      </c>
      <c r="K148" s="336"/>
      <c r="L148" s="335" t="s">
        <v>355</v>
      </c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18</v>
      </c>
      <c r="D149" s="335" t="s">
        <v>1379</v>
      </c>
      <c r="E149" s="335"/>
      <c r="F149" s="335"/>
      <c r="G149" s="336" t="s">
        <v>538</v>
      </c>
      <c r="H149" s="336"/>
      <c r="I149" s="336"/>
      <c r="J149" s="336">
        <v>17</v>
      </c>
      <c r="K149" s="336"/>
      <c r="L149" s="335" t="s">
        <v>355</v>
      </c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19</v>
      </c>
      <c r="D150" s="335" t="s">
        <v>1380</v>
      </c>
      <c r="E150" s="335"/>
      <c r="F150" s="335"/>
      <c r="G150" s="336" t="s">
        <v>361</v>
      </c>
      <c r="H150" s="336"/>
      <c r="I150" s="336"/>
      <c r="J150" s="336">
        <v>17</v>
      </c>
      <c r="K150" s="336"/>
      <c r="L150" s="335" t="s">
        <v>355</v>
      </c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23</v>
      </c>
      <c r="D151" s="335" t="s">
        <v>1054</v>
      </c>
      <c r="E151" s="335"/>
      <c r="F151" s="335"/>
      <c r="G151" s="336" t="s">
        <v>403</v>
      </c>
      <c r="H151" s="336"/>
      <c r="I151" s="336"/>
      <c r="J151" s="336">
        <v>402</v>
      </c>
      <c r="K151" s="336"/>
      <c r="L151" s="335" t="s">
        <v>355</v>
      </c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14</v>
      </c>
      <c r="D152" s="335" t="s">
        <v>1375</v>
      </c>
      <c r="E152" s="335"/>
      <c r="F152" s="335"/>
      <c r="G152" s="336" t="s">
        <v>734</v>
      </c>
      <c r="H152" s="336"/>
      <c r="I152" s="336"/>
      <c r="J152" s="336">
        <v>30</v>
      </c>
      <c r="K152" s="336"/>
      <c r="L152" s="335" t="s">
        <v>355</v>
      </c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13</v>
      </c>
      <c r="D153" s="335" t="s">
        <v>1378</v>
      </c>
      <c r="E153" s="335"/>
      <c r="F153" s="335"/>
      <c r="G153" s="336" t="s">
        <v>357</v>
      </c>
      <c r="H153" s="336"/>
      <c r="I153" s="336"/>
      <c r="J153" s="336">
        <v>46</v>
      </c>
      <c r="K153" s="336"/>
      <c r="L153" s="335" t="s">
        <v>355</v>
      </c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13</v>
      </c>
      <c r="D154" s="335" t="s">
        <v>1353</v>
      </c>
      <c r="E154" s="335"/>
      <c r="F154" s="335"/>
      <c r="G154" s="336" t="s">
        <v>1344</v>
      </c>
      <c r="H154" s="336"/>
      <c r="I154" s="336"/>
      <c r="J154" s="336">
        <v>56</v>
      </c>
      <c r="K154" s="336"/>
      <c r="L154" s="335" t="s">
        <v>355</v>
      </c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35"/>
      <c r="E155" s="335"/>
      <c r="F155" s="335"/>
      <c r="G155" s="336"/>
      <c r="H155" s="336"/>
      <c r="I155" s="336"/>
      <c r="J155" s="336"/>
      <c r="K155" s="336"/>
      <c r="L155" s="335"/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 t="s">
        <v>261</v>
      </c>
      <c r="C156" s="215">
        <v>12</v>
      </c>
      <c r="D156" s="335" t="s">
        <v>1381</v>
      </c>
      <c r="E156" s="335"/>
      <c r="F156" s="335"/>
      <c r="G156" s="336" t="s">
        <v>372</v>
      </c>
      <c r="H156" s="336"/>
      <c r="I156" s="336"/>
      <c r="J156" s="336">
        <v>38</v>
      </c>
      <c r="K156" s="336"/>
      <c r="L156" s="335" t="s">
        <v>355</v>
      </c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24</v>
      </c>
      <c r="D157" s="335" t="s">
        <v>1382</v>
      </c>
      <c r="E157" s="335"/>
      <c r="F157" s="335"/>
      <c r="G157" s="336" t="s">
        <v>403</v>
      </c>
      <c r="H157" s="336"/>
      <c r="I157" s="336"/>
      <c r="J157" s="336">
        <v>378</v>
      </c>
      <c r="K157" s="336"/>
      <c r="L157" s="335" t="s">
        <v>355</v>
      </c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13</v>
      </c>
      <c r="D158" s="335" t="s">
        <v>1383</v>
      </c>
      <c r="E158" s="335"/>
      <c r="F158" s="335"/>
      <c r="G158" s="336" t="s">
        <v>382</v>
      </c>
      <c r="H158" s="336"/>
      <c r="I158" s="336"/>
      <c r="J158" s="336">
        <v>50</v>
      </c>
      <c r="K158" s="336"/>
      <c r="L158" s="335" t="s">
        <v>355</v>
      </c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18</v>
      </c>
      <c r="D159" s="335" t="s">
        <v>1384</v>
      </c>
      <c r="E159" s="335"/>
      <c r="F159" s="335"/>
      <c r="G159" s="336" t="s">
        <v>538</v>
      </c>
      <c r="H159" s="336"/>
      <c r="I159" s="336"/>
      <c r="J159" s="336" t="s">
        <v>1385</v>
      </c>
      <c r="K159" s="336"/>
      <c r="L159" s="335" t="s">
        <v>355</v>
      </c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19</v>
      </c>
      <c r="D160" s="335" t="s">
        <v>1386</v>
      </c>
      <c r="E160" s="335"/>
      <c r="F160" s="335"/>
      <c r="G160" s="336" t="s">
        <v>587</v>
      </c>
      <c r="H160" s="336"/>
      <c r="I160" s="336"/>
      <c r="J160" s="336">
        <v>14</v>
      </c>
      <c r="K160" s="336"/>
      <c r="L160" s="335" t="s">
        <v>355</v>
      </c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18</v>
      </c>
      <c r="D161" s="335" t="s">
        <v>1384</v>
      </c>
      <c r="E161" s="335"/>
      <c r="F161" s="335"/>
      <c r="G161" s="336" t="s">
        <v>538</v>
      </c>
      <c r="H161" s="336"/>
      <c r="I161" s="336"/>
      <c r="J161" s="336">
        <v>13</v>
      </c>
      <c r="K161" s="336"/>
      <c r="L161" s="335" t="s">
        <v>355</v>
      </c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8</v>
      </c>
      <c r="D162" s="335" t="s">
        <v>1387</v>
      </c>
      <c r="E162" s="335"/>
      <c r="F162" s="335"/>
      <c r="G162" s="336" t="s">
        <v>962</v>
      </c>
      <c r="H162" s="336"/>
      <c r="I162" s="336"/>
      <c r="J162" s="336">
        <v>200</v>
      </c>
      <c r="K162" s="336"/>
      <c r="L162" s="335" t="s">
        <v>355</v>
      </c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9</v>
      </c>
      <c r="D163" s="335" t="s">
        <v>1388</v>
      </c>
      <c r="E163" s="335"/>
      <c r="F163" s="335"/>
      <c r="G163" s="336" t="s">
        <v>357</v>
      </c>
      <c r="H163" s="336"/>
      <c r="I163" s="336"/>
      <c r="J163" s="336">
        <v>42</v>
      </c>
      <c r="K163" s="336"/>
      <c r="L163" s="335" t="s">
        <v>355</v>
      </c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35"/>
      <c r="E164" s="335"/>
      <c r="F164" s="335"/>
      <c r="G164" s="336"/>
      <c r="H164" s="336"/>
      <c r="I164" s="336"/>
      <c r="J164" s="336"/>
      <c r="K164" s="336"/>
      <c r="L164" s="335"/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35"/>
      <c r="E165" s="335"/>
      <c r="F165" s="335"/>
      <c r="G165" s="336"/>
      <c r="H165" s="336"/>
      <c r="I165" s="336"/>
      <c r="J165" s="336"/>
      <c r="K165" s="336"/>
      <c r="L165" s="335"/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 t="s">
        <v>267</v>
      </c>
      <c r="C166" s="215">
        <v>18</v>
      </c>
      <c r="D166" s="335" t="s">
        <v>1389</v>
      </c>
      <c r="E166" s="335"/>
      <c r="F166" s="335"/>
      <c r="G166" s="336" t="s">
        <v>538</v>
      </c>
      <c r="H166" s="336"/>
      <c r="I166" s="336"/>
      <c r="J166" s="336">
        <v>14</v>
      </c>
      <c r="K166" s="336"/>
      <c r="L166" s="335" t="s">
        <v>1390</v>
      </c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>
        <v>13</v>
      </c>
      <c r="D167" s="335" t="s">
        <v>1391</v>
      </c>
      <c r="E167" s="335"/>
      <c r="F167" s="335"/>
      <c r="G167" s="336" t="s">
        <v>510</v>
      </c>
      <c r="H167" s="336"/>
      <c r="I167" s="336"/>
      <c r="J167" s="336">
        <v>43</v>
      </c>
      <c r="K167" s="336"/>
      <c r="L167" s="335" t="s">
        <v>355</v>
      </c>
      <c r="M167" s="335"/>
    </row>
    <row r="168" spans="1:18" ht="14.25" x14ac:dyDescent="0.2">
      <c r="B168" s="216"/>
      <c r="C168" s="215">
        <v>19</v>
      </c>
      <c r="D168" s="335" t="s">
        <v>1392</v>
      </c>
      <c r="E168" s="335"/>
      <c r="F168" s="335"/>
      <c r="G168" s="336" t="s">
        <v>361</v>
      </c>
      <c r="H168" s="336"/>
      <c r="I168" s="336"/>
      <c r="J168" s="336">
        <v>10</v>
      </c>
      <c r="K168" s="336"/>
      <c r="L168" s="335" t="s">
        <v>355</v>
      </c>
      <c r="M168" s="335"/>
    </row>
    <row r="169" spans="1:18" ht="14.25" x14ac:dyDescent="0.2">
      <c r="B169" s="216"/>
      <c r="C169" s="215">
        <v>8</v>
      </c>
      <c r="D169" s="335" t="s">
        <v>1393</v>
      </c>
      <c r="E169" s="335"/>
      <c r="F169" s="335"/>
      <c r="G169" s="336" t="s">
        <v>1005</v>
      </c>
      <c r="H169" s="336"/>
      <c r="I169" s="336"/>
      <c r="J169" s="336">
        <v>149</v>
      </c>
      <c r="K169" s="336"/>
      <c r="L169" s="335" t="s">
        <v>355</v>
      </c>
      <c r="M169" s="335"/>
    </row>
    <row r="170" spans="1:18" ht="14.25" x14ac:dyDescent="0.2">
      <c r="B170" s="216"/>
      <c r="C170" s="215">
        <v>1</v>
      </c>
      <c r="D170" s="335" t="s">
        <v>1393</v>
      </c>
      <c r="E170" s="335"/>
      <c r="F170" s="335"/>
      <c r="G170" s="336" t="s">
        <v>357</v>
      </c>
      <c r="H170" s="336"/>
      <c r="I170" s="336"/>
      <c r="J170" s="336">
        <v>16</v>
      </c>
      <c r="K170" s="336"/>
      <c r="L170" s="335" t="s">
        <v>355</v>
      </c>
      <c r="M170" s="335"/>
    </row>
    <row r="171" spans="1:18" ht="14.25" x14ac:dyDescent="0.2">
      <c r="B171" s="216"/>
      <c r="C171" s="215">
        <v>9</v>
      </c>
      <c r="D171" s="337" t="s">
        <v>1394</v>
      </c>
      <c r="E171" s="338"/>
      <c r="F171" s="339"/>
      <c r="G171" s="336" t="s">
        <v>367</v>
      </c>
      <c r="H171" s="336"/>
      <c r="I171" s="336"/>
      <c r="J171" s="336">
        <v>38</v>
      </c>
      <c r="K171" s="336"/>
      <c r="L171" s="335" t="s">
        <v>355</v>
      </c>
      <c r="M171" s="335"/>
    </row>
    <row r="172" spans="1:18" ht="14.25" x14ac:dyDescent="0.2">
      <c r="B172" s="216"/>
      <c r="C172" s="215">
        <v>12</v>
      </c>
      <c r="D172" s="335" t="s">
        <v>1395</v>
      </c>
      <c r="E172" s="335"/>
      <c r="F172" s="335"/>
      <c r="G172" s="336" t="s">
        <v>372</v>
      </c>
      <c r="H172" s="336"/>
      <c r="I172" s="336"/>
      <c r="J172" s="336">
        <v>37</v>
      </c>
      <c r="K172" s="336"/>
      <c r="L172" s="335" t="s">
        <v>1396</v>
      </c>
      <c r="M172" s="335"/>
    </row>
    <row r="173" spans="1:18" ht="14.25" x14ac:dyDescent="0.2">
      <c r="B173" s="216"/>
      <c r="C173" s="215"/>
      <c r="D173" s="335"/>
      <c r="E173" s="335"/>
      <c r="F173" s="335"/>
      <c r="G173" s="336"/>
      <c r="H173" s="336"/>
      <c r="I173" s="336"/>
      <c r="J173" s="336"/>
      <c r="K173" s="336"/>
      <c r="L173" s="335"/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>
      <selection activeCell="P19" sqref="P19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P19" sqref="P19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P19" sqref="P19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P19" sqref="P19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5DD3226F-D48D-4820-8F95-769964644C4E}">
      <formula1>INDIRECT(D63)</formula1>
    </dataValidation>
  </dataValidations>
  <hyperlinks>
    <hyperlink ref="J14:L15" location="Summary!A1" display="MTD Summary " xr:uid="{53BEAF02-327C-4B53-A27D-484B684D45BF}"/>
    <hyperlink ref="J16:L17" location="Graph!A1" display="MTD Trendings" xr:uid="{5DC62984-C428-460A-8E64-69B956ED8113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E582D20-6F6A-48A2-9E50-90D58C0ADD38}">
          <x14:formula1>
            <xm:f>List!$C$5:$C$14</xm:f>
          </x14:formula1>
          <xm:sqref>D63:D131</xm:sqref>
        </x14:dataValidation>
        <x14:dataValidation type="list" allowBlank="1" showInputMessage="1" showErrorMessage="1" xr:uid="{E9AC967C-1E65-41D2-8AF8-133A6C8952B3}">
          <x14:formula1>
            <xm:f>List!$B$10:$B$12</xm:f>
          </x14:formula1>
          <xm:sqref>C63:C131</xm:sqref>
        </x14:dataValidation>
        <x14:dataValidation type="list" allowBlank="1" showInputMessage="1" showErrorMessage="1" xr:uid="{91097B23-0F70-481D-9990-785855F36ED9}">
          <x14:formula1>
            <xm:f>List!$B$5:$B$8</xm:f>
          </x14:formula1>
          <xm:sqref>B63:B131</xm:sqref>
        </x14:dataValidation>
        <x14:dataValidation type="list" allowBlank="1" showInputMessage="1" showErrorMessage="1" xr:uid="{482220BE-7ECC-487E-BD68-A3AB3B3C4BBE}">
          <x14:formula1>
            <xm:f>Sheet3!$C$3:$C$4</xm:f>
          </x14:formula1>
          <xm:sqref>M63:M132</xm:sqref>
        </x14:dataValidation>
        <x14:dataValidation type="list" allowBlank="1" showInputMessage="1" xr:uid="{10604952-E62A-4091-814D-C4FA4272DEAE}">
          <x14:formula1>
            <xm:f>Sheet3!$D$3:$D$11</xm:f>
          </x14:formula1>
          <xm:sqref>C132</xm:sqref>
        </x14:dataValidation>
        <x14:dataValidation type="list" allowBlank="1" showInputMessage="1" showErrorMessage="1" xr:uid="{C504BB84-8F15-47A6-841C-71904C67BCC4}">
          <x14:formula1>
            <xm:f>Sheet3!$B$3:$B$5</xm:f>
          </x14:formula1>
          <xm:sqref>B143:B165 B132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A781-3279-4D49-8530-F1E7C6E07746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J20" sqref="J20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319" t="s">
        <v>241</v>
      </c>
      <c r="C2" s="320"/>
      <c r="D2" s="320"/>
      <c r="E2" s="320"/>
      <c r="F2" s="320"/>
      <c r="G2" s="320"/>
      <c r="H2" s="320"/>
      <c r="I2" s="321"/>
      <c r="J2" s="72" t="s">
        <v>242</v>
      </c>
      <c r="K2" s="72" t="str">
        <f ca="1">MID(CELL("filename",A1),FIND("]",CELL("filename",A1))+1,31)</f>
        <v>31</v>
      </c>
      <c r="L2" s="36" t="str">
        <f>'1'!L2</f>
        <v>September</v>
      </c>
      <c r="M2" s="4"/>
      <c r="N2" s="135"/>
      <c r="P2" s="288"/>
    </row>
    <row r="3" spans="1:16" ht="13.5" customHeight="1" thickBot="1" x14ac:dyDescent="0.25">
      <c r="J3" s="10"/>
      <c r="K3" s="10"/>
    </row>
    <row r="4" spans="1:16" ht="15" customHeight="1" x14ac:dyDescent="0.2">
      <c r="B4" s="340" t="s">
        <v>2</v>
      </c>
      <c r="C4" s="343" t="s">
        <v>244</v>
      </c>
      <c r="D4" s="345" t="s">
        <v>245</v>
      </c>
      <c r="E4" s="347" t="s">
        <v>246</v>
      </c>
      <c r="F4" s="348"/>
      <c r="G4" s="349"/>
      <c r="H4" s="343" t="s">
        <v>247</v>
      </c>
      <c r="I4" s="68"/>
      <c r="J4" s="415" t="s">
        <v>248</v>
      </c>
      <c r="K4" s="415"/>
      <c r="L4" s="415" t="s">
        <v>249</v>
      </c>
      <c r="M4" s="415"/>
    </row>
    <row r="5" spans="1:16" ht="15" x14ac:dyDescent="0.2">
      <c r="B5" s="341"/>
      <c r="C5" s="344"/>
      <c r="D5" s="346"/>
      <c r="E5" s="20" t="s">
        <v>250</v>
      </c>
      <c r="F5" s="416" t="s">
        <v>251</v>
      </c>
      <c r="G5" s="417"/>
      <c r="H5" s="344"/>
      <c r="I5" s="68"/>
      <c r="J5" s="415"/>
      <c r="K5" s="415"/>
      <c r="L5" s="415"/>
      <c r="M5" s="415"/>
    </row>
    <row r="6" spans="1:16" ht="15.75" thickBot="1" x14ac:dyDescent="0.25">
      <c r="B6" s="342"/>
      <c r="C6" s="287" t="s">
        <v>252</v>
      </c>
      <c r="D6" s="289" t="s">
        <v>253</v>
      </c>
      <c r="E6" s="290" t="s">
        <v>254</v>
      </c>
      <c r="F6" s="418" t="s">
        <v>254</v>
      </c>
      <c r="G6" s="419"/>
      <c r="H6" s="414"/>
      <c r="I6" s="68"/>
      <c r="J6" s="420">
        <f>H19</f>
        <v>0</v>
      </c>
      <c r="K6" s="420"/>
      <c r="L6" s="420">
        <f ca="1">Summary!G38</f>
        <v>0</v>
      </c>
      <c r="M6" s="420"/>
    </row>
    <row r="7" spans="1:16" ht="14.1" customHeight="1" x14ac:dyDescent="0.2">
      <c r="B7" s="380" t="s">
        <v>255</v>
      </c>
      <c r="C7" s="43" t="s">
        <v>256</v>
      </c>
      <c r="D7" s="83"/>
      <c r="E7" s="84"/>
      <c r="F7" s="395"/>
      <c r="G7" s="396"/>
      <c r="H7" s="374">
        <f>SUM(D7:D10)</f>
        <v>0</v>
      </c>
      <c r="I7" s="69"/>
      <c r="J7" s="420"/>
      <c r="K7" s="420"/>
      <c r="L7" s="420"/>
      <c r="M7" s="420"/>
    </row>
    <row r="8" spans="1:16" ht="14.1" customHeight="1" x14ac:dyDescent="0.2">
      <c r="B8" s="381"/>
      <c r="C8" s="44" t="s">
        <v>257</v>
      </c>
      <c r="D8" s="85"/>
      <c r="E8" s="86"/>
      <c r="F8" s="397"/>
      <c r="G8" s="398"/>
      <c r="H8" s="375"/>
      <c r="I8" s="69"/>
      <c r="J8" s="70"/>
      <c r="K8" s="14"/>
      <c r="L8" s="2"/>
    </row>
    <row r="9" spans="1:16" ht="14.1" customHeight="1" x14ac:dyDescent="0.2">
      <c r="B9" s="381"/>
      <c r="C9" s="44" t="s">
        <v>258</v>
      </c>
      <c r="D9" s="85"/>
      <c r="E9" s="86"/>
      <c r="F9" s="397"/>
      <c r="G9" s="398"/>
      <c r="H9" s="375"/>
      <c r="I9" s="69"/>
      <c r="J9" s="415" t="s">
        <v>259</v>
      </c>
      <c r="K9" s="415"/>
      <c r="L9" s="165"/>
      <c r="M9" s="165"/>
    </row>
    <row r="10" spans="1:16" ht="14.1" customHeight="1" thickBot="1" x14ac:dyDescent="0.25">
      <c r="B10" s="382"/>
      <c r="C10" s="46" t="s">
        <v>260</v>
      </c>
      <c r="D10" s="87"/>
      <c r="E10" s="88"/>
      <c r="F10" s="399"/>
      <c r="G10" s="400"/>
      <c r="H10" s="376"/>
      <c r="I10" s="69"/>
      <c r="J10" s="415"/>
      <c r="K10" s="415"/>
      <c r="L10" s="165"/>
      <c r="M10" s="165"/>
    </row>
    <row r="11" spans="1:16" ht="14.1" customHeight="1" x14ac:dyDescent="0.2">
      <c r="B11" s="383" t="s">
        <v>261</v>
      </c>
      <c r="C11" s="48" t="s">
        <v>262</v>
      </c>
      <c r="D11" s="89"/>
      <c r="E11" s="90"/>
      <c r="F11" s="386"/>
      <c r="G11" s="387"/>
      <c r="H11" s="388">
        <f>SUM(D11:D14)</f>
        <v>0</v>
      </c>
      <c r="I11" s="69"/>
      <c r="J11" s="403"/>
      <c r="K11" s="403"/>
      <c r="L11" s="166"/>
      <c r="M11" s="166"/>
    </row>
    <row r="12" spans="1:16" ht="14.1" customHeight="1" x14ac:dyDescent="0.2">
      <c r="B12" s="384"/>
      <c r="C12" s="49" t="s">
        <v>263</v>
      </c>
      <c r="D12" s="91"/>
      <c r="E12" s="92"/>
      <c r="F12" s="391"/>
      <c r="G12" s="392"/>
      <c r="H12" s="389"/>
      <c r="I12" s="69"/>
      <c r="J12" s="403"/>
      <c r="K12" s="403"/>
      <c r="L12" s="166"/>
      <c r="M12" s="166"/>
      <c r="O12" s="42"/>
    </row>
    <row r="13" spans="1:16" ht="14.1" customHeight="1" x14ac:dyDescent="0.2">
      <c r="B13" s="384"/>
      <c r="C13" s="49" t="s">
        <v>264</v>
      </c>
      <c r="D13" s="91"/>
      <c r="E13" s="92"/>
      <c r="F13" s="391"/>
      <c r="G13" s="392"/>
      <c r="H13" s="389"/>
      <c r="I13" s="69"/>
      <c r="J13" s="70"/>
      <c r="K13" s="2"/>
      <c r="L13" s="2"/>
      <c r="M13" s="2"/>
    </row>
    <row r="14" spans="1:16" ht="14.1" customHeight="1" thickBot="1" x14ac:dyDescent="0.25">
      <c r="B14" s="385"/>
      <c r="C14" s="50" t="s">
        <v>265</v>
      </c>
      <c r="D14" s="93"/>
      <c r="E14" s="94"/>
      <c r="F14" s="393"/>
      <c r="G14" s="394"/>
      <c r="H14" s="390"/>
      <c r="I14" s="69"/>
      <c r="J14" s="377" t="s">
        <v>266</v>
      </c>
      <c r="K14" s="378"/>
      <c r="L14" s="379"/>
      <c r="M14" s="2"/>
    </row>
    <row r="15" spans="1:16" ht="14.1" customHeight="1" x14ac:dyDescent="0.2">
      <c r="B15" s="369" t="s">
        <v>267</v>
      </c>
      <c r="C15" s="51" t="s">
        <v>268</v>
      </c>
      <c r="D15" s="95"/>
      <c r="E15" s="96"/>
      <c r="F15" s="372"/>
      <c r="G15" s="373"/>
      <c r="H15" s="374">
        <f>SUM(D15:D18)</f>
        <v>0</v>
      </c>
      <c r="I15" s="69"/>
      <c r="J15" s="377"/>
      <c r="K15" s="378"/>
      <c r="L15" s="379"/>
    </row>
    <row r="16" spans="1:16" ht="14.1" customHeight="1" x14ac:dyDescent="0.2">
      <c r="B16" s="370"/>
      <c r="C16" s="52" t="s">
        <v>269</v>
      </c>
      <c r="D16" s="97"/>
      <c r="E16" s="98"/>
      <c r="F16" s="401"/>
      <c r="G16" s="402"/>
      <c r="H16" s="375"/>
      <c r="I16" s="69"/>
      <c r="J16" s="377" t="s">
        <v>270</v>
      </c>
      <c r="K16" s="378"/>
      <c r="L16" s="379"/>
    </row>
    <row r="17" spans="2:14" ht="14.1" customHeight="1" x14ac:dyDescent="0.2">
      <c r="B17" s="370"/>
      <c r="C17" s="52" t="s">
        <v>271</v>
      </c>
      <c r="D17" s="97"/>
      <c r="E17" s="98"/>
      <c r="F17" s="401"/>
      <c r="G17" s="402"/>
      <c r="H17" s="375"/>
      <c r="I17" s="69"/>
      <c r="J17" s="377"/>
      <c r="K17" s="378"/>
      <c r="L17" s="379"/>
    </row>
    <row r="18" spans="2:14" ht="14.1" customHeight="1" thickBot="1" x14ac:dyDescent="0.25">
      <c r="B18" s="371"/>
      <c r="C18" s="53" t="s">
        <v>272</v>
      </c>
      <c r="D18" s="99"/>
      <c r="E18" s="100"/>
      <c r="F18" s="404"/>
      <c r="G18" s="405"/>
      <c r="H18" s="376"/>
      <c r="I18" s="69"/>
    </row>
    <row r="19" spans="2:14" ht="18" customHeight="1" x14ac:dyDescent="0.2">
      <c r="B19" s="286" t="s">
        <v>273</v>
      </c>
      <c r="C19" s="350"/>
      <c r="D19" s="350"/>
      <c r="E19" s="350"/>
      <c r="F19" s="350"/>
      <c r="G19" s="286"/>
      <c r="H19" s="101">
        <f>SUM(H7:H18)</f>
        <v>0</v>
      </c>
      <c r="I19" s="66"/>
      <c r="J19" s="67"/>
      <c r="K19" s="65"/>
      <c r="M19" s="2"/>
    </row>
    <row r="20" spans="2:14" ht="8.25" customHeight="1" x14ac:dyDescent="0.2">
      <c r="B20" s="286"/>
      <c r="C20" s="286"/>
      <c r="D20" s="286"/>
      <c r="E20" s="286"/>
      <c r="F20" s="286"/>
      <c r="G20" s="286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51" t="s">
        <v>274</v>
      </c>
      <c r="C22" s="352"/>
      <c r="D22" s="352"/>
      <c r="E22" s="352"/>
      <c r="F22" s="352"/>
      <c r="G22" s="352"/>
      <c r="H22" s="352"/>
      <c r="I22" s="352"/>
      <c r="J22" s="352"/>
      <c r="K22" s="352"/>
      <c r="L22" s="353"/>
    </row>
    <row r="23" spans="2:14" ht="16.5" customHeight="1" x14ac:dyDescent="0.2">
      <c r="B23" s="284" t="s">
        <v>2</v>
      </c>
      <c r="C23" s="354" t="s">
        <v>255</v>
      </c>
      <c r="D23" s="355"/>
      <c r="E23" s="356" t="s">
        <v>261</v>
      </c>
      <c r="F23" s="357"/>
      <c r="G23" s="358" t="s">
        <v>267</v>
      </c>
      <c r="H23" s="359"/>
      <c r="I23" s="360"/>
      <c r="J23" s="361" t="s">
        <v>275</v>
      </c>
      <c r="K23" s="363" t="s">
        <v>276</v>
      </c>
      <c r="L23" s="364"/>
      <c r="M23" s="2"/>
    </row>
    <row r="24" spans="2:14" s="3" customFormat="1" ht="31.5" customHeight="1" thickBot="1" x14ac:dyDescent="0.25">
      <c r="B24" s="285" t="s">
        <v>277</v>
      </c>
      <c r="C24" s="22" t="s">
        <v>278</v>
      </c>
      <c r="D24" s="23" t="s">
        <v>279</v>
      </c>
      <c r="E24" s="34" t="s">
        <v>278</v>
      </c>
      <c r="F24" s="35" t="s">
        <v>279</v>
      </c>
      <c r="G24" s="367" t="s">
        <v>278</v>
      </c>
      <c r="H24" s="368"/>
      <c r="I24" s="24" t="s">
        <v>279</v>
      </c>
      <c r="J24" s="362"/>
      <c r="K24" s="365"/>
      <c r="L24" s="366"/>
      <c r="M24" s="6"/>
      <c r="N24" s="4"/>
    </row>
    <row r="25" spans="2:14" ht="14.1" customHeight="1" x14ac:dyDescent="0.2">
      <c r="B25" s="21" t="s">
        <v>280</v>
      </c>
      <c r="C25" s="54"/>
      <c r="D25" s="102"/>
      <c r="E25" s="56"/>
      <c r="F25" s="107"/>
      <c r="G25" s="410"/>
      <c r="H25" s="411"/>
      <c r="I25" s="111"/>
      <c r="J25" s="38">
        <f t="shared" ref="J25:J40" si="0">C25+E25+G25</f>
        <v>0</v>
      </c>
      <c r="K25" s="412">
        <f>D25+F25+I25</f>
        <v>0</v>
      </c>
      <c r="L25" s="413"/>
      <c r="M25" s="2"/>
    </row>
    <row r="26" spans="2:14" ht="14.1" customHeight="1" x14ac:dyDescent="0.2">
      <c r="B26" s="80" t="s">
        <v>281</v>
      </c>
      <c r="C26" s="45"/>
      <c r="D26" s="103"/>
      <c r="E26" s="57"/>
      <c r="F26" s="108"/>
      <c r="G26" s="406"/>
      <c r="H26" s="407"/>
      <c r="I26" s="112"/>
      <c r="J26" s="25">
        <f t="shared" si="0"/>
        <v>0</v>
      </c>
      <c r="K26" s="408">
        <f t="shared" ref="K26:K39" si="1">D26+F26+I26</f>
        <v>0</v>
      </c>
      <c r="L26" s="409"/>
      <c r="M26" s="2"/>
    </row>
    <row r="27" spans="2:14" ht="14.1" customHeight="1" x14ac:dyDescent="0.2">
      <c r="B27" s="80" t="s">
        <v>282</v>
      </c>
      <c r="C27" s="45"/>
      <c r="D27" s="103"/>
      <c r="E27" s="57"/>
      <c r="F27" s="108"/>
      <c r="G27" s="406"/>
      <c r="H27" s="407"/>
      <c r="I27" s="112"/>
      <c r="J27" s="25">
        <f t="shared" si="0"/>
        <v>0</v>
      </c>
      <c r="K27" s="408">
        <f t="shared" si="1"/>
        <v>0</v>
      </c>
      <c r="L27" s="409"/>
      <c r="M27" s="2"/>
    </row>
    <row r="28" spans="2:14" ht="14.1" customHeight="1" x14ac:dyDescent="0.2">
      <c r="B28" s="80" t="s">
        <v>283</v>
      </c>
      <c r="C28" s="45"/>
      <c r="D28" s="103"/>
      <c r="E28" s="57"/>
      <c r="F28" s="108"/>
      <c r="G28" s="406"/>
      <c r="H28" s="407"/>
      <c r="I28" s="112"/>
      <c r="J28" s="25">
        <f t="shared" si="0"/>
        <v>0</v>
      </c>
      <c r="K28" s="408">
        <f t="shared" si="1"/>
        <v>0</v>
      </c>
      <c r="L28" s="409"/>
      <c r="M28" s="2"/>
    </row>
    <row r="29" spans="2:14" ht="14.1" customHeight="1" x14ac:dyDescent="0.2">
      <c r="B29" s="80" t="s">
        <v>284</v>
      </c>
      <c r="C29" s="45"/>
      <c r="D29" s="103"/>
      <c r="E29" s="57"/>
      <c r="F29" s="108"/>
      <c r="G29" s="406"/>
      <c r="H29" s="407"/>
      <c r="I29" s="112"/>
      <c r="J29" s="25">
        <f t="shared" si="0"/>
        <v>0</v>
      </c>
      <c r="K29" s="408">
        <f t="shared" si="1"/>
        <v>0</v>
      </c>
      <c r="L29" s="409"/>
    </row>
    <row r="30" spans="2:14" ht="14.1" customHeight="1" x14ac:dyDescent="0.2">
      <c r="B30" s="80" t="s">
        <v>285</v>
      </c>
      <c r="C30" s="45"/>
      <c r="D30" s="103"/>
      <c r="E30" s="57"/>
      <c r="F30" s="108"/>
      <c r="G30" s="406"/>
      <c r="H30" s="407"/>
      <c r="I30" s="112"/>
      <c r="J30" s="25">
        <f t="shared" si="0"/>
        <v>0</v>
      </c>
      <c r="K30" s="408">
        <f t="shared" si="1"/>
        <v>0</v>
      </c>
      <c r="L30" s="409"/>
    </row>
    <row r="31" spans="2:14" ht="14.1" customHeight="1" x14ac:dyDescent="0.2">
      <c r="B31" s="80" t="s">
        <v>286</v>
      </c>
      <c r="C31" s="45"/>
      <c r="D31" s="103"/>
      <c r="E31" s="57"/>
      <c r="F31" s="108"/>
      <c r="G31" s="406"/>
      <c r="H31" s="407"/>
      <c r="I31" s="112"/>
      <c r="J31" s="25">
        <f t="shared" si="0"/>
        <v>0</v>
      </c>
      <c r="K31" s="408">
        <f t="shared" si="1"/>
        <v>0</v>
      </c>
      <c r="L31" s="409"/>
    </row>
    <row r="32" spans="2:14" ht="14.1" customHeight="1" x14ac:dyDescent="0.2">
      <c r="B32" s="80" t="s">
        <v>287</v>
      </c>
      <c r="C32" s="45"/>
      <c r="D32" s="103"/>
      <c r="E32" s="57"/>
      <c r="F32" s="108"/>
      <c r="G32" s="406"/>
      <c r="H32" s="407"/>
      <c r="I32" s="112"/>
      <c r="J32" s="25">
        <f t="shared" si="0"/>
        <v>0</v>
      </c>
      <c r="K32" s="408">
        <f t="shared" si="1"/>
        <v>0</v>
      </c>
      <c r="L32" s="409"/>
    </row>
    <row r="33" spans="1:16" ht="14.1" customHeight="1" x14ac:dyDescent="0.2">
      <c r="B33" s="80" t="s">
        <v>288</v>
      </c>
      <c r="C33" s="45"/>
      <c r="D33" s="103"/>
      <c r="E33" s="57"/>
      <c r="F33" s="108"/>
      <c r="G33" s="406"/>
      <c r="H33" s="407"/>
      <c r="I33" s="112"/>
      <c r="J33" s="25">
        <f t="shared" si="0"/>
        <v>0</v>
      </c>
      <c r="K33" s="408">
        <f t="shared" si="1"/>
        <v>0</v>
      </c>
      <c r="L33" s="409"/>
    </row>
    <row r="34" spans="1:16" ht="14.1" customHeight="1" x14ac:dyDescent="0.2">
      <c r="B34" s="80" t="s">
        <v>289</v>
      </c>
      <c r="C34" s="45"/>
      <c r="D34" s="103"/>
      <c r="E34" s="57"/>
      <c r="F34" s="108"/>
      <c r="G34" s="406"/>
      <c r="H34" s="407"/>
      <c r="I34" s="112"/>
      <c r="J34" s="25">
        <f t="shared" si="0"/>
        <v>0</v>
      </c>
      <c r="K34" s="408">
        <f t="shared" si="1"/>
        <v>0</v>
      </c>
      <c r="L34" s="409"/>
    </row>
    <row r="35" spans="1:16" ht="14.1" customHeight="1" x14ac:dyDescent="0.2">
      <c r="B35" s="37" t="s">
        <v>290</v>
      </c>
      <c r="C35" s="45"/>
      <c r="D35" s="103"/>
      <c r="E35" s="57"/>
      <c r="F35" s="108"/>
      <c r="G35" s="406"/>
      <c r="H35" s="407"/>
      <c r="I35" s="112"/>
      <c r="J35" s="25">
        <f t="shared" si="0"/>
        <v>0</v>
      </c>
      <c r="K35" s="408">
        <f t="shared" si="1"/>
        <v>0</v>
      </c>
      <c r="L35" s="409"/>
    </row>
    <row r="36" spans="1:16" ht="14.1" customHeight="1" x14ac:dyDescent="0.2">
      <c r="B36" s="37" t="s">
        <v>291</v>
      </c>
      <c r="C36" s="55"/>
      <c r="D36" s="104"/>
      <c r="E36" s="58"/>
      <c r="F36" s="109"/>
      <c r="G36" s="406"/>
      <c r="H36" s="407"/>
      <c r="I36" s="113"/>
      <c r="J36" s="25">
        <f t="shared" si="0"/>
        <v>0</v>
      </c>
      <c r="K36" s="408">
        <f t="shared" si="1"/>
        <v>0</v>
      </c>
      <c r="L36" s="409"/>
    </row>
    <row r="37" spans="1:16" ht="14.1" customHeight="1" x14ac:dyDescent="0.2">
      <c r="B37" s="37" t="s">
        <v>292</v>
      </c>
      <c r="C37" s="55"/>
      <c r="D37" s="104"/>
      <c r="E37" s="58"/>
      <c r="F37" s="109"/>
      <c r="G37" s="406"/>
      <c r="H37" s="407"/>
      <c r="I37" s="113"/>
      <c r="J37" s="25">
        <f t="shared" si="0"/>
        <v>0</v>
      </c>
      <c r="K37" s="408">
        <f t="shared" si="1"/>
        <v>0</v>
      </c>
      <c r="L37" s="409"/>
    </row>
    <row r="38" spans="1:16" ht="14.1" customHeight="1" x14ac:dyDescent="0.2">
      <c r="B38" s="37" t="s">
        <v>293</v>
      </c>
      <c r="C38" s="55"/>
      <c r="D38" s="104"/>
      <c r="E38" s="58"/>
      <c r="F38" s="109"/>
      <c r="G38" s="406"/>
      <c r="H38" s="407"/>
      <c r="I38" s="113"/>
      <c r="J38" s="25">
        <f t="shared" si="0"/>
        <v>0</v>
      </c>
      <c r="K38" s="408">
        <f t="shared" si="1"/>
        <v>0</v>
      </c>
      <c r="L38" s="409"/>
    </row>
    <row r="39" spans="1:16" ht="14.1" customHeight="1" x14ac:dyDescent="0.2">
      <c r="B39" s="37" t="s">
        <v>294</v>
      </c>
      <c r="C39" s="55"/>
      <c r="D39" s="104"/>
      <c r="E39" s="58"/>
      <c r="F39" s="109"/>
      <c r="G39" s="406"/>
      <c r="H39" s="407"/>
      <c r="I39" s="113"/>
      <c r="J39" s="25">
        <f t="shared" si="0"/>
        <v>0</v>
      </c>
      <c r="K39" s="408">
        <f t="shared" si="1"/>
        <v>0</v>
      </c>
      <c r="L39" s="409"/>
    </row>
    <row r="40" spans="1:16" ht="14.1" customHeight="1" thickBot="1" x14ac:dyDescent="0.25">
      <c r="B40" s="81" t="s">
        <v>295</v>
      </c>
      <c r="C40" s="47"/>
      <c r="D40" s="105"/>
      <c r="E40" s="59"/>
      <c r="F40" s="110"/>
      <c r="G40" s="473"/>
      <c r="H40" s="474"/>
      <c r="I40" s="114"/>
      <c r="J40" s="26">
        <f t="shared" si="0"/>
        <v>0</v>
      </c>
      <c r="K40" s="475">
        <f>D40+F40+I40</f>
        <v>0</v>
      </c>
      <c r="L40" s="476"/>
    </row>
    <row r="41" spans="1:16" ht="17.25" customHeight="1" x14ac:dyDescent="0.2">
      <c r="B41" s="15" t="s">
        <v>273</v>
      </c>
      <c r="C41" s="16">
        <f>SUM(C25:C40)</f>
        <v>0</v>
      </c>
      <c r="D41" s="106">
        <f>SUM(D25:D40)</f>
        <v>0</v>
      </c>
      <c r="E41" s="16">
        <f>SUM(E25:E40)</f>
        <v>0</v>
      </c>
      <c r="F41" s="106">
        <f>SUM(F25:F40)</f>
        <v>0</v>
      </c>
      <c r="G41" s="430">
        <f>SUM(G25:H40)</f>
        <v>0</v>
      </c>
      <c r="H41" s="430"/>
      <c r="I41" s="106">
        <f>SUM(I25:I40)</f>
        <v>0</v>
      </c>
      <c r="J41" s="16">
        <f>SUM(J25:J40)</f>
        <v>0</v>
      </c>
      <c r="K41" s="477">
        <f>SUM(K25:L40)</f>
        <v>0</v>
      </c>
      <c r="L41" s="477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56" t="s">
        <v>296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8"/>
    </row>
    <row r="44" spans="1:16" s="11" customFormat="1" ht="14.45" customHeight="1" x14ac:dyDescent="0.25">
      <c r="B44" s="204" t="s">
        <v>297</v>
      </c>
      <c r="C44" s="200">
        <v>1</v>
      </c>
      <c r="D44" s="200">
        <v>2</v>
      </c>
      <c r="E44" s="200">
        <v>3</v>
      </c>
      <c r="F44" s="200">
        <v>4</v>
      </c>
      <c r="G44" s="469">
        <v>5</v>
      </c>
      <c r="H44" s="470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298</v>
      </c>
      <c r="C45" s="209"/>
      <c r="D45" s="210"/>
      <c r="E45" s="209"/>
      <c r="F45" s="210"/>
      <c r="G45" s="471"/>
      <c r="H45" s="472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299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38">
        <f>G45*50</f>
        <v>0</v>
      </c>
      <c r="H46" s="439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297</v>
      </c>
      <c r="C47" s="200">
        <v>11</v>
      </c>
      <c r="D47" s="200" t="s">
        <v>300</v>
      </c>
      <c r="E47" s="200" t="s">
        <v>301</v>
      </c>
      <c r="F47" s="200">
        <v>12</v>
      </c>
      <c r="G47" s="469">
        <v>13</v>
      </c>
      <c r="H47" s="470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298</v>
      </c>
      <c r="C48" s="209"/>
      <c r="D48" s="209"/>
      <c r="E48" s="209"/>
      <c r="F48" s="209"/>
      <c r="G48" s="442"/>
      <c r="H48" s="443"/>
      <c r="I48" s="209"/>
      <c r="J48" s="209"/>
      <c r="K48" s="209"/>
      <c r="L48" s="209"/>
      <c r="M48" s="211"/>
      <c r="N48" s="136"/>
    </row>
    <row r="49" spans="1:18" s="11" customFormat="1" ht="14.45" customHeight="1" x14ac:dyDescent="0.2">
      <c r="B49" s="212" t="s">
        <v>299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38">
        <f>G48*100</f>
        <v>0</v>
      </c>
      <c r="H49" s="439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297</v>
      </c>
      <c r="C50" s="200">
        <v>19</v>
      </c>
      <c r="D50" s="200">
        <v>20</v>
      </c>
      <c r="E50" s="200">
        <v>21</v>
      </c>
      <c r="F50" s="202" t="s">
        <v>302</v>
      </c>
      <c r="G50" s="440" t="s">
        <v>303</v>
      </c>
      <c r="H50" s="441"/>
      <c r="I50" s="203" t="s">
        <v>304</v>
      </c>
      <c r="J50" s="203" t="s">
        <v>305</v>
      </c>
      <c r="K50" s="203" t="s">
        <v>306</v>
      </c>
      <c r="L50" s="203" t="s">
        <v>307</v>
      </c>
      <c r="M50" s="206"/>
      <c r="N50" s="136"/>
    </row>
    <row r="51" spans="1:18" s="11" customFormat="1" ht="14.45" customHeight="1" thickBot="1" x14ac:dyDescent="0.25">
      <c r="B51" s="208" t="s">
        <v>298</v>
      </c>
      <c r="C51" s="213"/>
      <c r="D51" s="213"/>
      <c r="E51" s="214"/>
      <c r="F51" s="209"/>
      <c r="G51" s="442"/>
      <c r="H51" s="443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299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44">
        <f>G51*30</f>
        <v>0</v>
      </c>
      <c r="H52" s="445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308</v>
      </c>
      <c r="C54" s="39"/>
      <c r="D54" s="29">
        <f>SUM(C46:M46)+SUM(C49:M49)+SUM(C52:L52)</f>
        <v>0</v>
      </c>
      <c r="F54" s="39" t="s">
        <v>309</v>
      </c>
      <c r="G54" s="188"/>
      <c r="H54" s="188"/>
      <c r="I54" s="30">
        <f>'30'!D54</f>
        <v>251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88"/>
      <c r="F55" s="288"/>
      <c r="G55" s="288"/>
      <c r="H55" s="12"/>
      <c r="I55" s="12"/>
      <c r="J55" s="12"/>
      <c r="K55" s="12"/>
      <c r="L55" s="12"/>
      <c r="M55" s="12"/>
      <c r="N55" s="288"/>
      <c r="O55" s="12"/>
      <c r="P55" s="12"/>
      <c r="Q55" s="12"/>
      <c r="R55" s="12"/>
    </row>
    <row r="56" spans="1:18" ht="17.25" customHeight="1" thickBot="1" x14ac:dyDescent="0.25">
      <c r="A56" s="12"/>
      <c r="B56" s="446" t="s">
        <v>310</v>
      </c>
      <c r="C56" s="447"/>
      <c r="D56" s="447"/>
      <c r="E56" s="447"/>
      <c r="F56" s="447"/>
      <c r="G56" s="447"/>
      <c r="H56" s="447"/>
      <c r="I56" s="447"/>
      <c r="J56" s="447"/>
      <c r="K56" s="447"/>
      <c r="L56" s="447"/>
      <c r="M56" s="448"/>
      <c r="N56" s="429"/>
      <c r="O56" s="429"/>
      <c r="P56" s="421"/>
      <c r="Q56" s="421"/>
      <c r="R56" s="12"/>
    </row>
    <row r="57" spans="1:18" ht="18" customHeight="1" x14ac:dyDescent="0.2">
      <c r="A57" s="12"/>
      <c r="B57" s="345" t="s">
        <v>311</v>
      </c>
      <c r="C57" s="27" t="s">
        <v>312</v>
      </c>
      <c r="D57" s="27" t="s">
        <v>313</v>
      </c>
      <c r="E57" s="28" t="s">
        <v>273</v>
      </c>
      <c r="F57" s="423" t="s">
        <v>314</v>
      </c>
      <c r="G57" s="424"/>
      <c r="H57" s="27" t="s">
        <v>315</v>
      </c>
      <c r="I57" s="28" t="s">
        <v>316</v>
      </c>
      <c r="J57" s="345" t="s">
        <v>317</v>
      </c>
      <c r="K57" s="427"/>
      <c r="L57" s="62" t="s">
        <v>318</v>
      </c>
      <c r="M57" s="63" t="s">
        <v>319</v>
      </c>
      <c r="N57" s="288"/>
      <c r="O57" s="288"/>
      <c r="P57" s="288"/>
      <c r="Q57" s="12"/>
      <c r="R57" s="12"/>
    </row>
    <row r="58" spans="1:18" ht="18.75" customHeight="1" thickBot="1" x14ac:dyDescent="0.25">
      <c r="A58" s="12"/>
      <c r="B58" s="422"/>
      <c r="C58" s="60"/>
      <c r="D58" s="60"/>
      <c r="E58" s="124">
        <f>SUM(C58:D58)</f>
        <v>0</v>
      </c>
      <c r="F58" s="425"/>
      <c r="G58" s="426"/>
      <c r="H58" s="60"/>
      <c r="I58" s="61"/>
      <c r="J58" s="422"/>
      <c r="K58" s="428"/>
      <c r="L58" s="60"/>
      <c r="M58" s="61"/>
      <c r="N58" s="288"/>
      <c r="O58" s="288"/>
      <c r="P58" s="194"/>
      <c r="Q58" s="12"/>
      <c r="R58" s="12"/>
    </row>
    <row r="59" spans="1:18" ht="18.75" customHeight="1" thickBot="1" x14ac:dyDescent="0.25">
      <c r="A59" s="12"/>
      <c r="B59" s="291" t="s">
        <v>320</v>
      </c>
      <c r="C59" s="431" t="str">
        <f>IF(ISERROR(E58/$H$19),"",(E58/$H$19))</f>
        <v/>
      </c>
      <c r="D59" s="432"/>
      <c r="E59" s="433"/>
      <c r="F59" s="434" t="s">
        <v>321</v>
      </c>
      <c r="G59" s="435"/>
      <c r="H59" s="436" t="str">
        <f>IF(ISERROR(SUM(H58:I58)/$H$19),"",(SUM(H58:I58)/$H$19))</f>
        <v/>
      </c>
      <c r="I59" s="437"/>
      <c r="J59" s="434" t="s">
        <v>322</v>
      </c>
      <c r="K59" s="435"/>
      <c r="L59" s="115" t="str">
        <f>IF(ISERROR(L58/$H$19),"",(L58/$H$19))</f>
        <v/>
      </c>
      <c r="M59" s="116" t="str">
        <f>IF(ISERROR(M58/$H$19),"",(M58/$H$19))</f>
        <v/>
      </c>
      <c r="N59" s="288"/>
      <c r="O59" s="12"/>
      <c r="P59" s="12"/>
      <c r="Q59" s="12"/>
      <c r="R59" s="12"/>
    </row>
    <row r="60" spans="1:18" ht="14.25" x14ac:dyDescent="0.2">
      <c r="A60" s="12"/>
      <c r="F60" s="19"/>
      <c r="G60" s="288"/>
      <c r="H60" s="18"/>
      <c r="I60" s="18"/>
      <c r="J60" s="18"/>
      <c r="K60" s="18"/>
      <c r="L60" s="18"/>
      <c r="M60" s="12"/>
      <c r="N60" s="288"/>
      <c r="O60" s="12"/>
      <c r="P60" s="12"/>
      <c r="Q60" s="12"/>
      <c r="R60" s="12"/>
    </row>
    <row r="61" spans="1:18" ht="22.5" customHeight="1" x14ac:dyDescent="0.2">
      <c r="A61" s="12"/>
      <c r="B61" s="455" t="s">
        <v>323</v>
      </c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138" t="s">
        <v>324</v>
      </c>
      <c r="O61" s="12"/>
      <c r="P61" s="12"/>
      <c r="Q61" s="12"/>
      <c r="R61" s="12"/>
    </row>
    <row r="62" spans="1:18" ht="30" customHeight="1" x14ac:dyDescent="0.2">
      <c r="A62" s="288"/>
      <c r="B62" s="232" t="s">
        <v>2</v>
      </c>
      <c r="C62" s="232" t="s">
        <v>325</v>
      </c>
      <c r="D62" s="232" t="s">
        <v>3</v>
      </c>
      <c r="E62" s="332" t="s">
        <v>326</v>
      </c>
      <c r="F62" s="333"/>
      <c r="G62" s="332" t="s">
        <v>327</v>
      </c>
      <c r="H62" s="334"/>
      <c r="I62" s="334"/>
      <c r="J62" s="333"/>
      <c r="K62" s="232" t="s">
        <v>328</v>
      </c>
      <c r="L62" s="232" t="s">
        <v>329</v>
      </c>
      <c r="M62" s="232" t="s">
        <v>330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322"/>
      <c r="F63" s="324"/>
      <c r="G63" s="322"/>
      <c r="H63" s="323"/>
      <c r="I63" s="323"/>
      <c r="J63" s="324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322"/>
      <c r="F64" s="324"/>
      <c r="G64" s="322"/>
      <c r="H64" s="323"/>
      <c r="I64" s="323"/>
      <c r="J64" s="324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322"/>
      <c r="F65" s="324"/>
      <c r="G65" s="322"/>
      <c r="H65" s="323"/>
      <c r="I65" s="323"/>
      <c r="J65" s="324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322"/>
      <c r="F66" s="324"/>
      <c r="G66" s="322"/>
      <c r="H66" s="323"/>
      <c r="I66" s="323"/>
      <c r="J66" s="324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322"/>
      <c r="F67" s="324"/>
      <c r="G67" s="322"/>
      <c r="H67" s="323"/>
      <c r="I67" s="323"/>
      <c r="J67" s="324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322"/>
      <c r="F68" s="324"/>
      <c r="G68" s="322"/>
      <c r="H68" s="323"/>
      <c r="I68" s="323"/>
      <c r="J68" s="324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322"/>
      <c r="F69" s="324"/>
      <c r="G69" s="322"/>
      <c r="H69" s="323"/>
      <c r="I69" s="323"/>
      <c r="J69" s="324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322"/>
      <c r="F70" s="324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322"/>
      <c r="F71" s="324"/>
      <c r="G71" s="322"/>
      <c r="H71" s="323"/>
      <c r="I71" s="323"/>
      <c r="J71" s="324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322"/>
      <c r="F72" s="324"/>
      <c r="G72" s="322"/>
      <c r="H72" s="323"/>
      <c r="I72" s="323"/>
      <c r="J72" s="324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322"/>
      <c r="F73" s="324"/>
      <c r="G73" s="322"/>
      <c r="H73" s="323"/>
      <c r="I73" s="323"/>
      <c r="J73" s="324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322"/>
      <c r="F74" s="324"/>
      <c r="G74" s="322"/>
      <c r="H74" s="323"/>
      <c r="I74" s="323"/>
      <c r="J74" s="324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322"/>
      <c r="F75" s="324"/>
      <c r="G75" s="322"/>
      <c r="H75" s="323"/>
      <c r="I75" s="323"/>
      <c r="J75" s="324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322"/>
      <c r="F76" s="324"/>
      <c r="G76" s="322"/>
      <c r="H76" s="323"/>
      <c r="I76" s="323"/>
      <c r="J76" s="324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322"/>
      <c r="F77" s="324"/>
      <c r="G77" s="322"/>
      <c r="H77" s="323"/>
      <c r="I77" s="323"/>
      <c r="J77" s="324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322"/>
      <c r="F78" s="324"/>
      <c r="G78" s="322"/>
      <c r="H78" s="323"/>
      <c r="I78" s="323"/>
      <c r="J78" s="324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322"/>
      <c r="F79" s="324"/>
      <c r="G79" s="322"/>
      <c r="H79" s="323"/>
      <c r="I79" s="323"/>
      <c r="J79" s="324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322"/>
      <c r="F80" s="324"/>
      <c r="G80" s="322"/>
      <c r="H80" s="323"/>
      <c r="I80" s="323"/>
      <c r="J80" s="324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322"/>
      <c r="F81" s="324"/>
      <c r="G81" s="322"/>
      <c r="H81" s="323"/>
      <c r="I81" s="323"/>
      <c r="J81" s="324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322"/>
      <c r="F82" s="324"/>
      <c r="G82" s="322"/>
      <c r="H82" s="323"/>
      <c r="I82" s="323"/>
      <c r="J82" s="324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322"/>
      <c r="F83" s="324"/>
      <c r="G83" s="322"/>
      <c r="H83" s="323"/>
      <c r="I83" s="323"/>
      <c r="J83" s="324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322"/>
      <c r="F84" s="324"/>
      <c r="G84" s="322"/>
      <c r="H84" s="323"/>
      <c r="I84" s="323"/>
      <c r="J84" s="324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322"/>
      <c r="F85" s="324"/>
      <c r="G85" s="322"/>
      <c r="H85" s="323"/>
      <c r="I85" s="323"/>
      <c r="J85" s="324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322"/>
      <c r="F86" s="324"/>
      <c r="G86" s="322"/>
      <c r="H86" s="323"/>
      <c r="I86" s="323"/>
      <c r="J86" s="324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322"/>
      <c r="F87" s="324"/>
      <c r="G87" s="322"/>
      <c r="H87" s="323"/>
      <c r="I87" s="323"/>
      <c r="J87" s="324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322"/>
      <c r="F88" s="324"/>
      <c r="G88" s="322"/>
      <c r="H88" s="323"/>
      <c r="I88" s="323"/>
      <c r="J88" s="324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322"/>
      <c r="F89" s="324"/>
      <c r="G89" s="322"/>
      <c r="H89" s="323"/>
      <c r="I89" s="323"/>
      <c r="J89" s="324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322"/>
      <c r="F90" s="324"/>
      <c r="G90" s="322"/>
      <c r="H90" s="323"/>
      <c r="I90" s="323"/>
      <c r="J90" s="324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322"/>
      <c r="F91" s="324"/>
      <c r="G91" s="322"/>
      <c r="H91" s="323"/>
      <c r="I91" s="323"/>
      <c r="J91" s="324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322"/>
      <c r="F92" s="324"/>
      <c r="G92" s="322"/>
      <c r="H92" s="323"/>
      <c r="I92" s="323"/>
      <c r="J92" s="324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322"/>
      <c r="F93" s="324"/>
      <c r="G93" s="322"/>
      <c r="H93" s="323"/>
      <c r="I93" s="323"/>
      <c r="J93" s="324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322"/>
      <c r="F94" s="324"/>
      <c r="G94" s="322"/>
      <c r="H94" s="323"/>
      <c r="I94" s="323"/>
      <c r="J94" s="324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322"/>
      <c r="F95" s="324"/>
      <c r="G95" s="322"/>
      <c r="H95" s="323"/>
      <c r="I95" s="323"/>
      <c r="J95" s="324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322"/>
      <c r="F96" s="324"/>
      <c r="G96" s="322"/>
      <c r="H96" s="323"/>
      <c r="I96" s="323"/>
      <c r="J96" s="324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322"/>
      <c r="F97" s="324"/>
      <c r="G97" s="322"/>
      <c r="H97" s="323"/>
      <c r="I97" s="323"/>
      <c r="J97" s="324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322"/>
      <c r="F98" s="324"/>
      <c r="G98" s="322"/>
      <c r="H98" s="323"/>
      <c r="I98" s="323"/>
      <c r="J98" s="324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322"/>
      <c r="F99" s="324"/>
      <c r="G99" s="322"/>
      <c r="H99" s="323"/>
      <c r="I99" s="323"/>
      <c r="J99" s="324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322"/>
      <c r="F100" s="324"/>
      <c r="G100" s="322"/>
      <c r="H100" s="323"/>
      <c r="I100" s="323"/>
      <c r="J100" s="324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322"/>
      <c r="F101" s="324"/>
      <c r="G101" s="322"/>
      <c r="H101" s="323"/>
      <c r="I101" s="323"/>
      <c r="J101" s="324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322"/>
      <c r="F102" s="324"/>
      <c r="G102" s="322"/>
      <c r="H102" s="323"/>
      <c r="I102" s="323"/>
      <c r="J102" s="324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322"/>
      <c r="F103" s="324"/>
      <c r="G103" s="322"/>
      <c r="H103" s="323"/>
      <c r="I103" s="323"/>
      <c r="J103" s="324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322"/>
      <c r="F104" s="324"/>
      <c r="G104" s="322"/>
      <c r="H104" s="323"/>
      <c r="I104" s="323"/>
      <c r="J104" s="324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322"/>
      <c r="F105" s="324"/>
      <c r="G105" s="322"/>
      <c r="H105" s="323"/>
      <c r="I105" s="323"/>
      <c r="J105" s="324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322"/>
      <c r="F106" s="324"/>
      <c r="G106" s="322"/>
      <c r="H106" s="323"/>
      <c r="I106" s="323"/>
      <c r="J106" s="324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322"/>
      <c r="F107" s="324"/>
      <c r="G107" s="322"/>
      <c r="H107" s="323"/>
      <c r="I107" s="323"/>
      <c r="J107" s="324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322"/>
      <c r="F108" s="324"/>
      <c r="G108" s="322"/>
      <c r="H108" s="323"/>
      <c r="I108" s="323"/>
      <c r="J108" s="324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322"/>
      <c r="F109" s="324"/>
      <c r="G109" s="322"/>
      <c r="H109" s="323"/>
      <c r="I109" s="323"/>
      <c r="J109" s="324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322"/>
      <c r="F110" s="324"/>
      <c r="G110" s="322"/>
      <c r="H110" s="323"/>
      <c r="I110" s="323"/>
      <c r="J110" s="324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322"/>
      <c r="F111" s="324"/>
      <c r="G111" s="322"/>
      <c r="H111" s="323"/>
      <c r="I111" s="323"/>
      <c r="J111" s="324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322"/>
      <c r="F112" s="324"/>
      <c r="G112" s="322"/>
      <c r="H112" s="323"/>
      <c r="I112" s="323"/>
      <c r="J112" s="324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322"/>
      <c r="F113" s="324"/>
      <c r="G113" s="322"/>
      <c r="H113" s="323"/>
      <c r="I113" s="323"/>
      <c r="J113" s="324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322"/>
      <c r="F114" s="324"/>
      <c r="G114" s="322"/>
      <c r="H114" s="323"/>
      <c r="I114" s="323"/>
      <c r="J114" s="324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322"/>
      <c r="F115" s="324"/>
      <c r="G115" s="322"/>
      <c r="H115" s="323"/>
      <c r="I115" s="323"/>
      <c r="J115" s="324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322"/>
      <c r="F116" s="324"/>
      <c r="G116" s="322"/>
      <c r="H116" s="323"/>
      <c r="I116" s="323"/>
      <c r="J116" s="324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322"/>
      <c r="F117" s="324"/>
      <c r="G117" s="322"/>
      <c r="H117" s="323"/>
      <c r="I117" s="323"/>
      <c r="J117" s="324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322"/>
      <c r="F118" s="324"/>
      <c r="G118" s="322"/>
      <c r="H118" s="323"/>
      <c r="I118" s="323"/>
      <c r="J118" s="324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322"/>
      <c r="F119" s="324"/>
      <c r="G119" s="322"/>
      <c r="H119" s="323"/>
      <c r="I119" s="323"/>
      <c r="J119" s="324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322"/>
      <c r="F120" s="324"/>
      <c r="G120" s="322"/>
      <c r="H120" s="323"/>
      <c r="I120" s="323"/>
      <c r="J120" s="324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322"/>
      <c r="F121" s="324"/>
      <c r="G121" s="322"/>
      <c r="H121" s="323"/>
      <c r="I121" s="323"/>
      <c r="J121" s="324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322"/>
      <c r="F122" s="324"/>
      <c r="G122" s="322"/>
      <c r="H122" s="323"/>
      <c r="I122" s="323"/>
      <c r="J122" s="324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322"/>
      <c r="F123" s="324"/>
      <c r="G123" s="322"/>
      <c r="H123" s="323"/>
      <c r="I123" s="323"/>
      <c r="J123" s="324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322"/>
      <c r="F124" s="324"/>
      <c r="G124" s="322"/>
      <c r="H124" s="323"/>
      <c r="I124" s="323"/>
      <c r="J124" s="324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322"/>
      <c r="F125" s="324"/>
      <c r="G125" s="322"/>
      <c r="H125" s="323"/>
      <c r="I125" s="323"/>
      <c r="J125" s="324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322"/>
      <c r="F126" s="324"/>
      <c r="G126" s="322"/>
      <c r="H126" s="323"/>
      <c r="I126" s="323"/>
      <c r="J126" s="324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322"/>
      <c r="F127" s="324"/>
      <c r="G127" s="322"/>
      <c r="H127" s="323"/>
      <c r="I127" s="323"/>
      <c r="J127" s="324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322"/>
      <c r="F128" s="324"/>
      <c r="G128" s="322"/>
      <c r="H128" s="323"/>
      <c r="I128" s="323"/>
      <c r="J128" s="324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322"/>
      <c r="F129" s="324"/>
      <c r="G129" s="322"/>
      <c r="H129" s="323"/>
      <c r="I129" s="323"/>
      <c r="J129" s="324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322"/>
      <c r="F130" s="324"/>
      <c r="G130" s="322"/>
      <c r="H130" s="323"/>
      <c r="I130" s="323"/>
      <c r="J130" s="324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322"/>
      <c r="F131" s="324"/>
      <c r="G131" s="322"/>
      <c r="H131" s="323"/>
      <c r="I131" s="323"/>
      <c r="J131" s="324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88"/>
      <c r="O132" s="12"/>
      <c r="P132" s="12"/>
      <c r="Q132" s="12"/>
      <c r="R132" s="12"/>
    </row>
    <row r="133" spans="1:18" ht="12.75" customHeight="1" x14ac:dyDescent="0.2">
      <c r="A133" s="12"/>
      <c r="B133" s="17" t="s">
        <v>342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88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88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325" t="s">
        <v>255</v>
      </c>
      <c r="D135" s="326"/>
      <c r="E135" s="327" t="s">
        <v>261</v>
      </c>
      <c r="F135" s="328"/>
      <c r="G135" s="329" t="s">
        <v>267</v>
      </c>
      <c r="H135" s="330"/>
      <c r="I135" s="331"/>
      <c r="J135" s="75"/>
      <c r="K135" s="76"/>
      <c r="L135" s="76"/>
      <c r="M135" s="71"/>
      <c r="N135" s="288"/>
      <c r="O135" s="12"/>
      <c r="P135" s="12"/>
      <c r="Q135" s="12"/>
      <c r="R135" s="12"/>
    </row>
    <row r="136" spans="1:18" ht="16.5" customHeight="1" x14ac:dyDescent="0.2">
      <c r="A136" s="12"/>
      <c r="B136" s="64" t="s">
        <v>343</v>
      </c>
      <c r="C136" s="480"/>
      <c r="D136" s="481"/>
      <c r="E136" s="463"/>
      <c r="F136" s="464"/>
      <c r="G136" s="452"/>
      <c r="H136" s="453"/>
      <c r="I136" s="454"/>
      <c r="J136" s="70"/>
      <c r="K136" s="77"/>
      <c r="L136" s="69"/>
      <c r="M136" s="69"/>
      <c r="N136" s="288"/>
      <c r="O136" s="12"/>
      <c r="P136" s="12"/>
      <c r="Q136" s="12"/>
      <c r="R136" s="12"/>
    </row>
    <row r="137" spans="1:18" ht="19.5" customHeight="1" x14ac:dyDescent="0.2">
      <c r="A137" s="12"/>
      <c r="B137" s="64" t="s">
        <v>346</v>
      </c>
      <c r="C137" s="478"/>
      <c r="D137" s="479"/>
      <c r="E137" s="463"/>
      <c r="F137" s="464"/>
      <c r="G137" s="452"/>
      <c r="H137" s="453"/>
      <c r="I137" s="454"/>
      <c r="J137" s="70"/>
      <c r="K137" s="77"/>
      <c r="L137" s="69"/>
      <c r="M137" s="69"/>
      <c r="N137" s="288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421"/>
      <c r="F138" s="421"/>
      <c r="G138" s="421"/>
      <c r="H138" s="421"/>
      <c r="I138" s="421"/>
      <c r="J138" s="421"/>
      <c r="K138" s="12"/>
      <c r="L138" s="12"/>
      <c r="M138" s="12"/>
      <c r="N138" s="288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88"/>
      <c r="F139" s="288"/>
      <c r="G139" s="288"/>
      <c r="H139" s="288"/>
      <c r="I139" s="288"/>
      <c r="J139" s="288"/>
      <c r="K139" s="12"/>
      <c r="L139" s="12"/>
      <c r="M139" s="12"/>
      <c r="N139" s="288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88"/>
      <c r="F140" s="288"/>
      <c r="G140" s="288"/>
      <c r="H140" s="288"/>
      <c r="I140" s="288"/>
      <c r="J140" s="288"/>
      <c r="K140" s="12"/>
      <c r="L140" s="12"/>
      <c r="M140" s="12"/>
      <c r="N140" s="288"/>
      <c r="O140" s="12"/>
      <c r="P140" s="12"/>
      <c r="Q140" s="12"/>
      <c r="R140" s="12"/>
    </row>
    <row r="141" spans="1:18" ht="20.25" x14ac:dyDescent="0.2">
      <c r="A141" s="12"/>
      <c r="B141" s="449" t="s">
        <v>348</v>
      </c>
      <c r="C141" s="450"/>
      <c r="D141" s="450"/>
      <c r="E141" s="450"/>
      <c r="F141" s="450"/>
      <c r="G141" s="450"/>
      <c r="H141" s="450"/>
      <c r="I141" s="450"/>
      <c r="J141" s="450"/>
      <c r="K141" s="450"/>
      <c r="L141" s="450"/>
      <c r="M141" s="451"/>
      <c r="N141" s="288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297</v>
      </c>
      <c r="D142" s="465" t="s">
        <v>349</v>
      </c>
      <c r="E142" s="466"/>
      <c r="F142" s="467"/>
      <c r="G142" s="459" t="s">
        <v>350</v>
      </c>
      <c r="H142" s="468"/>
      <c r="I142" s="460"/>
      <c r="J142" s="459" t="s">
        <v>351</v>
      </c>
      <c r="K142" s="460"/>
      <c r="L142" s="461" t="s">
        <v>352</v>
      </c>
      <c r="M142" s="462"/>
      <c r="N142" s="288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35"/>
      <c r="E143" s="335"/>
      <c r="F143" s="335"/>
      <c r="G143" s="336"/>
      <c r="H143" s="336"/>
      <c r="I143" s="336"/>
      <c r="J143" s="336"/>
      <c r="K143" s="336"/>
      <c r="L143" s="335"/>
      <c r="M143" s="335"/>
      <c r="N143" s="288"/>
      <c r="O143" s="12"/>
      <c r="P143" s="12"/>
      <c r="Q143" s="12"/>
      <c r="R143" s="12"/>
    </row>
    <row r="144" spans="1:18" ht="14.25" x14ac:dyDescent="0.2">
      <c r="A144" s="12"/>
      <c r="B144" s="216"/>
      <c r="C144" s="215"/>
      <c r="D144" s="335"/>
      <c r="E144" s="335"/>
      <c r="F144" s="335"/>
      <c r="G144" s="336"/>
      <c r="H144" s="336"/>
      <c r="I144" s="336"/>
      <c r="J144" s="336"/>
      <c r="K144" s="336"/>
      <c r="L144" s="335"/>
      <c r="M144" s="335"/>
      <c r="N144" s="288"/>
      <c r="O144" s="12"/>
      <c r="P144" s="12"/>
      <c r="Q144" s="12"/>
      <c r="R144" s="12"/>
    </row>
    <row r="145" spans="1:18" ht="14.25" x14ac:dyDescent="0.2">
      <c r="A145" s="12"/>
      <c r="B145" s="216"/>
      <c r="C145" s="215"/>
      <c r="D145" s="335"/>
      <c r="E145" s="335"/>
      <c r="F145" s="335"/>
      <c r="G145" s="336"/>
      <c r="H145" s="336"/>
      <c r="I145" s="336"/>
      <c r="J145" s="336"/>
      <c r="K145" s="336"/>
      <c r="L145" s="335"/>
      <c r="M145" s="335"/>
      <c r="N145" s="288"/>
      <c r="O145" s="12"/>
      <c r="P145" s="12"/>
      <c r="Q145" s="12"/>
      <c r="R145" s="12"/>
    </row>
    <row r="146" spans="1:18" ht="14.25" x14ac:dyDescent="0.2">
      <c r="A146" s="12"/>
      <c r="B146" s="216"/>
      <c r="C146" s="215"/>
      <c r="D146" s="335"/>
      <c r="E146" s="335"/>
      <c r="F146" s="335"/>
      <c r="G146" s="336"/>
      <c r="H146" s="336"/>
      <c r="I146" s="336"/>
      <c r="J146" s="336"/>
      <c r="K146" s="336"/>
      <c r="L146" s="335"/>
      <c r="M146" s="335"/>
      <c r="N146" s="288"/>
      <c r="O146" s="12"/>
      <c r="P146" s="12"/>
      <c r="Q146" s="12"/>
      <c r="R146" s="12"/>
    </row>
    <row r="147" spans="1:18" ht="14.25" x14ac:dyDescent="0.2">
      <c r="A147" s="12"/>
      <c r="B147" s="216"/>
      <c r="C147" s="215"/>
      <c r="D147" s="335"/>
      <c r="E147" s="335"/>
      <c r="F147" s="335"/>
      <c r="G147" s="336"/>
      <c r="H147" s="336"/>
      <c r="I147" s="336"/>
      <c r="J147" s="336"/>
      <c r="K147" s="336"/>
      <c r="L147" s="335"/>
      <c r="M147" s="335"/>
      <c r="N147" s="288"/>
      <c r="O147" s="12"/>
      <c r="P147" s="12"/>
      <c r="Q147" s="12"/>
      <c r="R147" s="12"/>
    </row>
    <row r="148" spans="1:18" ht="14.25" x14ac:dyDescent="0.2">
      <c r="A148" s="12"/>
      <c r="B148" s="216"/>
      <c r="C148" s="215"/>
      <c r="D148" s="335"/>
      <c r="E148" s="335"/>
      <c r="F148" s="335"/>
      <c r="G148" s="336"/>
      <c r="H148" s="336"/>
      <c r="I148" s="336"/>
      <c r="J148" s="336"/>
      <c r="K148" s="336"/>
      <c r="L148" s="335"/>
      <c r="M148" s="335"/>
      <c r="N148" s="288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35"/>
      <c r="E149" s="335"/>
      <c r="F149" s="335"/>
      <c r="G149" s="336"/>
      <c r="H149" s="336"/>
      <c r="I149" s="336"/>
      <c r="J149" s="336"/>
      <c r="K149" s="336"/>
      <c r="L149" s="335"/>
      <c r="M149" s="335"/>
      <c r="N149" s="288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35"/>
      <c r="E150" s="335"/>
      <c r="F150" s="335"/>
      <c r="G150" s="336"/>
      <c r="H150" s="336"/>
      <c r="I150" s="336"/>
      <c r="J150" s="336"/>
      <c r="K150" s="336"/>
      <c r="L150" s="335"/>
      <c r="M150" s="335"/>
      <c r="N150" s="288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35"/>
      <c r="E151" s="335"/>
      <c r="F151" s="335"/>
      <c r="G151" s="336"/>
      <c r="H151" s="336"/>
      <c r="I151" s="336"/>
      <c r="J151" s="336"/>
      <c r="K151" s="336"/>
      <c r="L151" s="335"/>
      <c r="M151" s="335"/>
      <c r="N151" s="288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35"/>
      <c r="E152" s="335"/>
      <c r="F152" s="335"/>
      <c r="G152" s="336"/>
      <c r="H152" s="336"/>
      <c r="I152" s="336"/>
      <c r="J152" s="336"/>
      <c r="K152" s="336"/>
      <c r="L152" s="335"/>
      <c r="M152" s="335"/>
      <c r="N152" s="288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35"/>
      <c r="E153" s="335"/>
      <c r="F153" s="335"/>
      <c r="G153" s="336"/>
      <c r="H153" s="336"/>
      <c r="I153" s="336"/>
      <c r="J153" s="336"/>
      <c r="K153" s="336"/>
      <c r="L153" s="335"/>
      <c r="M153" s="335"/>
      <c r="N153" s="288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35"/>
      <c r="E154" s="335"/>
      <c r="F154" s="335"/>
      <c r="G154" s="336"/>
      <c r="H154" s="336"/>
      <c r="I154" s="336"/>
      <c r="J154" s="336"/>
      <c r="K154" s="336"/>
      <c r="L154" s="335"/>
      <c r="M154" s="335"/>
      <c r="N154" s="288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35"/>
      <c r="E155" s="335"/>
      <c r="F155" s="335"/>
      <c r="G155" s="336"/>
      <c r="H155" s="336"/>
      <c r="I155" s="336"/>
      <c r="J155" s="336"/>
      <c r="K155" s="336"/>
      <c r="L155" s="335"/>
      <c r="M155" s="335"/>
      <c r="N155" s="288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335"/>
      <c r="E156" s="335"/>
      <c r="F156" s="335"/>
      <c r="G156" s="336"/>
      <c r="H156" s="336"/>
      <c r="I156" s="336"/>
      <c r="J156" s="336"/>
      <c r="K156" s="336"/>
      <c r="L156" s="335"/>
      <c r="M156" s="335"/>
      <c r="N156" s="288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335"/>
      <c r="E157" s="335"/>
      <c r="F157" s="335"/>
      <c r="G157" s="336"/>
      <c r="H157" s="336"/>
      <c r="I157" s="336"/>
      <c r="J157" s="336"/>
      <c r="K157" s="336"/>
      <c r="L157" s="335"/>
      <c r="M157" s="335"/>
      <c r="N157" s="288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35"/>
      <c r="E158" s="335"/>
      <c r="F158" s="335"/>
      <c r="G158" s="336"/>
      <c r="H158" s="336"/>
      <c r="I158" s="336"/>
      <c r="J158" s="336"/>
      <c r="K158" s="336"/>
      <c r="L158" s="335"/>
      <c r="M158" s="335"/>
      <c r="N158" s="288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35"/>
      <c r="E159" s="335"/>
      <c r="F159" s="335"/>
      <c r="G159" s="336"/>
      <c r="H159" s="336"/>
      <c r="I159" s="336"/>
      <c r="J159" s="336"/>
      <c r="K159" s="336"/>
      <c r="L159" s="335"/>
      <c r="M159" s="335"/>
      <c r="N159" s="288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35"/>
      <c r="E160" s="335"/>
      <c r="F160" s="335"/>
      <c r="G160" s="336"/>
      <c r="H160" s="336"/>
      <c r="I160" s="336"/>
      <c r="J160" s="336"/>
      <c r="K160" s="336"/>
      <c r="L160" s="335"/>
      <c r="M160" s="335"/>
      <c r="N160" s="288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335"/>
      <c r="E161" s="335"/>
      <c r="F161" s="335"/>
      <c r="G161" s="336"/>
      <c r="H161" s="336"/>
      <c r="I161" s="336"/>
      <c r="J161" s="336"/>
      <c r="K161" s="336"/>
      <c r="L161" s="335"/>
      <c r="M161" s="335"/>
      <c r="N161" s="288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35"/>
      <c r="E162" s="335"/>
      <c r="F162" s="335"/>
      <c r="G162" s="336"/>
      <c r="H162" s="336"/>
      <c r="I162" s="336"/>
      <c r="J162" s="336"/>
      <c r="K162" s="336"/>
      <c r="L162" s="335"/>
      <c r="M162" s="335"/>
      <c r="N162" s="288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35"/>
      <c r="E163" s="335"/>
      <c r="F163" s="335"/>
      <c r="G163" s="336"/>
      <c r="H163" s="336"/>
      <c r="I163" s="336"/>
      <c r="J163" s="336"/>
      <c r="K163" s="336"/>
      <c r="L163" s="335"/>
      <c r="M163" s="335"/>
      <c r="N163" s="288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35"/>
      <c r="E164" s="335"/>
      <c r="F164" s="335"/>
      <c r="G164" s="336"/>
      <c r="H164" s="336"/>
      <c r="I164" s="336"/>
      <c r="J164" s="336"/>
      <c r="K164" s="336"/>
      <c r="L164" s="335"/>
      <c r="M164" s="335"/>
      <c r="N164" s="288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35"/>
      <c r="E165" s="335"/>
      <c r="F165" s="335"/>
      <c r="G165" s="336"/>
      <c r="H165" s="336"/>
      <c r="I165" s="336"/>
      <c r="J165" s="336"/>
      <c r="K165" s="336"/>
      <c r="L165" s="335"/>
      <c r="M165" s="335"/>
      <c r="N165" s="288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35"/>
      <c r="E166" s="335"/>
      <c r="F166" s="335"/>
      <c r="G166" s="336"/>
      <c r="H166" s="336"/>
      <c r="I166" s="336"/>
      <c r="J166" s="336"/>
      <c r="K166" s="336"/>
      <c r="L166" s="335"/>
      <c r="M166" s="335"/>
      <c r="N166" s="288"/>
      <c r="O166" s="12"/>
      <c r="P166" s="12"/>
      <c r="Q166" s="12"/>
      <c r="R166" s="12"/>
    </row>
    <row r="167" spans="1:18" ht="14.25" x14ac:dyDescent="0.2">
      <c r="B167" s="216"/>
      <c r="C167" s="215"/>
      <c r="D167" s="335"/>
      <c r="E167" s="335"/>
      <c r="F167" s="335"/>
      <c r="G167" s="336"/>
      <c r="H167" s="336"/>
      <c r="I167" s="336"/>
      <c r="J167" s="336"/>
      <c r="K167" s="336"/>
      <c r="L167" s="335"/>
      <c r="M167" s="335"/>
    </row>
    <row r="168" spans="1:18" ht="14.25" x14ac:dyDescent="0.2">
      <c r="B168" s="216"/>
      <c r="C168" s="215"/>
      <c r="D168" s="335"/>
      <c r="E168" s="335"/>
      <c r="F168" s="335"/>
      <c r="G168" s="336"/>
      <c r="H168" s="336"/>
      <c r="I168" s="336"/>
      <c r="J168" s="336"/>
      <c r="K168" s="336"/>
      <c r="L168" s="335"/>
      <c r="M168" s="335"/>
    </row>
    <row r="169" spans="1:18" ht="14.25" x14ac:dyDescent="0.2">
      <c r="B169" s="216"/>
      <c r="C169" s="215"/>
      <c r="D169" s="335"/>
      <c r="E169" s="335"/>
      <c r="F169" s="335"/>
      <c r="G169" s="336"/>
      <c r="H169" s="336"/>
      <c r="I169" s="336"/>
      <c r="J169" s="336"/>
      <c r="K169" s="336"/>
      <c r="L169" s="335"/>
      <c r="M169" s="335"/>
    </row>
    <row r="170" spans="1:18" ht="14.25" x14ac:dyDescent="0.2">
      <c r="B170" s="216"/>
      <c r="C170" s="215"/>
      <c r="D170" s="335"/>
      <c r="E170" s="335"/>
      <c r="F170" s="335"/>
      <c r="G170" s="336"/>
      <c r="H170" s="336"/>
      <c r="I170" s="336"/>
      <c r="J170" s="336"/>
      <c r="K170" s="336"/>
      <c r="L170" s="335"/>
      <c r="M170" s="335"/>
    </row>
    <row r="171" spans="1:18" ht="14.25" x14ac:dyDescent="0.2">
      <c r="B171" s="216"/>
      <c r="C171" s="215"/>
      <c r="D171" s="337"/>
      <c r="E171" s="338"/>
      <c r="F171" s="339"/>
      <c r="G171" s="336"/>
      <c r="H171" s="336"/>
      <c r="I171" s="336"/>
      <c r="J171" s="336"/>
      <c r="K171" s="336"/>
      <c r="L171" s="335"/>
      <c r="M171" s="335"/>
    </row>
    <row r="172" spans="1:18" ht="14.25" x14ac:dyDescent="0.2">
      <c r="B172" s="216"/>
      <c r="C172" s="215"/>
      <c r="D172" s="335"/>
      <c r="E172" s="335"/>
      <c r="F172" s="335"/>
      <c r="G172" s="336"/>
      <c r="H172" s="336"/>
      <c r="I172" s="336"/>
      <c r="J172" s="336"/>
      <c r="K172" s="336"/>
      <c r="L172" s="335"/>
      <c r="M172" s="335"/>
    </row>
    <row r="173" spans="1:18" ht="14.25" x14ac:dyDescent="0.2">
      <c r="B173" s="216"/>
      <c r="C173" s="215"/>
      <c r="D173" s="335"/>
      <c r="E173" s="335"/>
      <c r="F173" s="335"/>
      <c r="G173" s="336"/>
      <c r="H173" s="336"/>
      <c r="I173" s="336"/>
      <c r="J173" s="336"/>
      <c r="K173" s="336"/>
      <c r="L173" s="335"/>
      <c r="M173" s="335"/>
    </row>
    <row r="174" spans="1:18" ht="14.25" x14ac:dyDescent="0.2">
      <c r="B174" s="216"/>
      <c r="C174" s="215"/>
      <c r="D174" s="335"/>
      <c r="E174" s="335"/>
      <c r="F174" s="335"/>
      <c r="G174" s="336"/>
      <c r="H174" s="336"/>
      <c r="I174" s="336"/>
      <c r="J174" s="336"/>
      <c r="K174" s="336"/>
      <c r="L174" s="335"/>
      <c r="M174" s="335"/>
    </row>
    <row r="175" spans="1:18" ht="14.25" x14ac:dyDescent="0.2">
      <c r="B175" s="216"/>
      <c r="C175" s="215"/>
      <c r="D175" s="335"/>
      <c r="E175" s="335"/>
      <c r="F175" s="335"/>
      <c r="G175" s="336"/>
      <c r="H175" s="336"/>
      <c r="I175" s="336"/>
      <c r="J175" s="336"/>
      <c r="K175" s="336"/>
      <c r="L175" s="335"/>
      <c r="M175" s="335"/>
    </row>
    <row r="176" spans="1:18" ht="14.25" x14ac:dyDescent="0.2">
      <c r="B176" s="216"/>
      <c r="C176" s="215"/>
      <c r="D176" s="335"/>
      <c r="E176" s="335"/>
      <c r="F176" s="335"/>
      <c r="G176" s="336"/>
      <c r="H176" s="336"/>
      <c r="I176" s="336"/>
      <c r="J176" s="336"/>
      <c r="K176" s="336"/>
      <c r="L176" s="335"/>
      <c r="M176" s="335"/>
    </row>
    <row r="177" spans="2:13" ht="14.25" x14ac:dyDescent="0.2">
      <c r="B177" s="216"/>
      <c r="C177" s="215"/>
      <c r="D177" s="335"/>
      <c r="E177" s="335"/>
      <c r="F177" s="335"/>
      <c r="G177" s="336"/>
      <c r="H177" s="336"/>
      <c r="I177" s="336"/>
      <c r="J177" s="336"/>
      <c r="K177" s="336"/>
      <c r="L177" s="335"/>
      <c r="M177" s="335"/>
    </row>
    <row r="178" spans="2:13" ht="14.25" x14ac:dyDescent="0.2">
      <c r="B178" s="216"/>
      <c r="C178" s="215"/>
      <c r="D178" s="335"/>
      <c r="E178" s="335"/>
      <c r="F178" s="335"/>
      <c r="G178" s="336"/>
      <c r="H178" s="336"/>
      <c r="I178" s="336"/>
      <c r="J178" s="336"/>
      <c r="K178" s="336"/>
      <c r="L178" s="335"/>
      <c r="M178" s="335"/>
    </row>
    <row r="179" spans="2:13" ht="14.25" x14ac:dyDescent="0.2">
      <c r="B179" s="216"/>
      <c r="C179" s="215"/>
      <c r="D179" s="335"/>
      <c r="E179" s="335"/>
      <c r="F179" s="335"/>
      <c r="G179" s="336"/>
      <c r="H179" s="336"/>
      <c r="I179" s="336"/>
      <c r="J179" s="336"/>
      <c r="K179" s="336"/>
      <c r="L179" s="335"/>
      <c r="M179" s="335"/>
    </row>
    <row r="180" spans="2:13" ht="14.25" x14ac:dyDescent="0.2">
      <c r="B180" s="216"/>
      <c r="C180" s="215"/>
      <c r="D180" s="335"/>
      <c r="E180" s="335"/>
      <c r="F180" s="335"/>
      <c r="G180" s="336"/>
      <c r="H180" s="336"/>
      <c r="I180" s="336"/>
      <c r="J180" s="336"/>
      <c r="K180" s="336"/>
      <c r="L180" s="335"/>
      <c r="M180" s="335"/>
    </row>
    <row r="181" spans="2:13" ht="14.25" x14ac:dyDescent="0.2">
      <c r="B181" s="216"/>
      <c r="C181" s="215"/>
      <c r="D181" s="335"/>
      <c r="E181" s="335"/>
      <c r="F181" s="335"/>
      <c r="G181" s="336"/>
      <c r="H181" s="336"/>
      <c r="I181" s="336"/>
      <c r="J181" s="336"/>
      <c r="K181" s="336"/>
      <c r="L181" s="335"/>
      <c r="M181" s="335"/>
    </row>
    <row r="182" spans="2:13" ht="14.25" x14ac:dyDescent="0.2">
      <c r="B182" s="216"/>
      <c r="C182" s="215"/>
      <c r="D182" s="335"/>
      <c r="E182" s="335"/>
      <c r="F182" s="335"/>
      <c r="G182" s="336"/>
      <c r="H182" s="336"/>
      <c r="I182" s="336"/>
      <c r="J182" s="336"/>
      <c r="K182" s="336"/>
      <c r="L182" s="335"/>
      <c r="M182" s="335"/>
    </row>
    <row r="183" spans="2:13" ht="14.25" x14ac:dyDescent="0.2">
      <c r="B183" s="216"/>
      <c r="C183" s="215"/>
      <c r="D183" s="335"/>
      <c r="E183" s="335"/>
      <c r="F183" s="335"/>
      <c r="G183" s="336"/>
      <c r="H183" s="336"/>
      <c r="I183" s="336"/>
      <c r="J183" s="336"/>
      <c r="K183" s="336"/>
      <c r="L183" s="335"/>
      <c r="M183" s="335"/>
    </row>
    <row r="184" spans="2:13" ht="14.25" x14ac:dyDescent="0.2">
      <c r="B184" s="216"/>
      <c r="C184" s="215"/>
      <c r="D184" s="335"/>
      <c r="E184" s="335"/>
      <c r="F184" s="335"/>
      <c r="G184" s="336"/>
      <c r="H184" s="336"/>
      <c r="I184" s="336"/>
      <c r="J184" s="336"/>
      <c r="K184" s="336"/>
      <c r="L184" s="335"/>
      <c r="M184" s="335"/>
    </row>
    <row r="185" spans="2:13" ht="14.25" x14ac:dyDescent="0.2">
      <c r="B185" s="216"/>
      <c r="C185" s="215"/>
      <c r="D185" s="335"/>
      <c r="E185" s="335"/>
      <c r="F185" s="335"/>
      <c r="G185" s="336"/>
      <c r="H185" s="336"/>
      <c r="I185" s="336"/>
      <c r="J185" s="336"/>
      <c r="K185" s="336"/>
      <c r="L185" s="335"/>
      <c r="M185" s="335"/>
    </row>
    <row r="186" spans="2:13" ht="14.25" x14ac:dyDescent="0.2">
      <c r="B186" s="216"/>
      <c r="C186" s="215"/>
      <c r="D186" s="335"/>
      <c r="E186" s="335"/>
      <c r="F186" s="335"/>
      <c r="G186" s="336"/>
      <c r="H186" s="336"/>
      <c r="I186" s="336"/>
      <c r="J186" s="336"/>
      <c r="K186" s="336"/>
      <c r="L186" s="335"/>
      <c r="M186" s="335"/>
    </row>
    <row r="187" spans="2:13" ht="14.25" x14ac:dyDescent="0.2">
      <c r="B187" s="216"/>
      <c r="C187" s="215"/>
      <c r="D187" s="335"/>
      <c r="E187" s="335"/>
      <c r="F187" s="335"/>
      <c r="G187" s="336"/>
      <c r="H187" s="336"/>
      <c r="I187" s="336"/>
      <c r="J187" s="336"/>
      <c r="K187" s="336"/>
      <c r="L187" s="335"/>
      <c r="M187" s="335"/>
    </row>
    <row r="188" spans="2:13" ht="14.25" x14ac:dyDescent="0.2">
      <c r="B188" s="216"/>
      <c r="C188" s="215"/>
      <c r="D188" s="335"/>
      <c r="E188" s="335"/>
      <c r="F188" s="335"/>
      <c r="G188" s="336"/>
      <c r="H188" s="336"/>
      <c r="I188" s="336"/>
      <c r="J188" s="336"/>
      <c r="K188" s="336"/>
      <c r="L188" s="335"/>
      <c r="M188" s="335"/>
    </row>
  </sheetData>
  <customSheetViews>
    <customSheetView guid="{40817DC6-4291-4A72-AC70-E8710064089B}" scale="80" showPageBreaks="1" showGridLines="0" fitToPage="1" printArea="1" view="pageBreakPreview" topLeftCell="A16">
      <selection activeCell="E37" sqref="E37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55B393C6-D96A-4245-BC73-FC5790070AA2}" scale="80" showPageBreaks="1" showGridLines="0" fitToPage="1" printArea="1" view="pageBreakPreview">
      <selection activeCell="J20" sqref="J20"/>
      <pageMargins left="0" right="0" top="0" bottom="0" header="0" footer="0"/>
      <printOptions horizontalCentered="1" verticalCentered="1"/>
      <pageSetup paperSize="9" scale="35" orientation="portrait" r:id="rId2"/>
    </customSheetView>
    <customSheetView guid="{C5333697-7BE7-4020-97A4-B735E526926D}" scale="80" showPageBreaks="1" showGridLines="0" fitToPage="1" printArea="1" view="pageBreakPreview">
      <selection activeCell="P14" sqref="P14"/>
      <pageMargins left="0" right="0" top="0" bottom="0" header="0" footer="0"/>
      <printOptions horizontalCentered="1" verticalCentered="1"/>
      <pageSetup paperSize="9" scale="34" orientation="portrait" r:id="rId3"/>
    </customSheetView>
    <customSheetView guid="{9C22FFE9-00CF-47D0-BD99-D84A00825140}" scale="80" showPageBreaks="1" showGridLines="0" fitToPage="1" printArea="1" view="pageBreakPreview">
      <selection activeCell="Q21" sqref="Q21"/>
      <pageMargins left="0" right="0" top="0" bottom="0" header="0" footer="0"/>
      <printOptions horizontalCentered="1" verticalCentered="1"/>
      <pageSetup paperSize="9" scale="34" orientation="portrait" r:id="rId4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84358BC0-E9C0-4E7F-9103-6278DC6FD244}">
      <formula1>INDIRECT(D63)</formula1>
    </dataValidation>
  </dataValidations>
  <hyperlinks>
    <hyperlink ref="J14:L15" location="Summary!A1" display="MTD Summary " xr:uid="{39E93507-E3CB-4239-B74F-CEDD003479CC}"/>
    <hyperlink ref="J16:L17" location="Graph!A1" display="MTD Trendings" xr:uid="{BC6A943D-EDC7-4C54-9F0C-10ACF8E7F3A0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14F51EE-DC9C-4AB5-8CCE-633C47C9D1B5}">
          <x14:formula1>
            <xm:f>Sheet3!$B$3:$B$5</xm:f>
          </x14:formula1>
          <xm:sqref>B143:B165 B132</xm:sqref>
        </x14:dataValidation>
        <x14:dataValidation type="list" allowBlank="1" showInputMessage="1" xr:uid="{2035FC69-2B84-458C-AB55-CE1346E5C6DD}">
          <x14:formula1>
            <xm:f>Sheet3!$D$3:$D$11</xm:f>
          </x14:formula1>
          <xm:sqref>C132</xm:sqref>
        </x14:dataValidation>
        <x14:dataValidation type="list" allowBlank="1" showInputMessage="1" showErrorMessage="1" xr:uid="{01FA872A-3545-4EF0-B9EF-BBB73D7AAC72}">
          <x14:formula1>
            <xm:f>Sheet3!$C$3:$C$4</xm:f>
          </x14:formula1>
          <xm:sqref>M63:M132</xm:sqref>
        </x14:dataValidation>
        <x14:dataValidation type="list" allowBlank="1" showInputMessage="1" showErrorMessage="1" xr:uid="{3351850B-1603-4F2C-8622-E01C49CBC12C}">
          <x14:formula1>
            <xm:f>List!$B$5:$B$8</xm:f>
          </x14:formula1>
          <xm:sqref>B63:B131</xm:sqref>
        </x14:dataValidation>
        <x14:dataValidation type="list" allowBlank="1" showInputMessage="1" showErrorMessage="1" xr:uid="{BF06F3B0-C43C-4FD0-BBFE-D75037A043F0}">
          <x14:formula1>
            <xm:f>List!$B$10:$B$12</xm:f>
          </x14:formula1>
          <xm:sqref>C63:C131</xm:sqref>
        </x14:dataValidation>
        <x14:dataValidation type="list" allowBlank="1" showInputMessage="1" showErrorMessage="1" xr:uid="{9E7C0623-B596-4222-823B-F36F20FFCFD9}">
          <x14:formula1>
            <xm:f>List!$C$5:$C$14</xm:f>
          </x14:formula1>
          <xm:sqref>D63:D131</xm:sqref>
        </x14:dataValidation>
      </x14:dataValidation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21D0-7638-4915-AD79-D5B064C8FEB3}">
  <dimension ref="A1:AZ90"/>
  <sheetViews>
    <sheetView showGridLines="0" workbookViewId="0">
      <pane xSplit="4" ySplit="2" topLeftCell="N3" activePane="bottomRight" state="frozen"/>
      <selection pane="topRight" activeCell="H7" sqref="H7"/>
      <selection pane="bottomLeft" activeCell="H7" sqref="H7"/>
      <selection pane="bottomRight" activeCell="H7" sqref="H7"/>
    </sheetView>
  </sheetViews>
  <sheetFormatPr defaultColWidth="9.140625" defaultRowHeight="15" outlineLevelCol="1" x14ac:dyDescent="0.25"/>
  <cols>
    <col min="1" max="1" width="22" style="240" hidden="1" customWidth="1" outlineLevel="1"/>
    <col min="2" max="2" width="10.28515625" style="240" bestFit="1" customWidth="1" collapsed="1"/>
    <col min="3" max="3" width="9" style="240" bestFit="1" customWidth="1"/>
    <col min="4" max="4" width="12.28515625" style="240" bestFit="1" customWidth="1"/>
    <col min="5" max="6" width="9.140625" style="240"/>
    <col min="7" max="7" width="12.85546875" style="240" customWidth="1"/>
    <col min="8" max="16384" width="9.140625" style="240"/>
  </cols>
  <sheetData>
    <row r="1" spans="1:52" x14ac:dyDescent="0.25">
      <c r="F1" s="240">
        <v>19</v>
      </c>
      <c r="G1" s="240">
        <v>20</v>
      </c>
      <c r="H1" s="240">
        <v>21</v>
      </c>
      <c r="I1" s="240">
        <v>22</v>
      </c>
      <c r="J1" s="240">
        <v>23</v>
      </c>
      <c r="K1" s="240">
        <v>24</v>
      </c>
      <c r="L1" s="240">
        <v>25</v>
      </c>
      <c r="M1" s="240">
        <v>26</v>
      </c>
      <c r="N1" s="240">
        <v>27</v>
      </c>
      <c r="O1" s="240">
        <v>28</v>
      </c>
      <c r="P1" s="240">
        <v>29</v>
      </c>
      <c r="Q1" s="240">
        <v>30</v>
      </c>
      <c r="R1" s="240">
        <v>31</v>
      </c>
      <c r="S1" s="240">
        <v>32</v>
      </c>
      <c r="T1" s="240">
        <v>33</v>
      </c>
    </row>
    <row r="2" spans="1:52" x14ac:dyDescent="0.25">
      <c r="A2" s="241" t="s">
        <v>1397</v>
      </c>
      <c r="B2" s="241" t="s">
        <v>1398</v>
      </c>
      <c r="C2" s="241" t="s">
        <v>1399</v>
      </c>
      <c r="D2" s="241" t="s">
        <v>1400</v>
      </c>
      <c r="E2" s="241" t="s">
        <v>1401</v>
      </c>
      <c r="F2" s="242">
        <v>44060</v>
      </c>
      <c r="G2" s="242">
        <f t="shared" ref="G2:Q2" si="0">F2+1</f>
        <v>44061</v>
      </c>
      <c r="H2" s="242">
        <f t="shared" si="0"/>
        <v>44062</v>
      </c>
      <c r="I2" s="242">
        <f t="shared" si="0"/>
        <v>44063</v>
      </c>
      <c r="J2" s="242">
        <f t="shared" si="0"/>
        <v>44064</v>
      </c>
      <c r="K2" s="243">
        <f t="shared" si="0"/>
        <v>44065</v>
      </c>
      <c r="L2" s="243">
        <f t="shared" si="0"/>
        <v>44066</v>
      </c>
      <c r="M2" s="242">
        <f t="shared" si="0"/>
        <v>44067</v>
      </c>
      <c r="N2" s="242">
        <f t="shared" si="0"/>
        <v>44068</v>
      </c>
      <c r="O2" s="242">
        <f t="shared" si="0"/>
        <v>44069</v>
      </c>
      <c r="P2" s="242">
        <f t="shared" si="0"/>
        <v>44070</v>
      </c>
      <c r="Q2" s="242">
        <f t="shared" si="0"/>
        <v>44071</v>
      </c>
      <c r="R2" s="243">
        <f>Q2+1</f>
        <v>44072</v>
      </c>
      <c r="S2" s="243">
        <f t="shared" ref="S2:AZ2" si="1">R2+1</f>
        <v>44073</v>
      </c>
      <c r="T2" s="242">
        <f t="shared" si="1"/>
        <v>44074</v>
      </c>
      <c r="U2" s="242">
        <f t="shared" si="1"/>
        <v>44075</v>
      </c>
      <c r="V2" s="242">
        <f t="shared" si="1"/>
        <v>44076</v>
      </c>
      <c r="W2" s="242">
        <f t="shared" si="1"/>
        <v>44077</v>
      </c>
      <c r="X2" s="242">
        <f t="shared" si="1"/>
        <v>44078</v>
      </c>
      <c r="Y2" s="243">
        <f t="shared" si="1"/>
        <v>44079</v>
      </c>
      <c r="Z2" s="243">
        <f t="shared" si="1"/>
        <v>44080</v>
      </c>
      <c r="AA2" s="242">
        <f t="shared" si="1"/>
        <v>44081</v>
      </c>
      <c r="AB2" s="242">
        <f t="shared" si="1"/>
        <v>44082</v>
      </c>
      <c r="AC2" s="242">
        <f t="shared" si="1"/>
        <v>44083</v>
      </c>
      <c r="AD2" s="242">
        <f t="shared" si="1"/>
        <v>44084</v>
      </c>
      <c r="AE2" s="242">
        <f t="shared" si="1"/>
        <v>44085</v>
      </c>
      <c r="AF2" s="243">
        <f t="shared" si="1"/>
        <v>44086</v>
      </c>
      <c r="AG2" s="243">
        <f t="shared" si="1"/>
        <v>44087</v>
      </c>
      <c r="AH2" s="242">
        <f t="shared" si="1"/>
        <v>44088</v>
      </c>
      <c r="AI2" s="242">
        <f t="shared" si="1"/>
        <v>44089</v>
      </c>
      <c r="AJ2" s="242">
        <f t="shared" si="1"/>
        <v>44090</v>
      </c>
      <c r="AK2" s="242">
        <f t="shared" si="1"/>
        <v>44091</v>
      </c>
      <c r="AL2" s="242">
        <f t="shared" si="1"/>
        <v>44092</v>
      </c>
      <c r="AM2" s="243">
        <f t="shared" si="1"/>
        <v>44093</v>
      </c>
      <c r="AN2" s="243">
        <f t="shared" si="1"/>
        <v>44094</v>
      </c>
      <c r="AO2" s="242">
        <f t="shared" si="1"/>
        <v>44095</v>
      </c>
      <c r="AP2" s="242">
        <f t="shared" si="1"/>
        <v>44096</v>
      </c>
      <c r="AQ2" s="242">
        <f t="shared" si="1"/>
        <v>44097</v>
      </c>
      <c r="AR2" s="242">
        <f t="shared" si="1"/>
        <v>44098</v>
      </c>
      <c r="AS2" s="242">
        <f t="shared" si="1"/>
        <v>44099</v>
      </c>
      <c r="AT2" s="242">
        <f t="shared" si="1"/>
        <v>44100</v>
      </c>
      <c r="AU2" s="242">
        <f t="shared" si="1"/>
        <v>44101</v>
      </c>
      <c r="AV2" s="242">
        <f t="shared" si="1"/>
        <v>44102</v>
      </c>
      <c r="AW2" s="242">
        <f t="shared" si="1"/>
        <v>44103</v>
      </c>
      <c r="AX2" s="242">
        <f t="shared" si="1"/>
        <v>44104</v>
      </c>
      <c r="AY2" s="242">
        <f t="shared" si="1"/>
        <v>44105</v>
      </c>
      <c r="AZ2" s="242">
        <f t="shared" si="1"/>
        <v>44106</v>
      </c>
    </row>
    <row r="3" spans="1:52" x14ac:dyDescent="0.25">
      <c r="A3" s="241" t="str">
        <f t="shared" ref="A3:A4" si="2">CONCATENATE(B3,D3)</f>
        <v>LOA1-500Forecast</v>
      </c>
      <c r="B3" s="241" t="s">
        <v>1402</v>
      </c>
      <c r="C3" s="241">
        <v>22000015</v>
      </c>
      <c r="D3" s="241" t="s">
        <v>1403</v>
      </c>
      <c r="E3" s="241">
        <f>800/20</f>
        <v>40</v>
      </c>
      <c r="F3" s="241">
        <v>30</v>
      </c>
      <c r="G3" s="241">
        <v>20</v>
      </c>
      <c r="H3" s="241">
        <v>30</v>
      </c>
      <c r="I3" s="241">
        <v>50</v>
      </c>
      <c r="J3" s="241">
        <v>30</v>
      </c>
      <c r="K3" s="241">
        <v>20</v>
      </c>
      <c r="L3" s="241">
        <v>0</v>
      </c>
      <c r="M3" s="241">
        <v>10</v>
      </c>
      <c r="N3" s="241">
        <v>10</v>
      </c>
      <c r="O3" s="241">
        <v>30</v>
      </c>
      <c r="P3" s="241">
        <v>40</v>
      </c>
      <c r="Q3" s="241">
        <v>20</v>
      </c>
      <c r="R3" s="241">
        <v>20</v>
      </c>
      <c r="S3" s="241">
        <v>0</v>
      </c>
      <c r="T3" s="241">
        <v>40</v>
      </c>
      <c r="U3" s="241">
        <v>40</v>
      </c>
      <c r="V3" s="241">
        <v>40</v>
      </c>
      <c r="W3" s="241">
        <v>40</v>
      </c>
      <c r="X3" s="241">
        <v>40</v>
      </c>
      <c r="Y3" s="241">
        <v>40</v>
      </c>
      <c r="Z3" s="241">
        <v>0</v>
      </c>
      <c r="AA3" s="241">
        <v>40</v>
      </c>
      <c r="AB3" s="241">
        <v>40</v>
      </c>
      <c r="AC3" s="241">
        <v>40</v>
      </c>
      <c r="AD3" s="241">
        <v>40</v>
      </c>
      <c r="AE3" s="241">
        <v>40</v>
      </c>
      <c r="AF3" s="241">
        <v>40</v>
      </c>
      <c r="AG3" s="241">
        <v>0</v>
      </c>
      <c r="AH3" s="241">
        <v>40</v>
      </c>
      <c r="AI3" s="241">
        <v>40</v>
      </c>
      <c r="AJ3" s="241">
        <v>40</v>
      </c>
      <c r="AK3" s="241">
        <v>40</v>
      </c>
      <c r="AL3" s="241">
        <v>40</v>
      </c>
      <c r="AM3" s="241">
        <v>40</v>
      </c>
      <c r="AN3" s="241">
        <v>0</v>
      </c>
      <c r="AO3" s="241">
        <v>40</v>
      </c>
      <c r="AP3" s="241">
        <v>40</v>
      </c>
      <c r="AQ3" s="241">
        <v>40</v>
      </c>
      <c r="AR3" s="241">
        <v>40</v>
      </c>
      <c r="AS3" s="241">
        <v>40</v>
      </c>
      <c r="AT3" s="241">
        <v>40</v>
      </c>
      <c r="AU3" s="241">
        <v>40</v>
      </c>
      <c r="AV3" s="241">
        <v>40</v>
      </c>
      <c r="AW3" s="241">
        <v>40</v>
      </c>
      <c r="AX3" s="241">
        <v>40</v>
      </c>
      <c r="AY3" s="241">
        <v>40</v>
      </c>
      <c r="AZ3" s="241">
        <v>40</v>
      </c>
    </row>
    <row r="4" spans="1:52" x14ac:dyDescent="0.25">
      <c r="A4" s="241" t="str">
        <f t="shared" si="2"/>
        <v>LOA1-500Total OR</v>
      </c>
      <c r="B4" s="241" t="s">
        <v>1402</v>
      </c>
      <c r="C4" s="241">
        <v>22000015</v>
      </c>
      <c r="D4" s="241" t="s">
        <v>1404</v>
      </c>
      <c r="E4" s="241"/>
      <c r="F4" s="241">
        <v>0</v>
      </c>
      <c r="G4" s="241">
        <v>10</v>
      </c>
      <c r="H4" s="241">
        <v>40</v>
      </c>
      <c r="I4" s="241">
        <v>0</v>
      </c>
      <c r="J4" s="241">
        <v>50</v>
      </c>
      <c r="K4" s="241">
        <v>40</v>
      </c>
      <c r="L4" s="241">
        <v>0</v>
      </c>
      <c r="M4" s="241">
        <v>40</v>
      </c>
      <c r="N4" s="241">
        <v>20</v>
      </c>
      <c r="O4" s="241">
        <v>30</v>
      </c>
      <c r="P4" s="241">
        <v>40</v>
      </c>
      <c r="Q4" s="241">
        <v>20</v>
      </c>
      <c r="R4" s="241">
        <v>20</v>
      </c>
      <c r="S4" s="241">
        <v>0</v>
      </c>
      <c r="T4" s="241">
        <v>40</v>
      </c>
      <c r="U4" s="241">
        <v>40</v>
      </c>
      <c r="V4" s="241">
        <v>40</v>
      </c>
      <c r="W4" s="241">
        <v>40</v>
      </c>
      <c r="X4" s="241">
        <v>40</v>
      </c>
      <c r="Y4" s="241">
        <v>40</v>
      </c>
      <c r="Z4" s="241">
        <v>0</v>
      </c>
      <c r="AA4" s="241">
        <v>40</v>
      </c>
      <c r="AB4" s="241">
        <v>40</v>
      </c>
      <c r="AC4" s="241">
        <v>40</v>
      </c>
      <c r="AD4" s="241">
        <v>40</v>
      </c>
      <c r="AE4" s="241">
        <v>40</v>
      </c>
      <c r="AF4" s="241">
        <v>40</v>
      </c>
      <c r="AG4" s="241">
        <v>0</v>
      </c>
      <c r="AH4" s="241">
        <v>40</v>
      </c>
      <c r="AI4" s="241">
        <v>40</v>
      </c>
      <c r="AJ4" s="241">
        <v>40</v>
      </c>
      <c r="AK4" s="241">
        <v>40</v>
      </c>
      <c r="AL4" s="241">
        <v>40</v>
      </c>
      <c r="AM4" s="241">
        <v>40</v>
      </c>
      <c r="AN4" s="241">
        <v>0</v>
      </c>
      <c r="AO4" s="241">
        <v>40</v>
      </c>
      <c r="AP4" s="241">
        <v>40</v>
      </c>
      <c r="AQ4" s="241">
        <v>40</v>
      </c>
      <c r="AR4" s="241">
        <v>40</v>
      </c>
      <c r="AS4" s="241">
        <v>40</v>
      </c>
      <c r="AT4" s="241">
        <v>40</v>
      </c>
      <c r="AU4" s="241">
        <v>40</v>
      </c>
      <c r="AV4" s="241">
        <v>40</v>
      </c>
      <c r="AW4" s="241">
        <v>40</v>
      </c>
      <c r="AX4" s="241">
        <v>40</v>
      </c>
      <c r="AY4" s="241">
        <v>40</v>
      </c>
      <c r="AZ4" s="241">
        <v>40</v>
      </c>
    </row>
    <row r="5" spans="1:52" x14ac:dyDescent="0.25">
      <c r="A5" s="244" t="str">
        <f>CONCATENATE(B5,D5)</f>
        <v>LOA1-500Prod Plan</v>
      </c>
      <c r="B5" s="244" t="s">
        <v>1402</v>
      </c>
      <c r="C5" s="244">
        <v>22000015</v>
      </c>
      <c r="D5" s="244" t="s">
        <v>1405</v>
      </c>
      <c r="E5" s="244">
        <v>20</v>
      </c>
      <c r="F5" s="245">
        <v>50</v>
      </c>
      <c r="G5" s="244">
        <v>50</v>
      </c>
      <c r="H5" s="244">
        <v>50</v>
      </c>
      <c r="I5" s="244">
        <v>50</v>
      </c>
      <c r="J5" s="244">
        <v>50</v>
      </c>
      <c r="K5" s="244">
        <v>50</v>
      </c>
      <c r="L5" s="244">
        <v>50</v>
      </c>
      <c r="M5" s="244">
        <v>50</v>
      </c>
      <c r="N5" s="244">
        <v>50</v>
      </c>
      <c r="O5" s="244">
        <v>50</v>
      </c>
      <c r="P5" s="244">
        <v>50</v>
      </c>
      <c r="Q5" s="244">
        <v>50</v>
      </c>
      <c r="R5" s="244">
        <v>50</v>
      </c>
      <c r="S5" s="244">
        <v>50</v>
      </c>
      <c r="T5" s="244">
        <v>50</v>
      </c>
      <c r="U5" s="244">
        <v>50</v>
      </c>
      <c r="V5" s="244">
        <v>50</v>
      </c>
      <c r="W5" s="244">
        <v>50</v>
      </c>
      <c r="X5" s="244">
        <v>50</v>
      </c>
      <c r="Y5" s="244">
        <v>50</v>
      </c>
      <c r="Z5" s="244">
        <v>50</v>
      </c>
      <c r="AA5" s="244">
        <v>50</v>
      </c>
      <c r="AB5" s="244">
        <v>50</v>
      </c>
      <c r="AC5" s="244">
        <v>50</v>
      </c>
      <c r="AD5" s="244">
        <v>50</v>
      </c>
      <c r="AE5" s="244">
        <v>50</v>
      </c>
      <c r="AF5" s="244">
        <v>50</v>
      </c>
      <c r="AG5" s="244">
        <v>50</v>
      </c>
      <c r="AH5" s="244">
        <v>50</v>
      </c>
      <c r="AI5" s="244">
        <v>50</v>
      </c>
      <c r="AJ5" s="244">
        <v>50</v>
      </c>
      <c r="AK5" s="244">
        <v>50</v>
      </c>
      <c r="AL5" s="244">
        <v>50</v>
      </c>
      <c r="AM5" s="244">
        <v>50</v>
      </c>
      <c r="AN5" s="244">
        <v>50</v>
      </c>
      <c r="AO5" s="244">
        <v>50</v>
      </c>
      <c r="AP5" s="244">
        <v>50</v>
      </c>
      <c r="AQ5" s="244">
        <v>50</v>
      </c>
      <c r="AR5" s="244">
        <v>50</v>
      </c>
      <c r="AS5" s="244">
        <v>50</v>
      </c>
      <c r="AT5" s="244">
        <v>50</v>
      </c>
      <c r="AU5" s="244">
        <v>50</v>
      </c>
      <c r="AV5" s="244">
        <v>50</v>
      </c>
      <c r="AW5" s="244">
        <v>50</v>
      </c>
      <c r="AX5" s="244">
        <v>50</v>
      </c>
      <c r="AY5" s="244">
        <v>50</v>
      </c>
      <c r="AZ5" s="244">
        <v>50</v>
      </c>
    </row>
    <row r="6" spans="1:52" x14ac:dyDescent="0.25">
      <c r="A6" s="246" t="str">
        <f t="shared" ref="A6:A69" si="3">CONCATENATE(B6,D6)</f>
        <v>LOA1-500Prod Receipt</v>
      </c>
      <c r="B6" s="246" t="s">
        <v>1402</v>
      </c>
      <c r="C6" s="246">
        <v>22000015</v>
      </c>
      <c r="D6" s="246" t="s">
        <v>1406</v>
      </c>
      <c r="E6" s="246"/>
      <c r="F6" s="246" t="e">
        <f>VLOOKUP($C6,#REF!,F$1,0)</f>
        <v>#REF!</v>
      </c>
      <c r="G6" s="246" t="e">
        <f>VLOOKUP($C6,#REF!,G$1,0)</f>
        <v>#REF!</v>
      </c>
      <c r="H6" s="246" t="e">
        <f>VLOOKUP($C6,#REF!,H$1,0)</f>
        <v>#REF!</v>
      </c>
      <c r="I6" s="246" t="e">
        <f>VLOOKUP($C6,#REF!,I$1,0)</f>
        <v>#REF!</v>
      </c>
      <c r="J6" s="246" t="e">
        <f>VLOOKUP($C6,#REF!,J$1,0)</f>
        <v>#REF!</v>
      </c>
      <c r="K6" s="246" t="e">
        <f>VLOOKUP($C6,#REF!,K$1,0)</f>
        <v>#REF!</v>
      </c>
      <c r="L6" s="246" t="e">
        <f>VLOOKUP($C6,#REF!,L$1,0)</f>
        <v>#REF!</v>
      </c>
      <c r="M6" s="246" t="e">
        <f>VLOOKUP($C6,#REF!,M$1,0)</f>
        <v>#REF!</v>
      </c>
      <c r="N6" s="246" t="e">
        <f>VLOOKUP($C6,#REF!,N$1,0)</f>
        <v>#REF!</v>
      </c>
      <c r="O6" s="246" t="e">
        <f>VLOOKUP($C6,#REF!,O$1,0)</f>
        <v>#REF!</v>
      </c>
      <c r="P6" s="246" t="e">
        <f>VLOOKUP($C6,#REF!,P$1,0)</f>
        <v>#REF!</v>
      </c>
      <c r="Q6" s="246" t="e">
        <f>VLOOKUP($C6,#REF!,Q$1,0)</f>
        <v>#REF!</v>
      </c>
      <c r="R6" s="246" t="e">
        <f>VLOOKUP($C6,#REF!,R$1,0)</f>
        <v>#REF!</v>
      </c>
      <c r="S6" s="246" t="e">
        <f>VLOOKUP($C6,#REF!,S$1,0)</f>
        <v>#REF!</v>
      </c>
      <c r="T6" s="246" t="e">
        <f>VLOOKUP($C6,#REF!,T$1,0)</f>
        <v>#REF!</v>
      </c>
      <c r="U6" s="246"/>
      <c r="V6" s="246"/>
      <c r="W6" s="246"/>
      <c r="X6" s="246"/>
      <c r="Y6" s="246"/>
      <c r="Z6" s="246"/>
      <c r="AA6" s="246"/>
      <c r="AB6" s="246"/>
      <c r="AC6" s="246"/>
      <c r="AD6" s="246"/>
      <c r="AE6" s="246"/>
      <c r="AF6" s="246"/>
      <c r="AG6" s="246"/>
      <c r="AH6" s="246"/>
      <c r="AI6" s="246"/>
      <c r="AJ6" s="246"/>
      <c r="AK6" s="246"/>
      <c r="AL6" s="246"/>
      <c r="AM6" s="246"/>
      <c r="AN6" s="246"/>
      <c r="AO6" s="246"/>
      <c r="AP6" s="246"/>
      <c r="AQ6" s="246"/>
      <c r="AR6" s="246"/>
      <c r="AS6" s="246"/>
      <c r="AT6" s="246"/>
      <c r="AU6" s="246"/>
      <c r="AV6" s="246"/>
      <c r="AW6" s="246"/>
      <c r="AX6" s="246"/>
      <c r="AY6" s="246"/>
      <c r="AZ6" s="246"/>
    </row>
    <row r="7" spans="1:52" x14ac:dyDescent="0.25">
      <c r="A7" s="241" t="str">
        <f t="shared" si="3"/>
        <v>LOA1-500Total Suppy</v>
      </c>
      <c r="B7" s="241" t="s">
        <v>1402</v>
      </c>
      <c r="C7" s="241">
        <v>22000015</v>
      </c>
      <c r="D7" s="241" t="s">
        <v>1407</v>
      </c>
      <c r="E7" s="241"/>
      <c r="F7" s="241">
        <v>0</v>
      </c>
      <c r="G7" s="241">
        <v>0</v>
      </c>
      <c r="H7" s="241">
        <v>0</v>
      </c>
      <c r="I7" s="245" t="e">
        <f t="shared" ref="I7:X7" si="4">+F6</f>
        <v>#REF!</v>
      </c>
      <c r="J7" s="241" t="e">
        <f t="shared" si="4"/>
        <v>#REF!</v>
      </c>
      <c r="K7" s="241" t="e">
        <f t="shared" si="4"/>
        <v>#REF!</v>
      </c>
      <c r="L7" s="241" t="e">
        <f t="shared" si="4"/>
        <v>#REF!</v>
      </c>
      <c r="M7" s="241" t="e">
        <f t="shared" si="4"/>
        <v>#REF!</v>
      </c>
      <c r="N7" s="241" t="e">
        <f t="shared" si="4"/>
        <v>#REF!</v>
      </c>
      <c r="O7" s="241" t="e">
        <f t="shared" si="4"/>
        <v>#REF!</v>
      </c>
      <c r="P7" s="241" t="e">
        <f t="shared" si="4"/>
        <v>#REF!</v>
      </c>
      <c r="Q7" s="241" t="e">
        <f t="shared" si="4"/>
        <v>#REF!</v>
      </c>
      <c r="R7" s="241" t="e">
        <f t="shared" si="4"/>
        <v>#REF!</v>
      </c>
      <c r="S7" s="241" t="e">
        <f t="shared" si="4"/>
        <v>#REF!</v>
      </c>
      <c r="T7" s="241" t="e">
        <f t="shared" si="4"/>
        <v>#REF!</v>
      </c>
      <c r="U7" s="241" t="e">
        <f t="shared" si="4"/>
        <v>#REF!</v>
      </c>
      <c r="V7" s="241" t="e">
        <f t="shared" si="4"/>
        <v>#REF!</v>
      </c>
      <c r="W7" s="241" t="e">
        <f t="shared" si="4"/>
        <v>#REF!</v>
      </c>
      <c r="X7" s="241">
        <f t="shared" si="4"/>
        <v>0</v>
      </c>
      <c r="Y7" s="241"/>
      <c r="Z7" s="241"/>
      <c r="AA7" s="241"/>
      <c r="AB7" s="241"/>
      <c r="AC7" s="241"/>
      <c r="AD7" s="241"/>
      <c r="AE7" s="241"/>
      <c r="AF7" s="241"/>
      <c r="AG7" s="241"/>
      <c r="AH7" s="241"/>
      <c r="AI7" s="241"/>
      <c r="AJ7" s="241"/>
      <c r="AK7" s="241"/>
      <c r="AL7" s="241"/>
      <c r="AM7" s="241"/>
      <c r="AN7" s="241"/>
      <c r="AO7" s="241"/>
      <c r="AP7" s="241"/>
      <c r="AQ7" s="241"/>
      <c r="AR7" s="241"/>
      <c r="AS7" s="241"/>
      <c r="AT7" s="241"/>
      <c r="AU7" s="241"/>
      <c r="AV7" s="241"/>
      <c r="AW7" s="241"/>
      <c r="AX7" s="241"/>
      <c r="AY7" s="241"/>
      <c r="AZ7" s="241"/>
    </row>
    <row r="8" spans="1:52" x14ac:dyDescent="0.25">
      <c r="A8" s="247" t="str">
        <f t="shared" si="3"/>
        <v>LOA1-500Closing Stks</v>
      </c>
      <c r="B8" s="247" t="s">
        <v>1402</v>
      </c>
      <c r="C8" s="247">
        <v>22000015</v>
      </c>
      <c r="D8" s="247" t="s">
        <v>1408</v>
      </c>
      <c r="E8" s="247"/>
      <c r="F8" s="248">
        <f>E5+F7-F4</f>
        <v>20</v>
      </c>
      <c r="G8" s="248">
        <f t="shared" ref="G8:O8" si="5">F8+G7-G4</f>
        <v>10</v>
      </c>
      <c r="H8" s="248">
        <f t="shared" si="5"/>
        <v>-30</v>
      </c>
      <c r="I8" s="248" t="e">
        <f t="shared" si="5"/>
        <v>#REF!</v>
      </c>
      <c r="J8" s="248" t="e">
        <f t="shared" si="5"/>
        <v>#REF!</v>
      </c>
      <c r="K8" s="248" t="e">
        <f t="shared" si="5"/>
        <v>#REF!</v>
      </c>
      <c r="L8" s="248" t="e">
        <f t="shared" si="5"/>
        <v>#REF!</v>
      </c>
      <c r="M8" s="248" t="e">
        <f t="shared" si="5"/>
        <v>#REF!</v>
      </c>
      <c r="N8" s="248" t="e">
        <f t="shared" si="5"/>
        <v>#REF!</v>
      </c>
      <c r="O8" s="248" t="e">
        <f t="shared" si="5"/>
        <v>#REF!</v>
      </c>
      <c r="P8" s="248" t="e">
        <f>O8+P5-P4</f>
        <v>#REF!</v>
      </c>
      <c r="Q8" s="248" t="e">
        <f t="shared" ref="Q8:AZ8" si="6">P8+Q5-Q4</f>
        <v>#REF!</v>
      </c>
      <c r="R8" s="248" t="e">
        <f t="shared" si="6"/>
        <v>#REF!</v>
      </c>
      <c r="S8" s="248" t="e">
        <f t="shared" si="6"/>
        <v>#REF!</v>
      </c>
      <c r="T8" s="248" t="e">
        <f t="shared" si="6"/>
        <v>#REF!</v>
      </c>
      <c r="U8" s="248" t="e">
        <f t="shared" si="6"/>
        <v>#REF!</v>
      </c>
      <c r="V8" s="248" t="e">
        <f t="shared" si="6"/>
        <v>#REF!</v>
      </c>
      <c r="W8" s="248" t="e">
        <f t="shared" si="6"/>
        <v>#REF!</v>
      </c>
      <c r="X8" s="248" t="e">
        <f t="shared" si="6"/>
        <v>#REF!</v>
      </c>
      <c r="Y8" s="248" t="e">
        <f t="shared" si="6"/>
        <v>#REF!</v>
      </c>
      <c r="Z8" s="248" t="e">
        <f t="shared" si="6"/>
        <v>#REF!</v>
      </c>
      <c r="AA8" s="248" t="e">
        <f t="shared" si="6"/>
        <v>#REF!</v>
      </c>
      <c r="AB8" s="248" t="e">
        <f t="shared" si="6"/>
        <v>#REF!</v>
      </c>
      <c r="AC8" s="248" t="e">
        <f t="shared" si="6"/>
        <v>#REF!</v>
      </c>
      <c r="AD8" s="248" t="e">
        <f t="shared" si="6"/>
        <v>#REF!</v>
      </c>
      <c r="AE8" s="248" t="e">
        <f t="shared" si="6"/>
        <v>#REF!</v>
      </c>
      <c r="AF8" s="248" t="e">
        <f t="shared" si="6"/>
        <v>#REF!</v>
      </c>
      <c r="AG8" s="248" t="e">
        <f t="shared" si="6"/>
        <v>#REF!</v>
      </c>
      <c r="AH8" s="248" t="e">
        <f t="shared" si="6"/>
        <v>#REF!</v>
      </c>
      <c r="AI8" s="248" t="e">
        <f t="shared" si="6"/>
        <v>#REF!</v>
      </c>
      <c r="AJ8" s="248" t="e">
        <f t="shared" si="6"/>
        <v>#REF!</v>
      </c>
      <c r="AK8" s="248" t="e">
        <f t="shared" si="6"/>
        <v>#REF!</v>
      </c>
      <c r="AL8" s="248" t="e">
        <f t="shared" si="6"/>
        <v>#REF!</v>
      </c>
      <c r="AM8" s="248" t="e">
        <f t="shared" si="6"/>
        <v>#REF!</v>
      </c>
      <c r="AN8" s="248" t="e">
        <f t="shared" si="6"/>
        <v>#REF!</v>
      </c>
      <c r="AO8" s="248" t="e">
        <f t="shared" si="6"/>
        <v>#REF!</v>
      </c>
      <c r="AP8" s="248" t="e">
        <f t="shared" si="6"/>
        <v>#REF!</v>
      </c>
      <c r="AQ8" s="248" t="e">
        <f t="shared" si="6"/>
        <v>#REF!</v>
      </c>
      <c r="AR8" s="248" t="e">
        <f t="shared" si="6"/>
        <v>#REF!</v>
      </c>
      <c r="AS8" s="248" t="e">
        <f t="shared" si="6"/>
        <v>#REF!</v>
      </c>
      <c r="AT8" s="248" t="e">
        <f t="shared" si="6"/>
        <v>#REF!</v>
      </c>
      <c r="AU8" s="248" t="e">
        <f t="shared" si="6"/>
        <v>#REF!</v>
      </c>
      <c r="AV8" s="248" t="e">
        <f t="shared" si="6"/>
        <v>#REF!</v>
      </c>
      <c r="AW8" s="248" t="e">
        <f t="shared" si="6"/>
        <v>#REF!</v>
      </c>
      <c r="AX8" s="248" t="e">
        <f t="shared" si="6"/>
        <v>#REF!</v>
      </c>
      <c r="AY8" s="248" t="e">
        <f t="shared" si="6"/>
        <v>#REF!</v>
      </c>
      <c r="AZ8" s="248" t="e">
        <f t="shared" si="6"/>
        <v>#REF!</v>
      </c>
    </row>
    <row r="9" spans="1:52" x14ac:dyDescent="0.25">
      <c r="A9" s="241" t="str">
        <f t="shared" si="3"/>
        <v>LOC1Forecast</v>
      </c>
      <c r="B9" s="241" t="s">
        <v>367</v>
      </c>
      <c r="C9" s="241">
        <v>22000071</v>
      </c>
      <c r="D9" s="241" t="s">
        <v>1403</v>
      </c>
      <c r="E9" s="241"/>
      <c r="F9" s="241">
        <v>540</v>
      </c>
      <c r="G9" s="241">
        <v>540</v>
      </c>
      <c r="H9" s="241">
        <v>540</v>
      </c>
      <c r="I9" s="241">
        <v>540</v>
      </c>
      <c r="J9" s="241">
        <v>540</v>
      </c>
      <c r="K9" s="241">
        <v>300</v>
      </c>
      <c r="L9" s="241">
        <v>0</v>
      </c>
      <c r="M9" s="241">
        <v>540</v>
      </c>
      <c r="N9" s="241">
        <v>540</v>
      </c>
      <c r="O9" s="241">
        <v>540</v>
      </c>
      <c r="P9" s="241">
        <v>540</v>
      </c>
      <c r="Q9" s="241">
        <v>540</v>
      </c>
      <c r="R9" s="241">
        <v>300</v>
      </c>
      <c r="S9" s="241">
        <v>0</v>
      </c>
      <c r="T9" s="241">
        <v>540</v>
      </c>
      <c r="U9" s="241">
        <v>540</v>
      </c>
      <c r="V9" s="241">
        <v>540</v>
      </c>
      <c r="W9" s="241">
        <v>540</v>
      </c>
      <c r="X9" s="241">
        <v>540</v>
      </c>
      <c r="Y9" s="241">
        <v>540</v>
      </c>
      <c r="Z9" s="241">
        <v>0</v>
      </c>
      <c r="AA9" s="241">
        <v>540</v>
      </c>
      <c r="AB9" s="241">
        <v>540</v>
      </c>
      <c r="AC9" s="241">
        <v>540</v>
      </c>
      <c r="AD9" s="241">
        <v>540</v>
      </c>
      <c r="AE9" s="241">
        <v>540</v>
      </c>
      <c r="AF9" s="241">
        <v>540</v>
      </c>
      <c r="AG9" s="241">
        <v>540</v>
      </c>
      <c r="AH9" s="241">
        <v>540</v>
      </c>
      <c r="AI9" s="241">
        <v>540</v>
      </c>
      <c r="AJ9" s="241">
        <v>540</v>
      </c>
      <c r="AK9" s="241">
        <v>540</v>
      </c>
      <c r="AL9" s="241">
        <v>540</v>
      </c>
      <c r="AM9" s="241">
        <v>540</v>
      </c>
      <c r="AN9" s="241">
        <v>540</v>
      </c>
      <c r="AO9" s="241">
        <v>540</v>
      </c>
      <c r="AP9" s="241">
        <v>540</v>
      </c>
      <c r="AQ9" s="241">
        <v>540</v>
      </c>
      <c r="AR9" s="241">
        <v>540</v>
      </c>
      <c r="AS9" s="241">
        <v>540</v>
      </c>
      <c r="AT9" s="241">
        <v>540</v>
      </c>
      <c r="AU9" s="241">
        <v>540</v>
      </c>
      <c r="AV9" s="241">
        <v>540</v>
      </c>
      <c r="AW9" s="241">
        <v>540</v>
      </c>
      <c r="AX9" s="241">
        <v>540</v>
      </c>
      <c r="AY9" s="241">
        <v>540</v>
      </c>
      <c r="AZ9" s="241">
        <v>540</v>
      </c>
    </row>
    <row r="10" spans="1:52" x14ac:dyDescent="0.25">
      <c r="A10" s="241" t="str">
        <f t="shared" si="3"/>
        <v>LOC1Total OR</v>
      </c>
      <c r="B10" s="241" t="s">
        <v>367</v>
      </c>
      <c r="C10" s="241">
        <v>22000071</v>
      </c>
      <c r="D10" s="241" t="s">
        <v>1404</v>
      </c>
      <c r="E10" s="241"/>
      <c r="F10" s="241">
        <v>0</v>
      </c>
      <c r="G10" s="241">
        <v>472</v>
      </c>
      <c r="H10" s="241">
        <v>400</v>
      </c>
      <c r="I10" s="241">
        <v>346.5</v>
      </c>
      <c r="J10" s="241">
        <v>350</v>
      </c>
      <c r="K10" s="241">
        <v>300</v>
      </c>
      <c r="L10" s="241">
        <v>0</v>
      </c>
      <c r="M10" s="241">
        <v>300</v>
      </c>
      <c r="N10" s="241">
        <v>300</v>
      </c>
      <c r="O10" s="241">
        <v>300</v>
      </c>
      <c r="P10" s="241">
        <v>300</v>
      </c>
      <c r="Q10" s="241">
        <v>300</v>
      </c>
      <c r="R10" s="241">
        <v>300</v>
      </c>
      <c r="S10" s="241">
        <v>0</v>
      </c>
      <c r="T10" s="241">
        <v>250</v>
      </c>
      <c r="U10" s="241">
        <v>376</v>
      </c>
      <c r="V10" s="241">
        <v>410.5</v>
      </c>
      <c r="W10" s="241">
        <v>385</v>
      </c>
      <c r="X10" s="241">
        <v>259</v>
      </c>
      <c r="Y10" s="241">
        <v>376</v>
      </c>
      <c r="Z10" s="241">
        <v>376</v>
      </c>
      <c r="AA10" s="241">
        <v>376</v>
      </c>
      <c r="AB10" s="241">
        <v>376</v>
      </c>
      <c r="AC10" s="241">
        <v>376</v>
      </c>
      <c r="AD10" s="241">
        <v>376</v>
      </c>
      <c r="AE10" s="241">
        <v>376</v>
      </c>
      <c r="AF10" s="241">
        <v>376</v>
      </c>
      <c r="AG10" s="241">
        <v>376</v>
      </c>
      <c r="AH10" s="241">
        <v>376</v>
      </c>
      <c r="AI10" s="241">
        <v>376</v>
      </c>
      <c r="AJ10" s="241">
        <v>376</v>
      </c>
      <c r="AK10" s="241">
        <v>376</v>
      </c>
      <c r="AL10" s="241">
        <v>376</v>
      </c>
      <c r="AM10" s="241">
        <v>376</v>
      </c>
      <c r="AN10" s="241">
        <v>376</v>
      </c>
      <c r="AO10" s="241">
        <v>376</v>
      </c>
      <c r="AP10" s="241">
        <v>376</v>
      </c>
      <c r="AQ10" s="241">
        <v>376</v>
      </c>
      <c r="AR10" s="241">
        <v>376</v>
      </c>
      <c r="AS10" s="241">
        <v>376</v>
      </c>
      <c r="AT10" s="241">
        <v>376</v>
      </c>
      <c r="AU10" s="241">
        <v>376</v>
      </c>
      <c r="AV10" s="241">
        <v>376</v>
      </c>
      <c r="AW10" s="241">
        <v>376</v>
      </c>
      <c r="AX10" s="241">
        <v>376</v>
      </c>
      <c r="AY10" s="241">
        <v>376</v>
      </c>
      <c r="AZ10" s="241">
        <v>376</v>
      </c>
    </row>
    <row r="11" spans="1:52" x14ac:dyDescent="0.25">
      <c r="A11" s="244" t="str">
        <f t="shared" si="3"/>
        <v>LOC1Prod Plan</v>
      </c>
      <c r="B11" s="244" t="s">
        <v>367</v>
      </c>
      <c r="C11" s="244">
        <v>22000071</v>
      </c>
      <c r="D11" s="244" t="s">
        <v>1405</v>
      </c>
      <c r="E11" s="244">
        <v>0</v>
      </c>
      <c r="F11" s="245">
        <v>250</v>
      </c>
      <c r="G11" s="244">
        <v>210</v>
      </c>
      <c r="H11" s="244">
        <v>210</v>
      </c>
      <c r="I11" s="244">
        <v>210</v>
      </c>
      <c r="J11" s="244">
        <v>210</v>
      </c>
      <c r="K11" s="244">
        <v>210</v>
      </c>
      <c r="L11" s="244">
        <v>210</v>
      </c>
      <c r="M11" s="244">
        <v>210</v>
      </c>
      <c r="N11" s="244">
        <v>210</v>
      </c>
      <c r="O11" s="244">
        <v>210</v>
      </c>
      <c r="P11" s="244">
        <v>210</v>
      </c>
      <c r="Q11" s="244">
        <v>210</v>
      </c>
      <c r="R11" s="244">
        <v>210</v>
      </c>
      <c r="S11" s="244">
        <v>210</v>
      </c>
      <c r="T11" s="244">
        <v>210</v>
      </c>
      <c r="U11" s="244">
        <v>210</v>
      </c>
      <c r="V11" s="244">
        <v>210</v>
      </c>
      <c r="W11" s="244">
        <v>210</v>
      </c>
      <c r="X11" s="244">
        <v>210</v>
      </c>
      <c r="Y11" s="244">
        <v>210</v>
      </c>
      <c r="Z11" s="244">
        <v>210</v>
      </c>
      <c r="AA11" s="244">
        <v>210</v>
      </c>
      <c r="AB11" s="244">
        <v>210</v>
      </c>
      <c r="AC11" s="244">
        <v>210</v>
      </c>
      <c r="AD11" s="244">
        <v>210</v>
      </c>
      <c r="AE11" s="244">
        <v>210</v>
      </c>
      <c r="AF11" s="244">
        <v>210</v>
      </c>
      <c r="AG11" s="244">
        <v>210</v>
      </c>
      <c r="AH11" s="244">
        <v>210</v>
      </c>
      <c r="AI11" s="244">
        <v>210</v>
      </c>
      <c r="AJ11" s="244">
        <v>210</v>
      </c>
      <c r="AK11" s="244">
        <v>210</v>
      </c>
      <c r="AL11" s="244">
        <v>210</v>
      </c>
      <c r="AM11" s="244">
        <v>210</v>
      </c>
      <c r="AN11" s="244">
        <v>210</v>
      </c>
      <c r="AO11" s="244">
        <v>210</v>
      </c>
      <c r="AP11" s="244">
        <v>210</v>
      </c>
      <c r="AQ11" s="244">
        <v>210</v>
      </c>
      <c r="AR11" s="244">
        <v>210</v>
      </c>
      <c r="AS11" s="244">
        <v>210</v>
      </c>
      <c r="AT11" s="244">
        <v>210</v>
      </c>
      <c r="AU11" s="244">
        <v>210</v>
      </c>
      <c r="AV11" s="244">
        <v>210</v>
      </c>
      <c r="AW11" s="244">
        <v>210</v>
      </c>
      <c r="AX11" s="244">
        <v>210</v>
      </c>
      <c r="AY11" s="244">
        <v>210</v>
      </c>
      <c r="AZ11" s="244">
        <v>210</v>
      </c>
    </row>
    <row r="12" spans="1:52" x14ac:dyDescent="0.25">
      <c r="A12" s="246" t="str">
        <f t="shared" si="3"/>
        <v>LOC1Prod Receipt</v>
      </c>
      <c r="B12" s="246" t="s">
        <v>367</v>
      </c>
      <c r="C12" s="246">
        <v>22000071</v>
      </c>
      <c r="D12" s="246" t="s">
        <v>1406</v>
      </c>
      <c r="E12" s="246"/>
      <c r="F12" s="246" t="e">
        <f>VLOOKUP($C12,#REF!,F$1,0)</f>
        <v>#REF!</v>
      </c>
      <c r="G12" s="246" t="e">
        <f>VLOOKUP($C12,#REF!,G$1,0)</f>
        <v>#REF!</v>
      </c>
      <c r="H12" s="246" t="e">
        <f>VLOOKUP($C12,#REF!,H$1,0)</f>
        <v>#REF!</v>
      </c>
      <c r="I12" s="246" t="e">
        <f>VLOOKUP($C12,#REF!,I$1,0)</f>
        <v>#REF!</v>
      </c>
      <c r="J12" s="246" t="e">
        <f>VLOOKUP($C12,#REF!,J$1,0)</f>
        <v>#REF!</v>
      </c>
      <c r="K12" s="246" t="e">
        <f>VLOOKUP($C12,#REF!,K$1,0)</f>
        <v>#REF!</v>
      </c>
      <c r="L12" s="246" t="e">
        <f>VLOOKUP($C12,#REF!,L$1,0)</f>
        <v>#REF!</v>
      </c>
      <c r="M12" s="246" t="e">
        <f>VLOOKUP($C12,#REF!,M$1,0)</f>
        <v>#REF!</v>
      </c>
      <c r="N12" s="246" t="e">
        <f>VLOOKUP($C12,#REF!,N$1,0)</f>
        <v>#REF!</v>
      </c>
      <c r="O12" s="246" t="e">
        <f>VLOOKUP($C12,#REF!,O$1,0)</f>
        <v>#REF!</v>
      </c>
      <c r="P12" s="246" t="e">
        <f>VLOOKUP($C12,#REF!,P$1,0)</f>
        <v>#REF!</v>
      </c>
      <c r="Q12" s="246" t="e">
        <f>VLOOKUP($C12,#REF!,Q$1,0)</f>
        <v>#REF!</v>
      </c>
      <c r="R12" s="246" t="e">
        <f>VLOOKUP($C12,#REF!,R$1,0)</f>
        <v>#REF!</v>
      </c>
      <c r="S12" s="246" t="e">
        <f>VLOOKUP($C12,#REF!,S$1,0)</f>
        <v>#REF!</v>
      </c>
      <c r="T12" s="246" t="e">
        <f>VLOOKUP($C12,#REF!,T$1,0)</f>
        <v>#REF!</v>
      </c>
      <c r="U12" s="246"/>
      <c r="V12" s="246"/>
      <c r="W12" s="246"/>
      <c r="X12" s="246"/>
      <c r="Y12" s="246"/>
      <c r="Z12" s="246"/>
      <c r="AA12" s="246"/>
      <c r="AB12" s="246"/>
      <c r="AC12" s="246"/>
      <c r="AD12" s="246"/>
      <c r="AE12" s="246"/>
      <c r="AF12" s="246"/>
      <c r="AG12" s="246"/>
      <c r="AH12" s="246"/>
      <c r="AI12" s="246"/>
      <c r="AJ12" s="246"/>
      <c r="AK12" s="246"/>
      <c r="AL12" s="246"/>
      <c r="AM12" s="246"/>
      <c r="AN12" s="246"/>
      <c r="AO12" s="246"/>
      <c r="AP12" s="246"/>
      <c r="AQ12" s="246"/>
      <c r="AR12" s="246"/>
      <c r="AS12" s="246"/>
      <c r="AT12" s="246"/>
      <c r="AU12" s="246"/>
      <c r="AV12" s="246"/>
      <c r="AW12" s="246"/>
      <c r="AX12" s="246"/>
      <c r="AY12" s="246"/>
      <c r="AZ12" s="246"/>
    </row>
    <row r="13" spans="1:52" x14ac:dyDescent="0.25">
      <c r="A13" s="241" t="str">
        <f t="shared" si="3"/>
        <v>LOC1Total Suppy</v>
      </c>
      <c r="B13" s="241" t="s">
        <v>367</v>
      </c>
      <c r="C13" s="241">
        <v>22000071</v>
      </c>
      <c r="D13" s="241" t="s">
        <v>1407</v>
      </c>
      <c r="E13" s="241"/>
      <c r="F13" s="241">
        <v>200</v>
      </c>
      <c r="G13" s="241">
        <v>200</v>
      </c>
      <c r="H13" s="241">
        <v>220</v>
      </c>
      <c r="I13" s="245" t="e">
        <f>+F12</f>
        <v>#REF!</v>
      </c>
      <c r="J13" s="241" t="e">
        <f>+G12</f>
        <v>#REF!</v>
      </c>
      <c r="K13" s="241" t="e">
        <f>+H12</f>
        <v>#REF!</v>
      </c>
      <c r="L13" s="241" t="e">
        <f t="shared" ref="L13:X13" si="7">+I12</f>
        <v>#REF!</v>
      </c>
      <c r="M13" s="241" t="e">
        <f t="shared" si="7"/>
        <v>#REF!</v>
      </c>
      <c r="N13" s="241" t="e">
        <f t="shared" si="7"/>
        <v>#REF!</v>
      </c>
      <c r="O13" s="241" t="e">
        <f t="shared" si="7"/>
        <v>#REF!</v>
      </c>
      <c r="P13" s="241" t="e">
        <f t="shared" si="7"/>
        <v>#REF!</v>
      </c>
      <c r="Q13" s="241" t="e">
        <f t="shared" si="7"/>
        <v>#REF!</v>
      </c>
      <c r="R13" s="241" t="e">
        <f t="shared" si="7"/>
        <v>#REF!</v>
      </c>
      <c r="S13" s="241" t="e">
        <f t="shared" si="7"/>
        <v>#REF!</v>
      </c>
      <c r="T13" s="241" t="e">
        <f t="shared" si="7"/>
        <v>#REF!</v>
      </c>
      <c r="U13" s="241" t="e">
        <f t="shared" si="7"/>
        <v>#REF!</v>
      </c>
      <c r="V13" s="241" t="e">
        <f t="shared" si="7"/>
        <v>#REF!</v>
      </c>
      <c r="W13" s="241" t="e">
        <f t="shared" si="7"/>
        <v>#REF!</v>
      </c>
      <c r="X13" s="241">
        <f t="shared" si="7"/>
        <v>0</v>
      </c>
      <c r="Y13" s="241"/>
      <c r="Z13" s="241"/>
      <c r="AA13" s="241"/>
      <c r="AB13" s="241"/>
      <c r="AC13" s="241"/>
      <c r="AD13" s="241"/>
      <c r="AE13" s="241"/>
      <c r="AF13" s="241"/>
      <c r="AG13" s="241"/>
      <c r="AH13" s="241"/>
      <c r="AI13" s="241"/>
      <c r="AJ13" s="241"/>
      <c r="AK13" s="241"/>
      <c r="AL13" s="241"/>
      <c r="AM13" s="241"/>
      <c r="AN13" s="241"/>
      <c r="AO13" s="241"/>
      <c r="AP13" s="241"/>
      <c r="AQ13" s="241"/>
      <c r="AR13" s="241"/>
      <c r="AS13" s="241"/>
      <c r="AT13" s="241"/>
      <c r="AU13" s="241"/>
      <c r="AV13" s="241"/>
      <c r="AW13" s="241"/>
      <c r="AX13" s="241"/>
      <c r="AY13" s="241"/>
      <c r="AZ13" s="241"/>
    </row>
    <row r="14" spans="1:52" x14ac:dyDescent="0.25">
      <c r="A14" s="247" t="str">
        <f t="shared" si="3"/>
        <v>LOC1Closing Stks</v>
      </c>
      <c r="B14" s="247" t="s">
        <v>367</v>
      </c>
      <c r="C14" s="247">
        <v>22000071</v>
      </c>
      <c r="D14" s="247" t="s">
        <v>1408</v>
      </c>
      <c r="E14" s="247"/>
      <c r="F14" s="248">
        <f>E11+F13-F10</f>
        <v>200</v>
      </c>
      <c r="G14" s="248">
        <f>F14+G13-G10</f>
        <v>-72</v>
      </c>
      <c r="H14" s="248">
        <f>G14+H13-H10</f>
        <v>-252</v>
      </c>
      <c r="I14" s="248" t="e">
        <f>H14+I13-I10</f>
        <v>#REF!</v>
      </c>
      <c r="J14" s="248" t="e">
        <f>I14+J13-J10</f>
        <v>#REF!</v>
      </c>
      <c r="K14" s="248" t="e">
        <f t="shared" ref="K14:N14" si="8">J14+K13-K10</f>
        <v>#REF!</v>
      </c>
      <c r="L14" s="248" t="e">
        <f t="shared" si="8"/>
        <v>#REF!</v>
      </c>
      <c r="M14" s="248" t="e">
        <f t="shared" si="8"/>
        <v>#REF!</v>
      </c>
      <c r="N14" s="248" t="e">
        <f t="shared" si="8"/>
        <v>#REF!</v>
      </c>
      <c r="O14" s="248" t="e">
        <f>N14+O13-O10</f>
        <v>#REF!</v>
      </c>
      <c r="P14" s="248" t="e">
        <f>O14+P11-P10</f>
        <v>#REF!</v>
      </c>
      <c r="Q14" s="248" t="e">
        <f t="shared" ref="Q14:AZ14" si="9">P14+Q11-Q10</f>
        <v>#REF!</v>
      </c>
      <c r="R14" s="248" t="e">
        <f t="shared" si="9"/>
        <v>#REF!</v>
      </c>
      <c r="S14" s="248" t="e">
        <f t="shared" si="9"/>
        <v>#REF!</v>
      </c>
      <c r="T14" s="248" t="e">
        <f t="shared" si="9"/>
        <v>#REF!</v>
      </c>
      <c r="U14" s="248" t="e">
        <f t="shared" si="9"/>
        <v>#REF!</v>
      </c>
      <c r="V14" s="248" t="e">
        <f t="shared" si="9"/>
        <v>#REF!</v>
      </c>
      <c r="W14" s="248" t="e">
        <f t="shared" si="9"/>
        <v>#REF!</v>
      </c>
      <c r="X14" s="248" t="e">
        <f t="shared" si="9"/>
        <v>#REF!</v>
      </c>
      <c r="Y14" s="248" t="e">
        <f t="shared" si="9"/>
        <v>#REF!</v>
      </c>
      <c r="Z14" s="248" t="e">
        <f t="shared" si="9"/>
        <v>#REF!</v>
      </c>
      <c r="AA14" s="248" t="e">
        <f t="shared" si="9"/>
        <v>#REF!</v>
      </c>
      <c r="AB14" s="248" t="e">
        <f t="shared" si="9"/>
        <v>#REF!</v>
      </c>
      <c r="AC14" s="248" t="e">
        <f t="shared" si="9"/>
        <v>#REF!</v>
      </c>
      <c r="AD14" s="248" t="e">
        <f t="shared" si="9"/>
        <v>#REF!</v>
      </c>
      <c r="AE14" s="248" t="e">
        <f t="shared" si="9"/>
        <v>#REF!</v>
      </c>
      <c r="AF14" s="248" t="e">
        <f t="shared" si="9"/>
        <v>#REF!</v>
      </c>
      <c r="AG14" s="248" t="e">
        <f t="shared" si="9"/>
        <v>#REF!</v>
      </c>
      <c r="AH14" s="248" t="e">
        <f t="shared" si="9"/>
        <v>#REF!</v>
      </c>
      <c r="AI14" s="248" t="e">
        <f t="shared" si="9"/>
        <v>#REF!</v>
      </c>
      <c r="AJ14" s="248" t="e">
        <f t="shared" si="9"/>
        <v>#REF!</v>
      </c>
      <c r="AK14" s="248" t="e">
        <f t="shared" si="9"/>
        <v>#REF!</v>
      </c>
      <c r="AL14" s="248" t="e">
        <f t="shared" si="9"/>
        <v>#REF!</v>
      </c>
      <c r="AM14" s="248" t="e">
        <f t="shared" si="9"/>
        <v>#REF!</v>
      </c>
      <c r="AN14" s="248" t="e">
        <f t="shared" si="9"/>
        <v>#REF!</v>
      </c>
      <c r="AO14" s="248" t="e">
        <f t="shared" si="9"/>
        <v>#REF!</v>
      </c>
      <c r="AP14" s="248" t="e">
        <f t="shared" si="9"/>
        <v>#REF!</v>
      </c>
      <c r="AQ14" s="248" t="e">
        <f t="shared" si="9"/>
        <v>#REF!</v>
      </c>
      <c r="AR14" s="248" t="e">
        <f t="shared" si="9"/>
        <v>#REF!</v>
      </c>
      <c r="AS14" s="248" t="e">
        <f t="shared" si="9"/>
        <v>#REF!</v>
      </c>
      <c r="AT14" s="248" t="e">
        <f t="shared" si="9"/>
        <v>#REF!</v>
      </c>
      <c r="AU14" s="248" t="e">
        <f t="shared" si="9"/>
        <v>#REF!</v>
      </c>
      <c r="AV14" s="248" t="e">
        <f t="shared" si="9"/>
        <v>#REF!</v>
      </c>
      <c r="AW14" s="248" t="e">
        <f t="shared" si="9"/>
        <v>#REF!</v>
      </c>
      <c r="AX14" s="248" t="e">
        <f t="shared" si="9"/>
        <v>#REF!</v>
      </c>
      <c r="AY14" s="248" t="e">
        <f t="shared" si="9"/>
        <v>#REF!</v>
      </c>
      <c r="AZ14" s="248" t="e">
        <f t="shared" si="9"/>
        <v>#REF!</v>
      </c>
    </row>
    <row r="15" spans="1:52" x14ac:dyDescent="0.25">
      <c r="A15" s="241" t="str">
        <f t="shared" si="3"/>
        <v>LOA1Forecast</v>
      </c>
      <c r="B15" s="241" t="s">
        <v>357</v>
      </c>
      <c r="C15" s="241">
        <v>22000011</v>
      </c>
      <c r="D15" s="241" t="s">
        <v>1403</v>
      </c>
      <c r="E15" s="241"/>
      <c r="F15" s="241">
        <v>300</v>
      </c>
      <c r="G15" s="241">
        <v>300</v>
      </c>
      <c r="H15" s="241">
        <v>300</v>
      </c>
      <c r="I15" s="241">
        <v>300</v>
      </c>
      <c r="J15" s="241">
        <v>300</v>
      </c>
      <c r="K15" s="241">
        <v>300</v>
      </c>
      <c r="L15" s="241">
        <v>0</v>
      </c>
      <c r="M15" s="241">
        <v>300</v>
      </c>
      <c r="N15" s="241">
        <v>300</v>
      </c>
      <c r="O15" s="241">
        <v>300</v>
      </c>
      <c r="P15" s="241">
        <v>300</v>
      </c>
      <c r="Q15" s="241">
        <v>300</v>
      </c>
      <c r="R15" s="241">
        <v>300</v>
      </c>
      <c r="S15" s="241">
        <v>0</v>
      </c>
      <c r="T15" s="241">
        <v>300</v>
      </c>
      <c r="U15" s="241">
        <v>300</v>
      </c>
      <c r="V15" s="241">
        <v>300</v>
      </c>
      <c r="W15" s="241">
        <v>300</v>
      </c>
      <c r="X15" s="241">
        <v>300</v>
      </c>
      <c r="Y15" s="241">
        <v>300</v>
      </c>
      <c r="Z15" s="241">
        <v>0</v>
      </c>
      <c r="AA15" s="241">
        <v>300</v>
      </c>
      <c r="AB15" s="241">
        <v>300</v>
      </c>
      <c r="AC15" s="241">
        <v>300</v>
      </c>
      <c r="AD15" s="241">
        <v>300</v>
      </c>
      <c r="AE15" s="241">
        <v>300</v>
      </c>
      <c r="AF15" s="241">
        <v>300</v>
      </c>
      <c r="AG15" s="241">
        <v>300</v>
      </c>
      <c r="AH15" s="241">
        <v>300</v>
      </c>
      <c r="AI15" s="241">
        <v>300</v>
      </c>
      <c r="AJ15" s="241">
        <v>300</v>
      </c>
      <c r="AK15" s="241">
        <v>300</v>
      </c>
      <c r="AL15" s="241">
        <v>300</v>
      </c>
      <c r="AM15" s="241">
        <v>300</v>
      </c>
      <c r="AN15" s="241">
        <v>300</v>
      </c>
      <c r="AO15" s="241">
        <v>300</v>
      </c>
      <c r="AP15" s="241">
        <v>300</v>
      </c>
      <c r="AQ15" s="241">
        <v>300</v>
      </c>
      <c r="AR15" s="241">
        <v>300</v>
      </c>
      <c r="AS15" s="241">
        <v>300</v>
      </c>
      <c r="AT15" s="241">
        <v>300</v>
      </c>
      <c r="AU15" s="241">
        <v>300</v>
      </c>
      <c r="AV15" s="241">
        <v>300</v>
      </c>
      <c r="AW15" s="241">
        <v>300</v>
      </c>
      <c r="AX15" s="241">
        <v>300</v>
      </c>
      <c r="AY15" s="241">
        <v>300</v>
      </c>
      <c r="AZ15" s="241">
        <v>300</v>
      </c>
    </row>
    <row r="16" spans="1:52" x14ac:dyDescent="0.25">
      <c r="A16" s="241" t="str">
        <f t="shared" si="3"/>
        <v>LOA1Total OR</v>
      </c>
      <c r="B16" s="241" t="s">
        <v>357</v>
      </c>
      <c r="C16" s="241">
        <v>22000011</v>
      </c>
      <c r="D16" s="241" t="s">
        <v>1404</v>
      </c>
      <c r="E16" s="241"/>
      <c r="F16" s="241">
        <v>69.5</v>
      </c>
      <c r="G16" s="241">
        <v>262</v>
      </c>
      <c r="H16" s="249">
        <v>197.2</v>
      </c>
      <c r="I16" s="249">
        <v>389.05</v>
      </c>
      <c r="J16" s="249">
        <v>229</v>
      </c>
      <c r="K16" s="249">
        <v>236</v>
      </c>
      <c r="L16" s="249">
        <v>0</v>
      </c>
      <c r="M16" s="249">
        <v>150.5</v>
      </c>
      <c r="N16" s="249">
        <v>283</v>
      </c>
      <c r="O16" s="249">
        <v>300</v>
      </c>
      <c r="P16" s="249">
        <v>247.75</v>
      </c>
      <c r="Q16" s="249">
        <v>266</v>
      </c>
      <c r="R16" s="249">
        <v>200</v>
      </c>
      <c r="S16" s="249">
        <v>0</v>
      </c>
      <c r="T16" s="249">
        <v>250</v>
      </c>
      <c r="U16" s="249">
        <v>250</v>
      </c>
      <c r="V16" s="249">
        <v>250</v>
      </c>
      <c r="W16" s="249">
        <v>250</v>
      </c>
      <c r="X16" s="249">
        <v>250</v>
      </c>
      <c r="Y16" s="249">
        <v>250</v>
      </c>
      <c r="Z16" s="249">
        <v>0</v>
      </c>
      <c r="AA16" s="249">
        <v>250</v>
      </c>
      <c r="AB16" s="249">
        <v>250</v>
      </c>
      <c r="AC16" s="249">
        <v>250</v>
      </c>
      <c r="AD16" s="249">
        <v>250</v>
      </c>
      <c r="AE16" s="249">
        <v>250</v>
      </c>
      <c r="AF16" s="249">
        <v>250</v>
      </c>
      <c r="AG16" s="249">
        <v>250</v>
      </c>
      <c r="AH16" s="249">
        <v>250</v>
      </c>
      <c r="AI16" s="249">
        <v>250</v>
      </c>
      <c r="AJ16" s="249">
        <v>250</v>
      </c>
      <c r="AK16" s="249">
        <v>250</v>
      </c>
      <c r="AL16" s="249">
        <v>250</v>
      </c>
      <c r="AM16" s="249">
        <v>250</v>
      </c>
      <c r="AN16" s="249">
        <v>250</v>
      </c>
      <c r="AO16" s="249">
        <v>250</v>
      </c>
      <c r="AP16" s="249">
        <v>250</v>
      </c>
      <c r="AQ16" s="249">
        <v>250</v>
      </c>
      <c r="AR16" s="249">
        <v>250</v>
      </c>
      <c r="AS16" s="249">
        <v>250</v>
      </c>
      <c r="AT16" s="249">
        <v>250</v>
      </c>
      <c r="AU16" s="249">
        <v>250</v>
      </c>
      <c r="AV16" s="249">
        <v>250</v>
      </c>
      <c r="AW16" s="249">
        <v>250</v>
      </c>
      <c r="AX16" s="249">
        <v>250</v>
      </c>
      <c r="AY16" s="249">
        <v>250</v>
      </c>
      <c r="AZ16" s="249">
        <v>250</v>
      </c>
    </row>
    <row r="17" spans="1:52" x14ac:dyDescent="0.25">
      <c r="A17" s="244" t="str">
        <f t="shared" si="3"/>
        <v>LOA1Prod Plan</v>
      </c>
      <c r="B17" s="244" t="s">
        <v>357</v>
      </c>
      <c r="C17" s="244">
        <v>22000011</v>
      </c>
      <c r="D17" s="244" t="s">
        <v>1405</v>
      </c>
      <c r="E17" s="244">
        <v>900</v>
      </c>
      <c r="F17" s="245">
        <v>150</v>
      </c>
      <c r="G17" s="244">
        <v>200</v>
      </c>
      <c r="H17" s="244">
        <v>200</v>
      </c>
      <c r="I17" s="244">
        <v>200</v>
      </c>
      <c r="J17" s="244">
        <v>200</v>
      </c>
      <c r="K17" s="244">
        <v>200</v>
      </c>
      <c r="L17" s="244">
        <v>200</v>
      </c>
      <c r="M17" s="244">
        <v>200</v>
      </c>
      <c r="N17" s="244">
        <v>200</v>
      </c>
      <c r="O17" s="244">
        <v>200</v>
      </c>
      <c r="P17" s="244">
        <v>200</v>
      </c>
      <c r="Q17" s="244">
        <v>200</v>
      </c>
      <c r="R17" s="244">
        <v>200</v>
      </c>
      <c r="S17" s="244">
        <v>200</v>
      </c>
      <c r="T17" s="244">
        <v>200</v>
      </c>
      <c r="U17" s="244">
        <v>200</v>
      </c>
      <c r="V17" s="244">
        <v>200</v>
      </c>
      <c r="W17" s="244">
        <v>200</v>
      </c>
      <c r="X17" s="244">
        <v>200</v>
      </c>
      <c r="Y17" s="244">
        <v>200</v>
      </c>
      <c r="Z17" s="244">
        <v>200</v>
      </c>
      <c r="AA17" s="244">
        <v>200</v>
      </c>
      <c r="AB17" s="244">
        <v>200</v>
      </c>
      <c r="AC17" s="244">
        <v>200</v>
      </c>
      <c r="AD17" s="244">
        <v>200</v>
      </c>
      <c r="AE17" s="244">
        <v>200</v>
      </c>
      <c r="AF17" s="244">
        <v>200</v>
      </c>
      <c r="AG17" s="244">
        <v>200</v>
      </c>
      <c r="AH17" s="244">
        <v>200</v>
      </c>
      <c r="AI17" s="244">
        <v>200</v>
      </c>
      <c r="AJ17" s="244">
        <v>200</v>
      </c>
      <c r="AK17" s="244">
        <v>200</v>
      </c>
      <c r="AL17" s="244">
        <v>200</v>
      </c>
      <c r="AM17" s="244">
        <v>200</v>
      </c>
      <c r="AN17" s="244">
        <v>200</v>
      </c>
      <c r="AO17" s="244">
        <v>200</v>
      </c>
      <c r="AP17" s="244">
        <v>200</v>
      </c>
      <c r="AQ17" s="244">
        <v>200</v>
      </c>
      <c r="AR17" s="244">
        <v>200</v>
      </c>
      <c r="AS17" s="244">
        <v>200</v>
      </c>
      <c r="AT17" s="244">
        <v>200</v>
      </c>
      <c r="AU17" s="244">
        <v>200</v>
      </c>
      <c r="AV17" s="244">
        <v>200</v>
      </c>
      <c r="AW17" s="244">
        <v>200</v>
      </c>
      <c r="AX17" s="244">
        <v>200</v>
      </c>
      <c r="AY17" s="244">
        <v>200</v>
      </c>
      <c r="AZ17" s="244">
        <v>200</v>
      </c>
    </row>
    <row r="18" spans="1:52" x14ac:dyDescent="0.25">
      <c r="A18" s="246" t="str">
        <f t="shared" si="3"/>
        <v>LOA1Prod Receipt</v>
      </c>
      <c r="B18" s="246" t="s">
        <v>357</v>
      </c>
      <c r="C18" s="246">
        <v>22000011</v>
      </c>
      <c r="D18" s="246" t="s">
        <v>1406</v>
      </c>
      <c r="E18" s="246"/>
      <c r="F18" s="246" t="e">
        <f>VLOOKUP($C18,#REF!,F$1,0)</f>
        <v>#REF!</v>
      </c>
      <c r="G18" s="246" t="e">
        <f>VLOOKUP($C18,#REF!,G$1,0)</f>
        <v>#REF!</v>
      </c>
      <c r="H18" s="246" t="e">
        <f>VLOOKUP($C18,#REF!,H$1,0)</f>
        <v>#REF!</v>
      </c>
      <c r="I18" s="246" t="e">
        <f>VLOOKUP($C18,#REF!,I$1,0)</f>
        <v>#REF!</v>
      </c>
      <c r="J18" s="246" t="e">
        <f>VLOOKUP($C18,#REF!,J$1,0)</f>
        <v>#REF!</v>
      </c>
      <c r="K18" s="246" t="e">
        <f>VLOOKUP($C18,#REF!,K$1,0)</f>
        <v>#REF!</v>
      </c>
      <c r="L18" s="246" t="e">
        <f>VLOOKUP($C18,#REF!,L$1,0)</f>
        <v>#REF!</v>
      </c>
      <c r="M18" s="246" t="e">
        <f>VLOOKUP($C18,#REF!,M$1,0)</f>
        <v>#REF!</v>
      </c>
      <c r="N18" s="246" t="e">
        <f>VLOOKUP($C18,#REF!,N$1,0)</f>
        <v>#REF!</v>
      </c>
      <c r="O18" s="246" t="e">
        <f>VLOOKUP($C18,#REF!,O$1,0)</f>
        <v>#REF!</v>
      </c>
      <c r="P18" s="246" t="e">
        <f>VLOOKUP($C18,#REF!,P$1,0)</f>
        <v>#REF!</v>
      </c>
      <c r="Q18" s="246" t="e">
        <f>VLOOKUP($C18,#REF!,Q$1,0)</f>
        <v>#REF!</v>
      </c>
      <c r="R18" s="246" t="e">
        <f>VLOOKUP($C18,#REF!,R$1,0)</f>
        <v>#REF!</v>
      </c>
      <c r="S18" s="246" t="e">
        <f>VLOOKUP($C18,#REF!,S$1,0)</f>
        <v>#REF!</v>
      </c>
      <c r="T18" s="246" t="e">
        <f>VLOOKUP($C18,#REF!,T$1,0)</f>
        <v>#REF!</v>
      </c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6"/>
      <c r="AJ18" s="246"/>
      <c r="AK18" s="246"/>
      <c r="AL18" s="246"/>
      <c r="AM18" s="246"/>
      <c r="AN18" s="246"/>
      <c r="AO18" s="246"/>
      <c r="AP18" s="246"/>
      <c r="AQ18" s="246"/>
      <c r="AR18" s="246"/>
      <c r="AS18" s="246"/>
      <c r="AT18" s="246"/>
      <c r="AU18" s="246"/>
      <c r="AV18" s="246"/>
      <c r="AW18" s="246"/>
      <c r="AX18" s="246"/>
      <c r="AY18" s="246"/>
      <c r="AZ18" s="246"/>
    </row>
    <row r="19" spans="1:52" x14ac:dyDescent="0.25">
      <c r="A19" s="241" t="str">
        <f t="shared" si="3"/>
        <v>LOA1Total Suppy</v>
      </c>
      <c r="B19" s="241" t="s">
        <v>357</v>
      </c>
      <c r="C19" s="241">
        <v>22000011</v>
      </c>
      <c r="D19" s="241" t="s">
        <v>1407</v>
      </c>
      <c r="E19" s="241"/>
      <c r="F19" s="241">
        <v>0</v>
      </c>
      <c r="G19" s="241">
        <v>150</v>
      </c>
      <c r="H19" s="241">
        <v>150</v>
      </c>
      <c r="I19" s="245">
        <f>+F17</f>
        <v>150</v>
      </c>
      <c r="J19" s="241" t="e">
        <f>+G18</f>
        <v>#REF!</v>
      </c>
      <c r="K19" s="241" t="e">
        <f>+H18</f>
        <v>#REF!</v>
      </c>
      <c r="L19" s="241" t="e">
        <f>+I18</f>
        <v>#REF!</v>
      </c>
      <c r="M19" s="241" t="e">
        <f t="shared" ref="M19:X19" si="10">+J18</f>
        <v>#REF!</v>
      </c>
      <c r="N19" s="241" t="e">
        <f t="shared" si="10"/>
        <v>#REF!</v>
      </c>
      <c r="O19" s="241" t="e">
        <f t="shared" si="10"/>
        <v>#REF!</v>
      </c>
      <c r="P19" s="241" t="e">
        <f t="shared" si="10"/>
        <v>#REF!</v>
      </c>
      <c r="Q19" s="241" t="e">
        <f t="shared" si="10"/>
        <v>#REF!</v>
      </c>
      <c r="R19" s="241" t="e">
        <f t="shared" si="10"/>
        <v>#REF!</v>
      </c>
      <c r="S19" s="241" t="e">
        <f t="shared" si="10"/>
        <v>#REF!</v>
      </c>
      <c r="T19" s="241" t="e">
        <f t="shared" si="10"/>
        <v>#REF!</v>
      </c>
      <c r="U19" s="241" t="e">
        <f t="shared" si="10"/>
        <v>#REF!</v>
      </c>
      <c r="V19" s="241" t="e">
        <f t="shared" si="10"/>
        <v>#REF!</v>
      </c>
      <c r="W19" s="241" t="e">
        <f t="shared" si="10"/>
        <v>#REF!</v>
      </c>
      <c r="X19" s="241">
        <f t="shared" si="10"/>
        <v>0</v>
      </c>
      <c r="Y19" s="241"/>
      <c r="Z19" s="241"/>
      <c r="AA19" s="241"/>
      <c r="AB19" s="241"/>
      <c r="AC19" s="241"/>
      <c r="AD19" s="241"/>
      <c r="AE19" s="241"/>
      <c r="AF19" s="241"/>
      <c r="AG19" s="241"/>
      <c r="AH19" s="241"/>
      <c r="AI19" s="241"/>
      <c r="AJ19" s="241"/>
      <c r="AK19" s="241"/>
      <c r="AL19" s="241"/>
      <c r="AM19" s="241"/>
      <c r="AN19" s="241"/>
      <c r="AO19" s="241"/>
      <c r="AP19" s="241"/>
      <c r="AQ19" s="241"/>
      <c r="AR19" s="241"/>
      <c r="AS19" s="241"/>
      <c r="AT19" s="241"/>
      <c r="AU19" s="241"/>
      <c r="AV19" s="241"/>
      <c r="AW19" s="241"/>
      <c r="AX19" s="241"/>
      <c r="AY19" s="241"/>
      <c r="AZ19" s="241"/>
    </row>
    <row r="20" spans="1:52" x14ac:dyDescent="0.25">
      <c r="A20" s="247" t="str">
        <f t="shared" si="3"/>
        <v>LOA1Closing Stks</v>
      </c>
      <c r="B20" s="247" t="s">
        <v>357</v>
      </c>
      <c r="C20" s="247">
        <v>22000011</v>
      </c>
      <c r="D20" s="247" t="s">
        <v>1408</v>
      </c>
      <c r="E20" s="247"/>
      <c r="F20" s="247">
        <f>E17+F19-F16</f>
        <v>830.5</v>
      </c>
      <c r="G20" s="248">
        <f>F20+G19-G16</f>
        <v>718.5</v>
      </c>
      <c r="H20" s="248">
        <f>G20+H19-H16</f>
        <v>671.3</v>
      </c>
      <c r="I20" s="248">
        <f>H20+I19-I16</f>
        <v>432.24999999999994</v>
      </c>
      <c r="J20" s="248" t="e">
        <f>I20+J19-J16</f>
        <v>#REF!</v>
      </c>
      <c r="K20" s="248" t="e">
        <f t="shared" ref="K20:N20" si="11">J20+K19-K16</f>
        <v>#REF!</v>
      </c>
      <c r="L20" s="248" t="e">
        <f t="shared" si="11"/>
        <v>#REF!</v>
      </c>
      <c r="M20" s="248" t="e">
        <f t="shared" si="11"/>
        <v>#REF!</v>
      </c>
      <c r="N20" s="248" t="e">
        <f t="shared" si="11"/>
        <v>#REF!</v>
      </c>
      <c r="O20" s="248" t="e">
        <f>N20+O19-O16</f>
        <v>#REF!</v>
      </c>
      <c r="P20" s="248" t="e">
        <f>O20+P17-P16</f>
        <v>#REF!</v>
      </c>
      <c r="Q20" s="248" t="e">
        <f t="shared" ref="Q20:AZ20" si="12">P20+Q17-Q16</f>
        <v>#REF!</v>
      </c>
      <c r="R20" s="248" t="e">
        <f t="shared" si="12"/>
        <v>#REF!</v>
      </c>
      <c r="S20" s="248" t="e">
        <f t="shared" si="12"/>
        <v>#REF!</v>
      </c>
      <c r="T20" s="248" t="e">
        <f t="shared" si="12"/>
        <v>#REF!</v>
      </c>
      <c r="U20" s="248" t="e">
        <f t="shared" si="12"/>
        <v>#REF!</v>
      </c>
      <c r="V20" s="248" t="e">
        <f t="shared" si="12"/>
        <v>#REF!</v>
      </c>
      <c r="W20" s="248" t="e">
        <f t="shared" si="12"/>
        <v>#REF!</v>
      </c>
      <c r="X20" s="248" t="e">
        <f t="shared" si="12"/>
        <v>#REF!</v>
      </c>
      <c r="Y20" s="248" t="e">
        <f t="shared" si="12"/>
        <v>#REF!</v>
      </c>
      <c r="Z20" s="248" t="e">
        <f t="shared" si="12"/>
        <v>#REF!</v>
      </c>
      <c r="AA20" s="248" t="e">
        <f t="shared" si="12"/>
        <v>#REF!</v>
      </c>
      <c r="AB20" s="248" t="e">
        <f t="shared" si="12"/>
        <v>#REF!</v>
      </c>
      <c r="AC20" s="248" t="e">
        <f t="shared" si="12"/>
        <v>#REF!</v>
      </c>
      <c r="AD20" s="248" t="e">
        <f t="shared" si="12"/>
        <v>#REF!</v>
      </c>
      <c r="AE20" s="248" t="e">
        <f t="shared" si="12"/>
        <v>#REF!</v>
      </c>
      <c r="AF20" s="248" t="e">
        <f t="shared" si="12"/>
        <v>#REF!</v>
      </c>
      <c r="AG20" s="248" t="e">
        <f t="shared" si="12"/>
        <v>#REF!</v>
      </c>
      <c r="AH20" s="248" t="e">
        <f t="shared" si="12"/>
        <v>#REF!</v>
      </c>
      <c r="AI20" s="248" t="e">
        <f t="shared" si="12"/>
        <v>#REF!</v>
      </c>
      <c r="AJ20" s="248" t="e">
        <f t="shared" si="12"/>
        <v>#REF!</v>
      </c>
      <c r="AK20" s="248" t="e">
        <f t="shared" si="12"/>
        <v>#REF!</v>
      </c>
      <c r="AL20" s="248" t="e">
        <f t="shared" si="12"/>
        <v>#REF!</v>
      </c>
      <c r="AM20" s="248" t="e">
        <f t="shared" si="12"/>
        <v>#REF!</v>
      </c>
      <c r="AN20" s="248" t="e">
        <f t="shared" si="12"/>
        <v>#REF!</v>
      </c>
      <c r="AO20" s="248" t="e">
        <f t="shared" si="12"/>
        <v>#REF!</v>
      </c>
      <c r="AP20" s="248" t="e">
        <f t="shared" si="12"/>
        <v>#REF!</v>
      </c>
      <c r="AQ20" s="248" t="e">
        <f t="shared" si="12"/>
        <v>#REF!</v>
      </c>
      <c r="AR20" s="248" t="e">
        <f t="shared" si="12"/>
        <v>#REF!</v>
      </c>
      <c r="AS20" s="248" t="e">
        <f t="shared" si="12"/>
        <v>#REF!</v>
      </c>
      <c r="AT20" s="248" t="e">
        <f t="shared" si="12"/>
        <v>#REF!</v>
      </c>
      <c r="AU20" s="248" t="e">
        <f t="shared" si="12"/>
        <v>#REF!</v>
      </c>
      <c r="AV20" s="248" t="e">
        <f t="shared" si="12"/>
        <v>#REF!</v>
      </c>
      <c r="AW20" s="248" t="e">
        <f t="shared" si="12"/>
        <v>#REF!</v>
      </c>
      <c r="AX20" s="248" t="e">
        <f t="shared" si="12"/>
        <v>#REF!</v>
      </c>
      <c r="AY20" s="248" t="e">
        <f t="shared" si="12"/>
        <v>#REF!</v>
      </c>
      <c r="AZ20" s="248" t="e">
        <f t="shared" si="12"/>
        <v>#REF!</v>
      </c>
    </row>
    <row r="21" spans="1:52" x14ac:dyDescent="0.25">
      <c r="A21" s="241" t="str">
        <f t="shared" si="3"/>
        <v>LOA11TForecast</v>
      </c>
      <c r="B21" s="241" t="s">
        <v>1409</v>
      </c>
      <c r="C21" s="241">
        <v>22000013</v>
      </c>
      <c r="D21" s="241" t="s">
        <v>1403</v>
      </c>
      <c r="E21" s="241"/>
      <c r="F21" s="241">
        <v>300</v>
      </c>
      <c r="G21" s="241">
        <v>300</v>
      </c>
      <c r="H21" s="241">
        <v>300</v>
      </c>
      <c r="I21" s="241">
        <v>300</v>
      </c>
      <c r="J21" s="241">
        <v>300</v>
      </c>
      <c r="K21" s="241">
        <v>300</v>
      </c>
      <c r="L21" s="241">
        <v>0</v>
      </c>
      <c r="M21" s="241">
        <v>300</v>
      </c>
      <c r="N21" s="241">
        <v>300</v>
      </c>
      <c r="O21" s="241">
        <v>300</v>
      </c>
      <c r="P21" s="241">
        <v>300</v>
      </c>
      <c r="Q21" s="241">
        <v>300</v>
      </c>
      <c r="R21" s="241">
        <v>300</v>
      </c>
      <c r="S21" s="241">
        <v>0</v>
      </c>
      <c r="T21" s="241">
        <v>300</v>
      </c>
      <c r="U21" s="241">
        <v>300</v>
      </c>
      <c r="V21" s="241">
        <v>300</v>
      </c>
      <c r="W21" s="241">
        <v>300</v>
      </c>
      <c r="X21" s="241">
        <v>300</v>
      </c>
      <c r="Y21" s="241">
        <v>300</v>
      </c>
      <c r="Z21" s="241">
        <v>0</v>
      </c>
      <c r="AA21" s="241">
        <v>300</v>
      </c>
      <c r="AB21" s="241">
        <v>300</v>
      </c>
      <c r="AC21" s="241">
        <v>300</v>
      </c>
      <c r="AD21" s="241">
        <v>300</v>
      </c>
      <c r="AE21" s="241">
        <v>300</v>
      </c>
      <c r="AF21" s="241">
        <v>300</v>
      </c>
      <c r="AG21" s="241">
        <v>300</v>
      </c>
      <c r="AH21" s="241">
        <v>300</v>
      </c>
      <c r="AI21" s="241">
        <v>300</v>
      </c>
      <c r="AJ21" s="241">
        <v>300</v>
      </c>
      <c r="AK21" s="241">
        <v>300</v>
      </c>
      <c r="AL21" s="241">
        <v>300</v>
      </c>
      <c r="AM21" s="241">
        <v>300</v>
      </c>
      <c r="AN21" s="241">
        <v>300</v>
      </c>
      <c r="AO21" s="241">
        <v>300</v>
      </c>
      <c r="AP21" s="241">
        <v>300</v>
      </c>
      <c r="AQ21" s="241">
        <v>300</v>
      </c>
      <c r="AR21" s="241">
        <v>300</v>
      </c>
      <c r="AS21" s="241">
        <v>300</v>
      </c>
      <c r="AT21" s="241">
        <v>300</v>
      </c>
      <c r="AU21" s="241">
        <v>300</v>
      </c>
      <c r="AV21" s="241">
        <v>300</v>
      </c>
      <c r="AW21" s="241">
        <v>300</v>
      </c>
      <c r="AX21" s="241">
        <v>300</v>
      </c>
      <c r="AY21" s="241">
        <v>300</v>
      </c>
      <c r="AZ21" s="241">
        <v>300</v>
      </c>
    </row>
    <row r="22" spans="1:52" x14ac:dyDescent="0.25">
      <c r="A22" s="241" t="str">
        <f t="shared" si="3"/>
        <v>LOA11TTotal OR</v>
      </c>
      <c r="B22" s="241" t="s">
        <v>1409</v>
      </c>
      <c r="C22" s="241">
        <v>22000013</v>
      </c>
      <c r="D22" s="241" t="s">
        <v>1404</v>
      </c>
      <c r="E22" s="241"/>
      <c r="F22" s="241">
        <v>200</v>
      </c>
      <c r="G22" s="241">
        <v>360</v>
      </c>
      <c r="H22" s="241">
        <v>430</v>
      </c>
      <c r="I22" s="241">
        <v>360</v>
      </c>
      <c r="J22" s="241">
        <v>360</v>
      </c>
      <c r="K22" s="241">
        <v>200</v>
      </c>
      <c r="L22" s="241">
        <v>200</v>
      </c>
      <c r="M22" s="241">
        <v>360</v>
      </c>
      <c r="N22" s="241">
        <v>360</v>
      </c>
      <c r="O22" s="241">
        <v>360</v>
      </c>
      <c r="P22" s="241">
        <v>360</v>
      </c>
      <c r="Q22" s="241">
        <v>360</v>
      </c>
      <c r="R22" s="241">
        <v>250</v>
      </c>
      <c r="S22" s="241">
        <v>0</v>
      </c>
      <c r="T22" s="241">
        <v>360</v>
      </c>
      <c r="U22" s="241">
        <v>360</v>
      </c>
      <c r="V22" s="241">
        <v>360</v>
      </c>
      <c r="W22" s="241">
        <v>360</v>
      </c>
      <c r="X22" s="241">
        <v>360</v>
      </c>
      <c r="Y22" s="241">
        <v>150</v>
      </c>
      <c r="Z22" s="241">
        <v>0</v>
      </c>
      <c r="AA22" s="241">
        <v>360</v>
      </c>
      <c r="AB22" s="241">
        <v>360</v>
      </c>
      <c r="AC22" s="241">
        <v>360</v>
      </c>
      <c r="AD22" s="241">
        <v>360</v>
      </c>
      <c r="AE22" s="241">
        <v>360</v>
      </c>
      <c r="AF22" s="241">
        <v>360</v>
      </c>
      <c r="AG22" s="241">
        <v>360</v>
      </c>
      <c r="AH22" s="241">
        <v>360</v>
      </c>
      <c r="AI22" s="241">
        <v>360</v>
      </c>
      <c r="AJ22" s="241">
        <v>360</v>
      </c>
      <c r="AK22" s="241">
        <v>360</v>
      </c>
      <c r="AL22" s="241">
        <v>360</v>
      </c>
      <c r="AM22" s="241">
        <v>360</v>
      </c>
      <c r="AN22" s="241">
        <v>360</v>
      </c>
      <c r="AO22" s="241">
        <v>360</v>
      </c>
      <c r="AP22" s="241">
        <v>360</v>
      </c>
      <c r="AQ22" s="241">
        <v>360</v>
      </c>
      <c r="AR22" s="241">
        <v>360</v>
      </c>
      <c r="AS22" s="241">
        <v>360</v>
      </c>
      <c r="AT22" s="241">
        <v>360</v>
      </c>
      <c r="AU22" s="241">
        <v>360</v>
      </c>
      <c r="AV22" s="241">
        <v>360</v>
      </c>
      <c r="AW22" s="241">
        <v>360</v>
      </c>
      <c r="AX22" s="241">
        <v>360</v>
      </c>
      <c r="AY22" s="241">
        <v>360</v>
      </c>
      <c r="AZ22" s="241">
        <v>360</v>
      </c>
    </row>
    <row r="23" spans="1:52" x14ac:dyDescent="0.25">
      <c r="A23" s="244" t="str">
        <f t="shared" si="3"/>
        <v>LOA11TProd Plan</v>
      </c>
      <c r="B23" s="244" t="s">
        <v>1409</v>
      </c>
      <c r="C23" s="244">
        <v>22000013</v>
      </c>
      <c r="D23" s="244" t="s">
        <v>1405</v>
      </c>
      <c r="E23" s="244">
        <v>200</v>
      </c>
      <c r="F23" s="245">
        <v>300</v>
      </c>
      <c r="G23" s="244">
        <v>160</v>
      </c>
      <c r="H23" s="244">
        <v>160</v>
      </c>
      <c r="I23" s="244">
        <v>160</v>
      </c>
      <c r="J23" s="244">
        <v>160</v>
      </c>
      <c r="K23" s="244">
        <v>160</v>
      </c>
      <c r="L23" s="244">
        <v>160</v>
      </c>
      <c r="M23" s="244">
        <v>160</v>
      </c>
      <c r="N23" s="244">
        <v>160</v>
      </c>
      <c r="O23" s="244">
        <v>160</v>
      </c>
      <c r="P23" s="244">
        <v>160</v>
      </c>
      <c r="Q23" s="244">
        <v>160</v>
      </c>
      <c r="R23" s="244">
        <v>160</v>
      </c>
      <c r="S23" s="244">
        <v>160</v>
      </c>
      <c r="T23" s="244">
        <v>160</v>
      </c>
      <c r="U23" s="244">
        <v>160</v>
      </c>
      <c r="V23" s="244">
        <v>160</v>
      </c>
      <c r="W23" s="244">
        <v>160</v>
      </c>
      <c r="X23" s="244">
        <v>160</v>
      </c>
      <c r="Y23" s="244">
        <v>160</v>
      </c>
      <c r="Z23" s="244">
        <v>160</v>
      </c>
      <c r="AA23" s="244">
        <v>160</v>
      </c>
      <c r="AB23" s="244">
        <v>160</v>
      </c>
      <c r="AC23" s="244">
        <v>160</v>
      </c>
      <c r="AD23" s="244">
        <v>160</v>
      </c>
      <c r="AE23" s="244">
        <v>160</v>
      </c>
      <c r="AF23" s="244">
        <v>160</v>
      </c>
      <c r="AG23" s="244">
        <v>160</v>
      </c>
      <c r="AH23" s="244">
        <v>160</v>
      </c>
      <c r="AI23" s="244">
        <v>160</v>
      </c>
      <c r="AJ23" s="244">
        <v>160</v>
      </c>
      <c r="AK23" s="244">
        <v>160</v>
      </c>
      <c r="AL23" s="244">
        <v>160</v>
      </c>
      <c r="AM23" s="244">
        <v>160</v>
      </c>
      <c r="AN23" s="244">
        <v>160</v>
      </c>
      <c r="AO23" s="244">
        <v>160</v>
      </c>
      <c r="AP23" s="244">
        <v>160</v>
      </c>
      <c r="AQ23" s="244">
        <v>160</v>
      </c>
      <c r="AR23" s="244">
        <v>160</v>
      </c>
      <c r="AS23" s="244">
        <v>160</v>
      </c>
      <c r="AT23" s="244">
        <v>160</v>
      </c>
      <c r="AU23" s="244">
        <v>160</v>
      </c>
      <c r="AV23" s="244">
        <v>160</v>
      </c>
      <c r="AW23" s="244">
        <v>160</v>
      </c>
      <c r="AX23" s="244">
        <v>160</v>
      </c>
      <c r="AY23" s="244">
        <v>160</v>
      </c>
      <c r="AZ23" s="244">
        <v>160</v>
      </c>
    </row>
    <row r="24" spans="1:52" x14ac:dyDescent="0.25">
      <c r="A24" s="246" t="str">
        <f t="shared" si="3"/>
        <v>LOA11TProd Receipt</v>
      </c>
      <c r="B24" s="246" t="s">
        <v>1409</v>
      </c>
      <c r="C24" s="246">
        <v>22000013</v>
      </c>
      <c r="D24" s="246" t="s">
        <v>1406</v>
      </c>
      <c r="E24" s="246"/>
      <c r="F24" s="246" t="e">
        <f>VLOOKUP($C24,#REF!,F$1,0)</f>
        <v>#REF!</v>
      </c>
      <c r="G24" s="246" t="e">
        <f>VLOOKUP($C24,#REF!,G$1,0)</f>
        <v>#REF!</v>
      </c>
      <c r="H24" s="246" t="e">
        <f>VLOOKUP($C24,#REF!,H$1,0)</f>
        <v>#REF!</v>
      </c>
      <c r="I24" s="246" t="e">
        <f>VLOOKUP($C24,#REF!,I$1,0)</f>
        <v>#REF!</v>
      </c>
      <c r="J24" s="246" t="e">
        <f>VLOOKUP($C24,#REF!,J$1,0)</f>
        <v>#REF!</v>
      </c>
      <c r="K24" s="246" t="e">
        <f>VLOOKUP($C24,#REF!,K$1,0)</f>
        <v>#REF!</v>
      </c>
      <c r="L24" s="246" t="e">
        <f>VLOOKUP($C24,#REF!,L$1,0)</f>
        <v>#REF!</v>
      </c>
      <c r="M24" s="246" t="e">
        <f>VLOOKUP($C24,#REF!,M$1,0)</f>
        <v>#REF!</v>
      </c>
      <c r="N24" s="246" t="e">
        <f>VLOOKUP($C24,#REF!,N$1,0)</f>
        <v>#REF!</v>
      </c>
      <c r="O24" s="246" t="e">
        <f>VLOOKUP($C24,#REF!,O$1,0)</f>
        <v>#REF!</v>
      </c>
      <c r="P24" s="246" t="e">
        <f>VLOOKUP($C24,#REF!,P$1,0)</f>
        <v>#REF!</v>
      </c>
      <c r="Q24" s="246" t="e">
        <f>VLOOKUP($C24,#REF!,Q$1,0)</f>
        <v>#REF!</v>
      </c>
      <c r="R24" s="246" t="e">
        <f>VLOOKUP($C24,#REF!,R$1,0)</f>
        <v>#REF!</v>
      </c>
      <c r="S24" s="246" t="e">
        <f>VLOOKUP($C24,#REF!,S$1,0)</f>
        <v>#REF!</v>
      </c>
      <c r="T24" s="246" t="e">
        <f>VLOOKUP($C24,#REF!,T$1,0)</f>
        <v>#REF!</v>
      </c>
      <c r="U24" s="246"/>
      <c r="V24" s="246"/>
      <c r="W24" s="246"/>
      <c r="X24" s="246"/>
      <c r="Y24" s="246"/>
      <c r="Z24" s="246"/>
      <c r="AA24" s="246"/>
      <c r="AB24" s="246"/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  <c r="AN24" s="246"/>
      <c r="AO24" s="246"/>
      <c r="AP24" s="246"/>
      <c r="AQ24" s="246"/>
      <c r="AR24" s="246"/>
      <c r="AS24" s="246"/>
      <c r="AT24" s="246"/>
      <c r="AU24" s="246"/>
      <c r="AV24" s="246"/>
      <c r="AW24" s="246"/>
      <c r="AX24" s="246"/>
      <c r="AY24" s="246"/>
      <c r="AZ24" s="246"/>
    </row>
    <row r="25" spans="1:52" x14ac:dyDescent="0.25">
      <c r="A25" s="241" t="str">
        <f t="shared" si="3"/>
        <v>LOA11TTotal Suppy</v>
      </c>
      <c r="B25" s="241" t="s">
        <v>1409</v>
      </c>
      <c r="C25" s="241">
        <v>22000013</v>
      </c>
      <c r="D25" s="241" t="s">
        <v>1407</v>
      </c>
      <c r="E25" s="241"/>
      <c r="F25" s="241">
        <v>0</v>
      </c>
      <c r="G25" s="245" t="e">
        <f>F24</f>
        <v>#REF!</v>
      </c>
      <c r="H25" s="241" t="e">
        <f>G24</f>
        <v>#REF!</v>
      </c>
      <c r="I25" s="241" t="e">
        <f>H24</f>
        <v>#REF!</v>
      </c>
      <c r="J25" s="241">
        <f>+I23</f>
        <v>160</v>
      </c>
      <c r="K25" s="241">
        <f t="shared" ref="K25:L25" si="13">+J23</f>
        <v>160</v>
      </c>
      <c r="L25" s="241">
        <f t="shared" si="13"/>
        <v>160</v>
      </c>
      <c r="M25" s="241" t="e">
        <f t="shared" ref="M25:X25" si="14">+J24</f>
        <v>#REF!</v>
      </c>
      <c r="N25" s="241" t="e">
        <f t="shared" si="14"/>
        <v>#REF!</v>
      </c>
      <c r="O25" s="241" t="e">
        <f t="shared" si="14"/>
        <v>#REF!</v>
      </c>
      <c r="P25" s="241" t="e">
        <f t="shared" si="14"/>
        <v>#REF!</v>
      </c>
      <c r="Q25" s="241" t="e">
        <f t="shared" si="14"/>
        <v>#REF!</v>
      </c>
      <c r="R25" s="241" t="e">
        <f t="shared" si="14"/>
        <v>#REF!</v>
      </c>
      <c r="S25" s="241" t="e">
        <f t="shared" si="14"/>
        <v>#REF!</v>
      </c>
      <c r="T25" s="241" t="e">
        <f t="shared" si="14"/>
        <v>#REF!</v>
      </c>
      <c r="U25" s="241" t="e">
        <f t="shared" si="14"/>
        <v>#REF!</v>
      </c>
      <c r="V25" s="241" t="e">
        <f t="shared" si="14"/>
        <v>#REF!</v>
      </c>
      <c r="W25" s="241" t="e">
        <f t="shared" si="14"/>
        <v>#REF!</v>
      </c>
      <c r="X25" s="241">
        <f t="shared" si="14"/>
        <v>0</v>
      </c>
      <c r="Y25" s="241"/>
      <c r="Z25" s="241"/>
      <c r="AA25" s="241"/>
      <c r="AB25" s="241"/>
      <c r="AC25" s="241"/>
      <c r="AD25" s="241"/>
      <c r="AE25" s="241"/>
      <c r="AF25" s="241"/>
      <c r="AG25" s="241"/>
      <c r="AH25" s="241"/>
      <c r="AI25" s="241"/>
      <c r="AJ25" s="241"/>
      <c r="AK25" s="241"/>
      <c r="AL25" s="241"/>
      <c r="AM25" s="241"/>
      <c r="AN25" s="241"/>
      <c r="AO25" s="241"/>
      <c r="AP25" s="241"/>
      <c r="AQ25" s="241"/>
      <c r="AR25" s="241"/>
      <c r="AS25" s="241"/>
      <c r="AT25" s="241"/>
      <c r="AU25" s="241"/>
      <c r="AV25" s="241"/>
      <c r="AW25" s="241"/>
      <c r="AX25" s="241"/>
      <c r="AY25" s="241"/>
      <c r="AZ25" s="241"/>
    </row>
    <row r="26" spans="1:52" x14ac:dyDescent="0.25">
      <c r="A26" s="247" t="str">
        <f t="shared" si="3"/>
        <v>LOA11TClosing Stks</v>
      </c>
      <c r="B26" s="247" t="s">
        <v>1409</v>
      </c>
      <c r="C26" s="247">
        <v>22000013</v>
      </c>
      <c r="D26" s="247" t="s">
        <v>1408</v>
      </c>
      <c r="E26" s="247"/>
      <c r="F26" s="247">
        <f>E23+F25-F22</f>
        <v>0</v>
      </c>
      <c r="G26" s="248">
        <v>0</v>
      </c>
      <c r="H26" s="248" t="e">
        <f>G26+H25-H22</f>
        <v>#REF!</v>
      </c>
      <c r="I26" s="248" t="e">
        <f>H26+I25-I22</f>
        <v>#REF!</v>
      </c>
      <c r="J26" s="248" t="e">
        <f>I26+J25-J22</f>
        <v>#REF!</v>
      </c>
      <c r="K26" s="248" t="e">
        <f t="shared" ref="K26:N26" si="15">J26+K25-K22</f>
        <v>#REF!</v>
      </c>
      <c r="L26" s="248" t="e">
        <f t="shared" si="15"/>
        <v>#REF!</v>
      </c>
      <c r="M26" s="248" t="e">
        <f t="shared" si="15"/>
        <v>#REF!</v>
      </c>
      <c r="N26" s="248" t="e">
        <f t="shared" si="15"/>
        <v>#REF!</v>
      </c>
      <c r="O26" s="248" t="e">
        <f>N26+O25-O22</f>
        <v>#REF!</v>
      </c>
      <c r="P26" s="248" t="e">
        <f>O26+P23-P22</f>
        <v>#REF!</v>
      </c>
      <c r="Q26" s="248" t="e">
        <f t="shared" ref="Q26:AZ26" si="16">P26+Q23-Q22</f>
        <v>#REF!</v>
      </c>
      <c r="R26" s="248" t="e">
        <f t="shared" si="16"/>
        <v>#REF!</v>
      </c>
      <c r="S26" s="248" t="e">
        <f t="shared" si="16"/>
        <v>#REF!</v>
      </c>
      <c r="T26" s="248" t="e">
        <f t="shared" si="16"/>
        <v>#REF!</v>
      </c>
      <c r="U26" s="248" t="e">
        <f t="shared" si="16"/>
        <v>#REF!</v>
      </c>
      <c r="V26" s="248" t="e">
        <f t="shared" si="16"/>
        <v>#REF!</v>
      </c>
      <c r="W26" s="248" t="e">
        <f t="shared" si="16"/>
        <v>#REF!</v>
      </c>
      <c r="X26" s="248" t="e">
        <f t="shared" si="16"/>
        <v>#REF!</v>
      </c>
      <c r="Y26" s="248" t="e">
        <f t="shared" si="16"/>
        <v>#REF!</v>
      </c>
      <c r="Z26" s="248" t="e">
        <f t="shared" si="16"/>
        <v>#REF!</v>
      </c>
      <c r="AA26" s="248" t="e">
        <f t="shared" si="16"/>
        <v>#REF!</v>
      </c>
      <c r="AB26" s="248" t="e">
        <f t="shared" si="16"/>
        <v>#REF!</v>
      </c>
      <c r="AC26" s="248" t="e">
        <f t="shared" si="16"/>
        <v>#REF!</v>
      </c>
      <c r="AD26" s="248" t="e">
        <f t="shared" si="16"/>
        <v>#REF!</v>
      </c>
      <c r="AE26" s="248" t="e">
        <f t="shared" si="16"/>
        <v>#REF!</v>
      </c>
      <c r="AF26" s="248" t="e">
        <f t="shared" si="16"/>
        <v>#REF!</v>
      </c>
      <c r="AG26" s="248" t="e">
        <f t="shared" si="16"/>
        <v>#REF!</v>
      </c>
      <c r="AH26" s="248" t="e">
        <f t="shared" si="16"/>
        <v>#REF!</v>
      </c>
      <c r="AI26" s="248" t="e">
        <f t="shared" si="16"/>
        <v>#REF!</v>
      </c>
      <c r="AJ26" s="248" t="e">
        <f t="shared" si="16"/>
        <v>#REF!</v>
      </c>
      <c r="AK26" s="248" t="e">
        <f t="shared" si="16"/>
        <v>#REF!</v>
      </c>
      <c r="AL26" s="248" t="e">
        <f t="shared" si="16"/>
        <v>#REF!</v>
      </c>
      <c r="AM26" s="248" t="e">
        <f t="shared" si="16"/>
        <v>#REF!</v>
      </c>
      <c r="AN26" s="248" t="e">
        <f t="shared" si="16"/>
        <v>#REF!</v>
      </c>
      <c r="AO26" s="248" t="e">
        <f t="shared" si="16"/>
        <v>#REF!</v>
      </c>
      <c r="AP26" s="248" t="e">
        <f t="shared" si="16"/>
        <v>#REF!</v>
      </c>
      <c r="AQ26" s="248" t="e">
        <f t="shared" si="16"/>
        <v>#REF!</v>
      </c>
      <c r="AR26" s="248" t="e">
        <f t="shared" si="16"/>
        <v>#REF!</v>
      </c>
      <c r="AS26" s="248" t="e">
        <f t="shared" si="16"/>
        <v>#REF!</v>
      </c>
      <c r="AT26" s="248" t="e">
        <f t="shared" si="16"/>
        <v>#REF!</v>
      </c>
      <c r="AU26" s="248" t="e">
        <f t="shared" si="16"/>
        <v>#REF!</v>
      </c>
      <c r="AV26" s="248" t="e">
        <f t="shared" si="16"/>
        <v>#REF!</v>
      </c>
      <c r="AW26" s="248" t="e">
        <f t="shared" si="16"/>
        <v>#REF!</v>
      </c>
      <c r="AX26" s="248" t="e">
        <f t="shared" si="16"/>
        <v>#REF!</v>
      </c>
      <c r="AY26" s="248" t="e">
        <f t="shared" si="16"/>
        <v>#REF!</v>
      </c>
      <c r="AZ26" s="248" t="e">
        <f t="shared" si="16"/>
        <v>#REF!</v>
      </c>
    </row>
    <row r="27" spans="1:52" x14ac:dyDescent="0.25">
      <c r="A27" s="241" t="str">
        <f t="shared" si="3"/>
        <v>LOCA25(P)Forecast</v>
      </c>
      <c r="B27" s="241" t="s">
        <v>1410</v>
      </c>
      <c r="C27" s="241">
        <v>22000087</v>
      </c>
      <c r="D27" s="241" t="s">
        <v>1403</v>
      </c>
      <c r="E27" s="241"/>
      <c r="F27" s="241"/>
      <c r="G27" s="241"/>
      <c r="H27" s="241"/>
      <c r="I27" s="241"/>
      <c r="J27" s="241"/>
      <c r="K27" s="241"/>
      <c r="L27" s="241">
        <v>0</v>
      </c>
      <c r="M27" s="241"/>
      <c r="N27" s="241"/>
      <c r="O27" s="241"/>
      <c r="P27" s="241"/>
      <c r="Q27" s="241"/>
      <c r="R27" s="241"/>
      <c r="S27" s="241">
        <v>0</v>
      </c>
      <c r="T27" s="241"/>
      <c r="U27" s="241"/>
      <c r="V27" s="241"/>
      <c r="W27" s="241"/>
      <c r="X27" s="241"/>
      <c r="Y27" s="241"/>
      <c r="Z27" s="241">
        <v>0</v>
      </c>
      <c r="AA27" s="241"/>
      <c r="AB27" s="241"/>
      <c r="AC27" s="241"/>
      <c r="AD27" s="241"/>
      <c r="AE27" s="241"/>
      <c r="AF27" s="241"/>
      <c r="AG27" s="241"/>
      <c r="AH27" s="241"/>
      <c r="AI27" s="241"/>
      <c r="AJ27" s="241"/>
      <c r="AK27" s="241"/>
      <c r="AL27" s="241"/>
      <c r="AM27" s="241"/>
      <c r="AN27" s="241"/>
      <c r="AO27" s="241"/>
      <c r="AP27" s="241"/>
      <c r="AQ27" s="241"/>
      <c r="AR27" s="241"/>
      <c r="AS27" s="241"/>
      <c r="AT27" s="241"/>
      <c r="AU27" s="241"/>
      <c r="AV27" s="241"/>
      <c r="AW27" s="241"/>
      <c r="AX27" s="241"/>
      <c r="AY27" s="241"/>
      <c r="AZ27" s="241"/>
    </row>
    <row r="28" spans="1:52" x14ac:dyDescent="0.25">
      <c r="A28" s="241" t="str">
        <f t="shared" si="3"/>
        <v>LOCA25(P)Total OR</v>
      </c>
      <c r="B28" s="241" t="s">
        <v>1410</v>
      </c>
      <c r="C28" s="241">
        <v>22000087</v>
      </c>
      <c r="D28" s="241" t="s">
        <v>1404</v>
      </c>
      <c r="E28" s="241"/>
      <c r="F28" s="241">
        <v>0</v>
      </c>
      <c r="G28" s="241">
        <v>10</v>
      </c>
      <c r="H28" s="241">
        <v>30</v>
      </c>
      <c r="I28" s="241">
        <v>10</v>
      </c>
      <c r="J28" s="241">
        <v>20</v>
      </c>
      <c r="K28" s="241"/>
      <c r="L28" s="241">
        <v>0</v>
      </c>
      <c r="M28" s="241">
        <v>30</v>
      </c>
      <c r="N28" s="241">
        <v>20</v>
      </c>
      <c r="O28" s="241">
        <v>10</v>
      </c>
      <c r="P28" s="241">
        <v>10</v>
      </c>
      <c r="Q28" s="241">
        <v>10</v>
      </c>
      <c r="R28" s="241"/>
      <c r="S28" s="241">
        <v>0</v>
      </c>
      <c r="T28" s="241">
        <v>30</v>
      </c>
      <c r="U28" s="241">
        <v>20</v>
      </c>
      <c r="V28" s="241">
        <v>10</v>
      </c>
      <c r="W28" s="241">
        <v>10</v>
      </c>
      <c r="X28" s="241">
        <v>10</v>
      </c>
      <c r="Y28" s="241"/>
      <c r="Z28" s="241">
        <v>0</v>
      </c>
      <c r="AA28" s="241">
        <v>30</v>
      </c>
      <c r="AB28" s="241">
        <v>20</v>
      </c>
      <c r="AC28" s="241">
        <v>10</v>
      </c>
      <c r="AD28" s="241">
        <v>10</v>
      </c>
      <c r="AE28" s="241">
        <v>10</v>
      </c>
      <c r="AF28" s="241"/>
      <c r="AG28" s="241"/>
      <c r="AH28" s="241">
        <v>30</v>
      </c>
      <c r="AI28" s="241">
        <v>20</v>
      </c>
      <c r="AJ28" s="241">
        <v>10</v>
      </c>
      <c r="AK28" s="241">
        <v>10</v>
      </c>
      <c r="AL28" s="241">
        <v>10</v>
      </c>
      <c r="AM28" s="241"/>
      <c r="AN28" s="241"/>
      <c r="AO28" s="241">
        <v>30</v>
      </c>
      <c r="AP28" s="241">
        <v>20</v>
      </c>
      <c r="AQ28" s="241">
        <v>10</v>
      </c>
      <c r="AR28" s="241">
        <v>10</v>
      </c>
      <c r="AS28" s="241">
        <v>10</v>
      </c>
      <c r="AT28" s="241">
        <v>10</v>
      </c>
      <c r="AU28" s="241">
        <v>10</v>
      </c>
      <c r="AV28" s="241">
        <v>10</v>
      </c>
      <c r="AW28" s="241">
        <v>10</v>
      </c>
      <c r="AX28" s="241">
        <v>10</v>
      </c>
      <c r="AY28" s="241">
        <v>10</v>
      </c>
      <c r="AZ28" s="241">
        <v>10</v>
      </c>
    </row>
    <row r="29" spans="1:52" x14ac:dyDescent="0.25">
      <c r="A29" s="244" t="str">
        <f t="shared" si="3"/>
        <v>LOCA25(P)Prod Plan</v>
      </c>
      <c r="B29" s="244" t="s">
        <v>1410</v>
      </c>
      <c r="C29" s="244">
        <v>22000087</v>
      </c>
      <c r="D29" s="244" t="s">
        <v>1405</v>
      </c>
      <c r="E29" s="244">
        <v>100</v>
      </c>
      <c r="F29" s="245">
        <v>56</v>
      </c>
      <c r="G29" s="244">
        <v>50</v>
      </c>
      <c r="H29" s="244">
        <v>0</v>
      </c>
      <c r="I29" s="244">
        <v>50</v>
      </c>
      <c r="J29" s="244">
        <v>0</v>
      </c>
      <c r="K29" s="244">
        <v>0</v>
      </c>
      <c r="L29" s="244">
        <v>30</v>
      </c>
      <c r="M29" s="244">
        <v>0</v>
      </c>
      <c r="N29" s="244">
        <v>0</v>
      </c>
      <c r="O29" s="244">
        <v>30</v>
      </c>
      <c r="P29" s="244">
        <v>0</v>
      </c>
      <c r="Q29" s="244">
        <v>0</v>
      </c>
      <c r="R29" s="244">
        <v>30</v>
      </c>
      <c r="S29" s="244">
        <v>0</v>
      </c>
      <c r="T29" s="244">
        <v>0</v>
      </c>
      <c r="U29" s="244">
        <v>40</v>
      </c>
      <c r="V29" s="244">
        <v>0</v>
      </c>
      <c r="W29" s="244">
        <v>0</v>
      </c>
      <c r="X29" s="244">
        <v>30</v>
      </c>
      <c r="Y29" s="244">
        <v>0</v>
      </c>
      <c r="Z29" s="244">
        <v>0</v>
      </c>
      <c r="AA29" s="244">
        <v>30</v>
      </c>
      <c r="AB29" s="244">
        <v>0</v>
      </c>
      <c r="AC29" s="244">
        <v>0</v>
      </c>
      <c r="AD29" s="244">
        <v>30</v>
      </c>
      <c r="AE29" s="244">
        <v>0</v>
      </c>
      <c r="AF29" s="244">
        <v>0</v>
      </c>
      <c r="AG29" s="244">
        <v>30</v>
      </c>
      <c r="AH29" s="244">
        <v>0</v>
      </c>
      <c r="AI29" s="244">
        <v>0</v>
      </c>
      <c r="AJ29" s="244">
        <v>30</v>
      </c>
      <c r="AK29" s="244">
        <v>0</v>
      </c>
      <c r="AL29" s="244">
        <v>0</v>
      </c>
      <c r="AM29" s="244">
        <v>30</v>
      </c>
      <c r="AN29" s="244">
        <v>0</v>
      </c>
      <c r="AO29" s="244">
        <v>0</v>
      </c>
      <c r="AP29" s="244">
        <v>30</v>
      </c>
      <c r="AQ29" s="244">
        <v>0</v>
      </c>
      <c r="AR29" s="244">
        <v>0</v>
      </c>
      <c r="AS29" s="244">
        <v>0</v>
      </c>
      <c r="AT29" s="244">
        <v>0</v>
      </c>
      <c r="AU29" s="244">
        <v>0</v>
      </c>
      <c r="AV29" s="244">
        <v>0</v>
      </c>
      <c r="AW29" s="244">
        <v>0</v>
      </c>
      <c r="AX29" s="244">
        <v>0</v>
      </c>
      <c r="AY29" s="244">
        <v>0</v>
      </c>
      <c r="AZ29" s="244">
        <v>0</v>
      </c>
    </row>
    <row r="30" spans="1:52" x14ac:dyDescent="0.25">
      <c r="A30" s="246" t="str">
        <f t="shared" si="3"/>
        <v>LOCA25(P)Prod Receipt</v>
      </c>
      <c r="B30" s="246" t="s">
        <v>1410</v>
      </c>
      <c r="C30" s="246">
        <v>22000087</v>
      </c>
      <c r="D30" s="246" t="s">
        <v>1406</v>
      </c>
      <c r="E30" s="246"/>
      <c r="F30" s="246" t="e">
        <f>VLOOKUP($C30,#REF!,F$1,0)</f>
        <v>#REF!</v>
      </c>
      <c r="G30" s="246" t="e">
        <f>VLOOKUP($C30,#REF!,G$1,0)</f>
        <v>#REF!</v>
      </c>
      <c r="H30" s="246" t="e">
        <f>VLOOKUP($C30,#REF!,H$1,0)</f>
        <v>#REF!</v>
      </c>
      <c r="I30" s="246" t="e">
        <f>VLOOKUP($C30,#REF!,I$1,0)</f>
        <v>#REF!</v>
      </c>
      <c r="J30" s="246" t="e">
        <f>VLOOKUP($C30,#REF!,J$1,0)</f>
        <v>#REF!</v>
      </c>
      <c r="K30" s="246" t="e">
        <f>VLOOKUP($C30,#REF!,K$1,0)</f>
        <v>#REF!</v>
      </c>
      <c r="L30" s="246" t="e">
        <f>VLOOKUP($C30,#REF!,L$1,0)</f>
        <v>#REF!</v>
      </c>
      <c r="M30" s="246" t="e">
        <f>VLOOKUP($C30,#REF!,M$1,0)</f>
        <v>#REF!</v>
      </c>
      <c r="N30" s="246" t="e">
        <f>VLOOKUP($C30,#REF!,N$1,0)</f>
        <v>#REF!</v>
      </c>
      <c r="O30" s="246" t="e">
        <f>VLOOKUP($C30,#REF!,O$1,0)</f>
        <v>#REF!</v>
      </c>
      <c r="P30" s="246" t="e">
        <f>VLOOKUP($C30,#REF!,P$1,0)</f>
        <v>#REF!</v>
      </c>
      <c r="Q30" s="246" t="e">
        <f>VLOOKUP($C30,#REF!,Q$1,0)</f>
        <v>#REF!</v>
      </c>
      <c r="R30" s="246" t="e">
        <f>VLOOKUP($C30,#REF!,R$1,0)</f>
        <v>#REF!</v>
      </c>
      <c r="S30" s="246" t="e">
        <f>VLOOKUP($C30,#REF!,S$1,0)</f>
        <v>#REF!</v>
      </c>
      <c r="T30" s="246" t="e">
        <f>VLOOKUP($C30,#REF!,T$1,0)</f>
        <v>#REF!</v>
      </c>
      <c r="U30" s="246"/>
      <c r="V30" s="246"/>
      <c r="W30" s="246"/>
      <c r="X30" s="246"/>
      <c r="Y30" s="246"/>
      <c r="Z30" s="246"/>
      <c r="AA30" s="246"/>
      <c r="AB30" s="246"/>
      <c r="AC30" s="246"/>
      <c r="AD30" s="246"/>
      <c r="AE30" s="246"/>
      <c r="AF30" s="246"/>
      <c r="AG30" s="246"/>
      <c r="AH30" s="246"/>
      <c r="AI30" s="246"/>
      <c r="AJ30" s="246"/>
      <c r="AK30" s="246"/>
      <c r="AL30" s="246"/>
      <c r="AM30" s="246"/>
      <c r="AN30" s="246"/>
      <c r="AO30" s="246"/>
      <c r="AP30" s="246"/>
      <c r="AQ30" s="246"/>
      <c r="AR30" s="246"/>
      <c r="AS30" s="246"/>
      <c r="AT30" s="246"/>
      <c r="AU30" s="246"/>
      <c r="AV30" s="246"/>
      <c r="AW30" s="246"/>
      <c r="AX30" s="246"/>
      <c r="AY30" s="246"/>
      <c r="AZ30" s="246"/>
    </row>
    <row r="31" spans="1:52" x14ac:dyDescent="0.25">
      <c r="A31" s="241" t="str">
        <f t="shared" si="3"/>
        <v>LOCA25(P)Total Suppy</v>
      </c>
      <c r="B31" s="241" t="s">
        <v>1410</v>
      </c>
      <c r="C31" s="241">
        <v>22000087</v>
      </c>
      <c r="D31" s="241" t="s">
        <v>1407</v>
      </c>
      <c r="E31" s="241"/>
      <c r="F31" s="241">
        <v>0</v>
      </c>
      <c r="G31" s="241">
        <v>0</v>
      </c>
      <c r="H31" s="241">
        <v>0</v>
      </c>
      <c r="I31" s="241">
        <v>0</v>
      </c>
      <c r="J31" s="241">
        <v>0</v>
      </c>
      <c r="K31" s="241">
        <f>G29</f>
        <v>50</v>
      </c>
      <c r="L31" s="241">
        <f>H29</f>
        <v>0</v>
      </c>
      <c r="M31" s="241">
        <f t="shared" ref="M31:AC31" si="17">I29</f>
        <v>50</v>
      </c>
      <c r="N31" s="241">
        <f t="shared" si="17"/>
        <v>0</v>
      </c>
      <c r="O31" s="241">
        <f t="shared" si="17"/>
        <v>0</v>
      </c>
      <c r="P31" s="241">
        <f t="shared" si="17"/>
        <v>30</v>
      </c>
      <c r="Q31" s="241">
        <f t="shared" si="17"/>
        <v>0</v>
      </c>
      <c r="R31" s="241">
        <f t="shared" si="17"/>
        <v>0</v>
      </c>
      <c r="S31" s="241">
        <f t="shared" si="17"/>
        <v>30</v>
      </c>
      <c r="T31" s="241">
        <f t="shared" si="17"/>
        <v>0</v>
      </c>
      <c r="U31" s="241">
        <f t="shared" si="17"/>
        <v>0</v>
      </c>
      <c r="V31" s="241">
        <f t="shared" si="17"/>
        <v>30</v>
      </c>
      <c r="W31" s="241">
        <f t="shared" si="17"/>
        <v>0</v>
      </c>
      <c r="X31" s="241">
        <f t="shared" si="17"/>
        <v>0</v>
      </c>
      <c r="Y31" s="241">
        <f t="shared" si="17"/>
        <v>40</v>
      </c>
      <c r="Z31" s="241">
        <f t="shared" si="17"/>
        <v>0</v>
      </c>
      <c r="AA31" s="241">
        <f t="shared" si="17"/>
        <v>0</v>
      </c>
      <c r="AB31" s="241">
        <f t="shared" si="17"/>
        <v>30</v>
      </c>
      <c r="AC31" s="241">
        <f t="shared" si="17"/>
        <v>0</v>
      </c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1"/>
      <c r="AO31" s="241"/>
      <c r="AP31" s="241"/>
      <c r="AQ31" s="241"/>
      <c r="AR31" s="241"/>
      <c r="AS31" s="241"/>
      <c r="AT31" s="241"/>
      <c r="AU31" s="241"/>
      <c r="AV31" s="241"/>
      <c r="AW31" s="241"/>
      <c r="AX31" s="241"/>
      <c r="AY31" s="241"/>
      <c r="AZ31" s="241"/>
    </row>
    <row r="32" spans="1:52" x14ac:dyDescent="0.25">
      <c r="A32" s="247" t="str">
        <f t="shared" si="3"/>
        <v>LOCA25(P)Closing Stks</v>
      </c>
      <c r="B32" s="247" t="s">
        <v>1410</v>
      </c>
      <c r="C32" s="247">
        <v>22000087</v>
      </c>
      <c r="D32" s="247" t="s">
        <v>1408</v>
      </c>
      <c r="E32" s="247"/>
      <c r="F32" s="247">
        <f>E29+F31-F28</f>
        <v>100</v>
      </c>
      <c r="G32" s="248">
        <f>F32+G31-G28</f>
        <v>90</v>
      </c>
      <c r="H32" s="248">
        <f>G32+H31-H28</f>
        <v>60</v>
      </c>
      <c r="I32" s="248">
        <f>H32+I31-I28</f>
        <v>50</v>
      </c>
      <c r="J32" s="248">
        <f>I32+J31-J28</f>
        <v>30</v>
      </c>
      <c r="K32" s="248">
        <f t="shared" ref="K32:N32" si="18">J32+K31-K28</f>
        <v>80</v>
      </c>
      <c r="L32" s="248">
        <f t="shared" si="18"/>
        <v>80</v>
      </c>
      <c r="M32" s="248">
        <f t="shared" si="18"/>
        <v>100</v>
      </c>
      <c r="N32" s="248">
        <f t="shared" si="18"/>
        <v>80</v>
      </c>
      <c r="O32" s="248">
        <f>N32+O31-O28</f>
        <v>70</v>
      </c>
      <c r="P32" s="248">
        <f>O32+P29-P28</f>
        <v>60</v>
      </c>
      <c r="Q32" s="248">
        <f t="shared" ref="Q32:AZ32" si="19">P32+Q29-Q28</f>
        <v>50</v>
      </c>
      <c r="R32" s="248">
        <f>Q32+R29-R28</f>
        <v>80</v>
      </c>
      <c r="S32" s="248">
        <f t="shared" si="19"/>
        <v>80</v>
      </c>
      <c r="T32" s="248">
        <f t="shared" si="19"/>
        <v>50</v>
      </c>
      <c r="U32" s="248">
        <f t="shared" si="19"/>
        <v>70</v>
      </c>
      <c r="V32" s="248">
        <f t="shared" si="19"/>
        <v>60</v>
      </c>
      <c r="W32" s="248">
        <f t="shared" si="19"/>
        <v>50</v>
      </c>
      <c r="X32" s="248">
        <f t="shared" si="19"/>
        <v>70</v>
      </c>
      <c r="Y32" s="248">
        <f t="shared" si="19"/>
        <v>70</v>
      </c>
      <c r="Z32" s="248">
        <f t="shared" si="19"/>
        <v>70</v>
      </c>
      <c r="AA32" s="248">
        <f t="shared" si="19"/>
        <v>70</v>
      </c>
      <c r="AB32" s="248">
        <f t="shared" si="19"/>
        <v>50</v>
      </c>
      <c r="AC32" s="248">
        <f t="shared" si="19"/>
        <v>40</v>
      </c>
      <c r="AD32" s="248">
        <f t="shared" si="19"/>
        <v>60</v>
      </c>
      <c r="AE32" s="248">
        <f t="shared" si="19"/>
        <v>50</v>
      </c>
      <c r="AF32" s="248">
        <f t="shared" si="19"/>
        <v>50</v>
      </c>
      <c r="AG32" s="248">
        <f t="shared" si="19"/>
        <v>80</v>
      </c>
      <c r="AH32" s="248">
        <f t="shared" si="19"/>
        <v>50</v>
      </c>
      <c r="AI32" s="248">
        <f t="shared" si="19"/>
        <v>30</v>
      </c>
      <c r="AJ32" s="248">
        <f t="shared" si="19"/>
        <v>50</v>
      </c>
      <c r="AK32" s="248">
        <f t="shared" si="19"/>
        <v>40</v>
      </c>
      <c r="AL32" s="248">
        <f t="shared" si="19"/>
        <v>30</v>
      </c>
      <c r="AM32" s="248">
        <f t="shared" si="19"/>
        <v>60</v>
      </c>
      <c r="AN32" s="248">
        <f t="shared" si="19"/>
        <v>60</v>
      </c>
      <c r="AO32" s="248">
        <f t="shared" si="19"/>
        <v>30</v>
      </c>
      <c r="AP32" s="248">
        <f t="shared" si="19"/>
        <v>40</v>
      </c>
      <c r="AQ32" s="248">
        <f t="shared" si="19"/>
        <v>30</v>
      </c>
      <c r="AR32" s="248">
        <f t="shared" si="19"/>
        <v>20</v>
      </c>
      <c r="AS32" s="248">
        <f t="shared" si="19"/>
        <v>10</v>
      </c>
      <c r="AT32" s="248">
        <f t="shared" si="19"/>
        <v>0</v>
      </c>
      <c r="AU32" s="248">
        <f t="shared" si="19"/>
        <v>-10</v>
      </c>
      <c r="AV32" s="248">
        <f t="shared" si="19"/>
        <v>-20</v>
      </c>
      <c r="AW32" s="248">
        <f t="shared" si="19"/>
        <v>-30</v>
      </c>
      <c r="AX32" s="248">
        <f t="shared" si="19"/>
        <v>-40</v>
      </c>
      <c r="AY32" s="248">
        <f t="shared" si="19"/>
        <v>-50</v>
      </c>
      <c r="AZ32" s="248">
        <f t="shared" si="19"/>
        <v>-60</v>
      </c>
    </row>
    <row r="33" spans="1:52" x14ac:dyDescent="0.25">
      <c r="A33" s="241" t="str">
        <f t="shared" si="3"/>
        <v>LOCA-900Forecast</v>
      </c>
      <c r="B33" s="241" t="s">
        <v>1411</v>
      </c>
      <c r="C33" s="241">
        <v>22000088</v>
      </c>
      <c r="D33" s="241" t="s">
        <v>1403</v>
      </c>
      <c r="E33" s="241"/>
      <c r="F33" s="241"/>
      <c r="G33" s="241"/>
      <c r="H33" s="241"/>
      <c r="I33" s="241"/>
      <c r="J33" s="241"/>
      <c r="K33" s="241"/>
      <c r="L33" s="241">
        <v>0</v>
      </c>
      <c r="M33" s="241"/>
      <c r="N33" s="241"/>
      <c r="O33" s="241"/>
      <c r="P33" s="241"/>
      <c r="Q33" s="241"/>
      <c r="R33" s="241"/>
      <c r="S33" s="241">
        <v>0</v>
      </c>
      <c r="T33" s="241"/>
      <c r="U33" s="241"/>
      <c r="V33" s="241"/>
      <c r="W33" s="241"/>
      <c r="X33" s="241"/>
      <c r="Y33" s="241"/>
      <c r="Z33" s="241">
        <v>0</v>
      </c>
      <c r="AA33" s="241"/>
      <c r="AB33" s="241"/>
      <c r="AC33" s="241"/>
      <c r="AD33" s="241"/>
      <c r="AE33" s="241"/>
      <c r="AF33" s="241"/>
      <c r="AG33" s="241"/>
      <c r="AH33" s="241"/>
      <c r="AI33" s="241"/>
      <c r="AJ33" s="241"/>
      <c r="AK33" s="241"/>
      <c r="AL33" s="241"/>
      <c r="AM33" s="241"/>
      <c r="AN33" s="241"/>
      <c r="AO33" s="241"/>
      <c r="AP33" s="241"/>
      <c r="AQ33" s="241"/>
      <c r="AR33" s="241"/>
      <c r="AS33" s="241"/>
      <c r="AT33" s="241"/>
      <c r="AU33" s="241"/>
      <c r="AV33" s="241"/>
      <c r="AW33" s="241"/>
      <c r="AX33" s="241"/>
      <c r="AY33" s="241"/>
      <c r="AZ33" s="241"/>
    </row>
    <row r="34" spans="1:52" x14ac:dyDescent="0.25">
      <c r="A34" s="241" t="str">
        <f t="shared" si="3"/>
        <v>LOCA-900Total OR</v>
      </c>
      <c r="B34" s="241" t="s">
        <v>1411</v>
      </c>
      <c r="C34" s="241">
        <v>22000088</v>
      </c>
      <c r="D34" s="241" t="s">
        <v>1404</v>
      </c>
      <c r="E34" s="241"/>
      <c r="F34" s="241"/>
      <c r="G34" s="241"/>
      <c r="H34" s="241"/>
      <c r="I34" s="241"/>
      <c r="J34" s="241"/>
      <c r="K34" s="241"/>
      <c r="L34" s="241">
        <v>0</v>
      </c>
      <c r="M34" s="241">
        <v>18</v>
      </c>
      <c r="N34" s="241">
        <v>36</v>
      </c>
      <c r="O34" s="241">
        <v>18</v>
      </c>
      <c r="P34" s="241">
        <v>36</v>
      </c>
      <c r="Q34" s="241">
        <v>54</v>
      </c>
      <c r="R34" s="241"/>
      <c r="S34" s="241">
        <v>0</v>
      </c>
      <c r="T34" s="241">
        <v>36</v>
      </c>
      <c r="U34" s="241">
        <v>18</v>
      </c>
      <c r="V34" s="241">
        <v>36</v>
      </c>
      <c r="W34" s="241">
        <v>18</v>
      </c>
      <c r="X34" s="241">
        <v>27</v>
      </c>
      <c r="Y34" s="241"/>
      <c r="Z34" s="241">
        <v>0</v>
      </c>
      <c r="AA34" s="241"/>
      <c r="AB34" s="241"/>
      <c r="AC34" s="241"/>
      <c r="AD34" s="241"/>
      <c r="AE34" s="241"/>
      <c r="AF34" s="241"/>
      <c r="AG34" s="241"/>
      <c r="AH34" s="241"/>
      <c r="AI34" s="241"/>
      <c r="AJ34" s="241"/>
      <c r="AK34" s="241"/>
      <c r="AL34" s="241"/>
      <c r="AM34" s="241"/>
      <c r="AN34" s="241"/>
      <c r="AO34" s="241"/>
      <c r="AP34" s="241"/>
      <c r="AQ34" s="241"/>
      <c r="AR34" s="241"/>
      <c r="AS34" s="241"/>
      <c r="AT34" s="241"/>
      <c r="AU34" s="241"/>
      <c r="AV34" s="241"/>
      <c r="AW34" s="241"/>
      <c r="AX34" s="241"/>
      <c r="AY34" s="241"/>
      <c r="AZ34" s="241"/>
    </row>
    <row r="35" spans="1:52" x14ac:dyDescent="0.25">
      <c r="A35" s="244" t="str">
        <f t="shared" si="3"/>
        <v>LOCA-900Prod Plan</v>
      </c>
      <c r="B35" s="244" t="s">
        <v>1411</v>
      </c>
      <c r="C35" s="244">
        <v>22000088</v>
      </c>
      <c r="D35" s="244" t="s">
        <v>1405</v>
      </c>
      <c r="E35" s="244">
        <v>143</v>
      </c>
      <c r="F35" s="245">
        <v>0</v>
      </c>
      <c r="G35" s="244">
        <v>0</v>
      </c>
      <c r="H35" s="244">
        <v>0</v>
      </c>
      <c r="I35" s="244">
        <v>0</v>
      </c>
      <c r="J35" s="244">
        <v>0</v>
      </c>
      <c r="K35" s="244">
        <v>0</v>
      </c>
      <c r="L35" s="244">
        <v>0</v>
      </c>
      <c r="M35" s="244">
        <v>60</v>
      </c>
      <c r="N35" s="244">
        <v>0</v>
      </c>
      <c r="O35" s="244">
        <v>0</v>
      </c>
      <c r="P35" s="244">
        <v>60</v>
      </c>
      <c r="Q35" s="244">
        <v>0</v>
      </c>
      <c r="R35" s="244">
        <v>0</v>
      </c>
      <c r="S35" s="244">
        <v>0</v>
      </c>
      <c r="T35" s="244">
        <v>50</v>
      </c>
      <c r="U35" s="244">
        <v>0</v>
      </c>
      <c r="V35" s="244">
        <v>0</v>
      </c>
      <c r="W35" s="244">
        <v>50</v>
      </c>
      <c r="X35" s="244">
        <v>0</v>
      </c>
      <c r="Y35" s="244">
        <v>0</v>
      </c>
      <c r="Z35" s="244">
        <v>0</v>
      </c>
      <c r="AA35" s="244">
        <v>0</v>
      </c>
      <c r="AB35" s="244">
        <v>0</v>
      </c>
      <c r="AC35" s="244">
        <v>0</v>
      </c>
      <c r="AD35" s="244">
        <v>0</v>
      </c>
      <c r="AE35" s="244">
        <v>0</v>
      </c>
      <c r="AF35" s="244">
        <v>0</v>
      </c>
      <c r="AG35" s="244">
        <v>0</v>
      </c>
      <c r="AH35" s="244">
        <v>0</v>
      </c>
      <c r="AI35" s="244">
        <v>0</v>
      </c>
      <c r="AJ35" s="244">
        <v>0</v>
      </c>
      <c r="AK35" s="244">
        <v>0</v>
      </c>
      <c r="AL35" s="244">
        <v>0</v>
      </c>
      <c r="AM35" s="244">
        <v>0</v>
      </c>
      <c r="AN35" s="244">
        <v>0</v>
      </c>
      <c r="AO35" s="244">
        <v>0</v>
      </c>
      <c r="AP35" s="244">
        <v>0</v>
      </c>
      <c r="AQ35" s="244">
        <v>0</v>
      </c>
      <c r="AR35" s="244">
        <v>0</v>
      </c>
      <c r="AS35" s="244">
        <v>0</v>
      </c>
      <c r="AT35" s="244">
        <v>0</v>
      </c>
      <c r="AU35" s="244">
        <v>0</v>
      </c>
      <c r="AV35" s="244">
        <v>0</v>
      </c>
      <c r="AW35" s="244">
        <v>0</v>
      </c>
      <c r="AX35" s="244">
        <v>0</v>
      </c>
      <c r="AY35" s="244">
        <v>0</v>
      </c>
      <c r="AZ35" s="244">
        <v>0</v>
      </c>
    </row>
    <row r="36" spans="1:52" x14ac:dyDescent="0.25">
      <c r="A36" s="246" t="str">
        <f t="shared" si="3"/>
        <v>LOCA-900Prod Receipt</v>
      </c>
      <c r="B36" s="246" t="s">
        <v>1411</v>
      </c>
      <c r="C36" s="246">
        <v>22000088</v>
      </c>
      <c r="D36" s="246" t="s">
        <v>1406</v>
      </c>
      <c r="E36" s="246"/>
      <c r="F36" s="246" t="e">
        <f>VLOOKUP($C36,#REF!,F$1,0)</f>
        <v>#REF!</v>
      </c>
      <c r="G36" s="246" t="e">
        <f>VLOOKUP($C36,#REF!,G$1,0)</f>
        <v>#REF!</v>
      </c>
      <c r="H36" s="246" t="e">
        <f>VLOOKUP($C36,#REF!,H$1,0)</f>
        <v>#REF!</v>
      </c>
      <c r="I36" s="246" t="e">
        <f>VLOOKUP($C36,#REF!,I$1,0)</f>
        <v>#REF!</v>
      </c>
      <c r="J36" s="246" t="e">
        <f>VLOOKUP($C36,#REF!,J$1,0)</f>
        <v>#REF!</v>
      </c>
      <c r="K36" s="246" t="e">
        <f>VLOOKUP($C36,#REF!,K$1,0)</f>
        <v>#REF!</v>
      </c>
      <c r="L36" s="246" t="e">
        <f>VLOOKUP($C36,#REF!,L$1,0)</f>
        <v>#REF!</v>
      </c>
      <c r="M36" s="246" t="e">
        <f>VLOOKUP($C36,#REF!,M$1,0)</f>
        <v>#REF!</v>
      </c>
      <c r="N36" s="246" t="e">
        <f>VLOOKUP($C36,#REF!,N$1,0)</f>
        <v>#REF!</v>
      </c>
      <c r="O36" s="246" t="e">
        <f>VLOOKUP($C36,#REF!,O$1,0)</f>
        <v>#REF!</v>
      </c>
      <c r="P36" s="246" t="e">
        <f>VLOOKUP($C36,#REF!,P$1,0)</f>
        <v>#REF!</v>
      </c>
      <c r="Q36" s="246" t="e">
        <f>VLOOKUP($C36,#REF!,Q$1,0)</f>
        <v>#REF!</v>
      </c>
      <c r="R36" s="246" t="e">
        <f>VLOOKUP($C36,#REF!,R$1,0)</f>
        <v>#REF!</v>
      </c>
      <c r="S36" s="246" t="e">
        <f>VLOOKUP($C36,#REF!,S$1,0)</f>
        <v>#REF!</v>
      </c>
      <c r="T36" s="246" t="e">
        <f>VLOOKUP($C36,#REF!,T$1,0)</f>
        <v>#REF!</v>
      </c>
      <c r="U36" s="246"/>
      <c r="V36" s="246"/>
      <c r="W36" s="246"/>
      <c r="X36" s="246"/>
      <c r="Y36" s="246"/>
      <c r="Z36" s="246"/>
      <c r="AA36" s="246"/>
      <c r="AB36" s="246"/>
      <c r="AC36" s="246"/>
      <c r="AD36" s="246"/>
      <c r="AE36" s="246"/>
      <c r="AF36" s="246"/>
      <c r="AG36" s="246"/>
      <c r="AH36" s="246"/>
      <c r="AI36" s="246"/>
      <c r="AJ36" s="246"/>
      <c r="AK36" s="246"/>
      <c r="AL36" s="246"/>
      <c r="AM36" s="246"/>
      <c r="AN36" s="246"/>
      <c r="AO36" s="246"/>
      <c r="AP36" s="246"/>
      <c r="AQ36" s="246"/>
      <c r="AR36" s="246"/>
      <c r="AS36" s="246"/>
      <c r="AT36" s="246"/>
      <c r="AU36" s="246"/>
      <c r="AV36" s="246"/>
      <c r="AW36" s="246"/>
      <c r="AX36" s="246"/>
      <c r="AY36" s="246"/>
      <c r="AZ36" s="246"/>
    </row>
    <row r="37" spans="1:52" x14ac:dyDescent="0.25">
      <c r="A37" s="241" t="str">
        <f t="shared" si="3"/>
        <v>LOCA-900Total Suppy</v>
      </c>
      <c r="B37" s="241" t="s">
        <v>1411</v>
      </c>
      <c r="C37" s="241">
        <v>22000088</v>
      </c>
      <c r="D37" s="241" t="s">
        <v>1407</v>
      </c>
      <c r="E37" s="241"/>
      <c r="F37" s="241">
        <v>0</v>
      </c>
      <c r="G37" s="241">
        <v>0</v>
      </c>
      <c r="H37" s="241">
        <v>0</v>
      </c>
      <c r="I37" s="245">
        <f>+F35</f>
        <v>0</v>
      </c>
      <c r="J37" s="241">
        <f t="shared" ref="J37:L37" si="20">+G35</f>
        <v>0</v>
      </c>
      <c r="K37" s="241">
        <f t="shared" si="20"/>
        <v>0</v>
      </c>
      <c r="L37" s="241">
        <f t="shared" si="20"/>
        <v>0</v>
      </c>
      <c r="M37" s="241" t="e">
        <f t="shared" ref="M37:X37" si="21">+J36</f>
        <v>#REF!</v>
      </c>
      <c r="N37" s="241" t="e">
        <f t="shared" si="21"/>
        <v>#REF!</v>
      </c>
      <c r="O37" s="241" t="e">
        <f t="shared" si="21"/>
        <v>#REF!</v>
      </c>
      <c r="P37" s="241" t="e">
        <f t="shared" si="21"/>
        <v>#REF!</v>
      </c>
      <c r="Q37" s="241" t="e">
        <f t="shared" si="21"/>
        <v>#REF!</v>
      </c>
      <c r="R37" s="241" t="e">
        <f t="shared" si="21"/>
        <v>#REF!</v>
      </c>
      <c r="S37" s="241" t="e">
        <f t="shared" si="21"/>
        <v>#REF!</v>
      </c>
      <c r="T37" s="241" t="e">
        <f t="shared" si="21"/>
        <v>#REF!</v>
      </c>
      <c r="U37" s="241" t="e">
        <f t="shared" si="21"/>
        <v>#REF!</v>
      </c>
      <c r="V37" s="241" t="e">
        <f t="shared" si="21"/>
        <v>#REF!</v>
      </c>
      <c r="W37" s="241" t="e">
        <f t="shared" si="21"/>
        <v>#REF!</v>
      </c>
      <c r="X37" s="241">
        <f t="shared" si="21"/>
        <v>0</v>
      </c>
      <c r="Y37" s="241"/>
      <c r="Z37" s="241"/>
      <c r="AA37" s="241"/>
      <c r="AB37" s="241"/>
      <c r="AC37" s="241"/>
      <c r="AD37" s="241"/>
      <c r="AE37" s="241"/>
      <c r="AF37" s="241"/>
      <c r="AG37" s="241"/>
      <c r="AH37" s="241"/>
      <c r="AI37" s="241"/>
      <c r="AJ37" s="241"/>
      <c r="AK37" s="241"/>
      <c r="AL37" s="241"/>
      <c r="AM37" s="241"/>
      <c r="AN37" s="241"/>
      <c r="AO37" s="241"/>
      <c r="AP37" s="241"/>
      <c r="AQ37" s="241"/>
      <c r="AR37" s="241"/>
      <c r="AS37" s="241"/>
      <c r="AT37" s="241"/>
      <c r="AU37" s="241"/>
      <c r="AV37" s="241"/>
      <c r="AW37" s="241"/>
      <c r="AX37" s="241"/>
      <c r="AY37" s="241"/>
      <c r="AZ37" s="241"/>
    </row>
    <row r="38" spans="1:52" x14ac:dyDescent="0.25">
      <c r="A38" s="247" t="str">
        <f t="shared" si="3"/>
        <v>LOCA-900Closing Stks</v>
      </c>
      <c r="B38" s="247" t="s">
        <v>1411</v>
      </c>
      <c r="C38" s="247">
        <v>22000088</v>
      </c>
      <c r="D38" s="247" t="s">
        <v>1408</v>
      </c>
      <c r="E38" s="247"/>
      <c r="F38" s="248">
        <f>E35+F37-F34</f>
        <v>143</v>
      </c>
      <c r="G38" s="248">
        <f>F38+G37-G34</f>
        <v>143</v>
      </c>
      <c r="H38" s="248">
        <f>G38+H37-H34</f>
        <v>143</v>
      </c>
      <c r="I38" s="248">
        <f>H38+I37-I34</f>
        <v>143</v>
      </c>
      <c r="J38" s="248">
        <f>I38+J37-J34</f>
        <v>143</v>
      </c>
      <c r="K38" s="248">
        <f t="shared" ref="K38:N38" si="22">J38+K37-K34</f>
        <v>143</v>
      </c>
      <c r="L38" s="248">
        <f t="shared" si="22"/>
        <v>143</v>
      </c>
      <c r="M38" s="248" t="e">
        <f t="shared" si="22"/>
        <v>#REF!</v>
      </c>
      <c r="N38" s="248" t="e">
        <f t="shared" si="22"/>
        <v>#REF!</v>
      </c>
      <c r="O38" s="248" t="e">
        <f>N38+O37-O34</f>
        <v>#REF!</v>
      </c>
      <c r="P38" s="248" t="e">
        <f>O38+P35-P34</f>
        <v>#REF!</v>
      </c>
      <c r="Q38" s="248" t="e">
        <f t="shared" ref="Q38:AZ38" si="23">P38+Q35-Q34</f>
        <v>#REF!</v>
      </c>
      <c r="R38" s="248" t="e">
        <f t="shared" si="23"/>
        <v>#REF!</v>
      </c>
      <c r="S38" s="248" t="e">
        <f t="shared" si="23"/>
        <v>#REF!</v>
      </c>
      <c r="T38" s="248" t="e">
        <f t="shared" si="23"/>
        <v>#REF!</v>
      </c>
      <c r="U38" s="248" t="e">
        <f t="shared" si="23"/>
        <v>#REF!</v>
      </c>
      <c r="V38" s="248" t="e">
        <f t="shared" si="23"/>
        <v>#REF!</v>
      </c>
      <c r="W38" s="248" t="e">
        <f t="shared" si="23"/>
        <v>#REF!</v>
      </c>
      <c r="X38" s="248" t="e">
        <f t="shared" si="23"/>
        <v>#REF!</v>
      </c>
      <c r="Y38" s="248" t="e">
        <f t="shared" si="23"/>
        <v>#REF!</v>
      </c>
      <c r="Z38" s="248" t="e">
        <f t="shared" si="23"/>
        <v>#REF!</v>
      </c>
      <c r="AA38" s="248" t="e">
        <f t="shared" si="23"/>
        <v>#REF!</v>
      </c>
      <c r="AB38" s="248" t="e">
        <f t="shared" si="23"/>
        <v>#REF!</v>
      </c>
      <c r="AC38" s="248" t="e">
        <f t="shared" si="23"/>
        <v>#REF!</v>
      </c>
      <c r="AD38" s="248" t="e">
        <f t="shared" si="23"/>
        <v>#REF!</v>
      </c>
      <c r="AE38" s="248" t="e">
        <f t="shared" si="23"/>
        <v>#REF!</v>
      </c>
      <c r="AF38" s="248" t="e">
        <f t="shared" si="23"/>
        <v>#REF!</v>
      </c>
      <c r="AG38" s="248" t="e">
        <f t="shared" si="23"/>
        <v>#REF!</v>
      </c>
      <c r="AH38" s="248" t="e">
        <f t="shared" si="23"/>
        <v>#REF!</v>
      </c>
      <c r="AI38" s="248" t="e">
        <f t="shared" si="23"/>
        <v>#REF!</v>
      </c>
      <c r="AJ38" s="248" t="e">
        <f t="shared" si="23"/>
        <v>#REF!</v>
      </c>
      <c r="AK38" s="248" t="e">
        <f t="shared" si="23"/>
        <v>#REF!</v>
      </c>
      <c r="AL38" s="248" t="e">
        <f t="shared" si="23"/>
        <v>#REF!</v>
      </c>
      <c r="AM38" s="248" t="e">
        <f t="shared" si="23"/>
        <v>#REF!</v>
      </c>
      <c r="AN38" s="248" t="e">
        <f t="shared" si="23"/>
        <v>#REF!</v>
      </c>
      <c r="AO38" s="248" t="e">
        <f t="shared" si="23"/>
        <v>#REF!</v>
      </c>
      <c r="AP38" s="248" t="e">
        <f t="shared" si="23"/>
        <v>#REF!</v>
      </c>
      <c r="AQ38" s="248" t="e">
        <f t="shared" si="23"/>
        <v>#REF!</v>
      </c>
      <c r="AR38" s="248" t="e">
        <f t="shared" si="23"/>
        <v>#REF!</v>
      </c>
      <c r="AS38" s="248" t="e">
        <f t="shared" si="23"/>
        <v>#REF!</v>
      </c>
      <c r="AT38" s="248" t="e">
        <f t="shared" si="23"/>
        <v>#REF!</v>
      </c>
      <c r="AU38" s="248" t="e">
        <f t="shared" si="23"/>
        <v>#REF!</v>
      </c>
      <c r="AV38" s="248" t="e">
        <f t="shared" si="23"/>
        <v>#REF!</v>
      </c>
      <c r="AW38" s="248" t="e">
        <f t="shared" si="23"/>
        <v>#REF!</v>
      </c>
      <c r="AX38" s="248" t="e">
        <f t="shared" si="23"/>
        <v>#REF!</v>
      </c>
      <c r="AY38" s="248" t="e">
        <f t="shared" si="23"/>
        <v>#REF!</v>
      </c>
      <c r="AZ38" s="248" t="e">
        <f t="shared" si="23"/>
        <v>#REF!</v>
      </c>
    </row>
    <row r="39" spans="1:52" x14ac:dyDescent="0.25">
      <c r="A39" s="241" t="str">
        <f t="shared" si="3"/>
        <v>LOIGCXForecast</v>
      </c>
      <c r="B39" s="241" t="s">
        <v>538</v>
      </c>
      <c r="C39" s="241">
        <v>22000105</v>
      </c>
      <c r="D39" s="241" t="s">
        <v>1403</v>
      </c>
      <c r="E39" s="241"/>
      <c r="F39" s="241">
        <v>167</v>
      </c>
      <c r="G39" s="241">
        <v>140</v>
      </c>
      <c r="H39" s="241">
        <v>20</v>
      </c>
      <c r="I39" s="241">
        <v>210</v>
      </c>
      <c r="J39" s="241">
        <v>90</v>
      </c>
      <c r="K39" s="241">
        <v>180</v>
      </c>
      <c r="L39" s="241">
        <v>0</v>
      </c>
      <c r="M39" s="241">
        <v>167</v>
      </c>
      <c r="N39" s="241">
        <v>140</v>
      </c>
      <c r="O39" s="241">
        <v>20</v>
      </c>
      <c r="P39" s="241">
        <v>210</v>
      </c>
      <c r="Q39" s="241">
        <v>90</v>
      </c>
      <c r="R39" s="241">
        <v>180</v>
      </c>
      <c r="S39" s="241">
        <v>0</v>
      </c>
      <c r="T39" s="241">
        <v>167</v>
      </c>
      <c r="U39" s="241">
        <v>140</v>
      </c>
      <c r="V39" s="241">
        <v>20</v>
      </c>
      <c r="W39" s="241">
        <v>210</v>
      </c>
      <c r="X39" s="241">
        <v>90</v>
      </c>
      <c r="Y39" s="241">
        <v>180</v>
      </c>
      <c r="Z39" s="241">
        <v>0</v>
      </c>
      <c r="AA39" s="241">
        <v>167</v>
      </c>
      <c r="AB39" s="241">
        <v>140</v>
      </c>
      <c r="AC39" s="241">
        <v>20</v>
      </c>
      <c r="AD39" s="241">
        <v>210</v>
      </c>
      <c r="AE39" s="241">
        <v>90</v>
      </c>
      <c r="AF39" s="241">
        <v>180</v>
      </c>
      <c r="AG39" s="241">
        <v>145</v>
      </c>
      <c r="AH39" s="241">
        <v>167</v>
      </c>
      <c r="AI39" s="241">
        <v>140</v>
      </c>
      <c r="AJ39" s="241">
        <v>20</v>
      </c>
      <c r="AK39" s="241">
        <v>210</v>
      </c>
      <c r="AL39" s="241">
        <v>90</v>
      </c>
      <c r="AM39" s="241">
        <v>180</v>
      </c>
      <c r="AN39" s="241">
        <v>145</v>
      </c>
      <c r="AO39" s="241">
        <v>167</v>
      </c>
      <c r="AP39" s="241">
        <v>140</v>
      </c>
      <c r="AQ39" s="241">
        <v>20</v>
      </c>
      <c r="AR39" s="241">
        <v>210</v>
      </c>
      <c r="AS39" s="241">
        <v>90</v>
      </c>
      <c r="AT39" s="241">
        <v>90</v>
      </c>
      <c r="AU39" s="241">
        <v>90</v>
      </c>
      <c r="AV39" s="241">
        <v>90</v>
      </c>
      <c r="AW39" s="241">
        <v>90</v>
      </c>
      <c r="AX39" s="241">
        <v>90</v>
      </c>
      <c r="AY39" s="241">
        <v>90</v>
      </c>
      <c r="AZ39" s="241">
        <v>90</v>
      </c>
    </row>
    <row r="40" spans="1:52" x14ac:dyDescent="0.25">
      <c r="A40" s="241" t="str">
        <f t="shared" si="3"/>
        <v>LOIGCXTotal OR</v>
      </c>
      <c r="B40" s="241" t="s">
        <v>538</v>
      </c>
      <c r="C40" s="241">
        <v>22000105</v>
      </c>
      <c r="D40" s="241" t="s">
        <v>1404</v>
      </c>
      <c r="E40" s="241"/>
      <c r="F40" s="241"/>
      <c r="G40" s="241">
        <v>38</v>
      </c>
      <c r="H40" s="241">
        <v>64.5</v>
      </c>
      <c r="I40" s="241">
        <v>35</v>
      </c>
      <c r="J40" s="241">
        <v>35</v>
      </c>
      <c r="K40" s="241">
        <v>25</v>
      </c>
      <c r="L40" s="241">
        <v>0</v>
      </c>
      <c r="M40" s="241">
        <v>70</v>
      </c>
      <c r="N40" s="241">
        <v>70</v>
      </c>
      <c r="O40" s="241">
        <v>70</v>
      </c>
      <c r="P40" s="241">
        <v>70</v>
      </c>
      <c r="Q40" s="241">
        <v>70</v>
      </c>
      <c r="R40" s="241">
        <v>0</v>
      </c>
      <c r="S40" s="241">
        <v>0</v>
      </c>
      <c r="T40" s="241">
        <v>50</v>
      </c>
      <c r="U40" s="241">
        <v>50</v>
      </c>
      <c r="V40" s="241">
        <v>50</v>
      </c>
      <c r="W40" s="241">
        <v>50</v>
      </c>
      <c r="X40" s="241">
        <v>50</v>
      </c>
      <c r="Y40" s="241">
        <v>0</v>
      </c>
      <c r="Z40" s="241">
        <v>0</v>
      </c>
      <c r="AA40" s="241">
        <v>50</v>
      </c>
      <c r="AB40" s="241">
        <v>50</v>
      </c>
      <c r="AC40" s="241">
        <v>50</v>
      </c>
      <c r="AD40" s="241">
        <v>50</v>
      </c>
      <c r="AE40" s="241">
        <v>50</v>
      </c>
      <c r="AF40" s="241">
        <v>0</v>
      </c>
      <c r="AG40" s="241">
        <v>0</v>
      </c>
      <c r="AH40" s="241">
        <v>50</v>
      </c>
      <c r="AI40" s="241">
        <v>50</v>
      </c>
      <c r="AJ40" s="241">
        <v>50</v>
      </c>
      <c r="AK40" s="241">
        <v>50</v>
      </c>
      <c r="AL40" s="241">
        <v>50</v>
      </c>
      <c r="AM40" s="241">
        <v>0</v>
      </c>
      <c r="AN40" s="241">
        <v>0</v>
      </c>
      <c r="AO40" s="241">
        <v>50</v>
      </c>
      <c r="AP40" s="241">
        <v>50</v>
      </c>
      <c r="AQ40" s="241">
        <v>50</v>
      </c>
      <c r="AR40" s="241">
        <v>50</v>
      </c>
      <c r="AS40" s="241">
        <v>50</v>
      </c>
      <c r="AT40" s="241">
        <v>50</v>
      </c>
      <c r="AU40" s="241">
        <v>50</v>
      </c>
      <c r="AV40" s="241">
        <v>50</v>
      </c>
      <c r="AW40" s="241">
        <v>50</v>
      </c>
      <c r="AX40" s="241">
        <v>50</v>
      </c>
      <c r="AY40" s="241">
        <v>50</v>
      </c>
      <c r="AZ40" s="241">
        <v>50</v>
      </c>
    </row>
    <row r="41" spans="1:52" x14ac:dyDescent="0.25">
      <c r="A41" s="244" t="str">
        <f t="shared" si="3"/>
        <v>LOIGCXProd Plan</v>
      </c>
      <c r="B41" s="244" t="s">
        <v>538</v>
      </c>
      <c r="C41" s="244">
        <v>22000105</v>
      </c>
      <c r="D41" s="244" t="s">
        <v>1405</v>
      </c>
      <c r="E41" s="244">
        <v>252</v>
      </c>
      <c r="F41" s="245">
        <v>50</v>
      </c>
      <c r="G41" s="244">
        <v>0</v>
      </c>
      <c r="H41" s="244">
        <v>0</v>
      </c>
      <c r="I41" s="244">
        <v>0</v>
      </c>
      <c r="J41" s="244">
        <v>60</v>
      </c>
      <c r="K41" s="244">
        <v>60</v>
      </c>
      <c r="L41" s="244">
        <v>60</v>
      </c>
      <c r="M41" s="244">
        <v>0</v>
      </c>
      <c r="N41" s="244">
        <v>0</v>
      </c>
      <c r="O41" s="244">
        <v>0</v>
      </c>
      <c r="P41" s="244">
        <v>0</v>
      </c>
      <c r="Q41" s="244">
        <v>80</v>
      </c>
      <c r="R41" s="244">
        <v>80</v>
      </c>
      <c r="S41" s="244">
        <v>80</v>
      </c>
      <c r="T41" s="244">
        <v>0</v>
      </c>
      <c r="U41" s="244">
        <v>0</v>
      </c>
      <c r="V41" s="244">
        <v>0</v>
      </c>
      <c r="W41" s="244">
        <v>0</v>
      </c>
      <c r="X41" s="244">
        <v>80</v>
      </c>
      <c r="Y41" s="244">
        <v>80</v>
      </c>
      <c r="Z41" s="244">
        <v>80</v>
      </c>
      <c r="AA41" s="244">
        <v>0</v>
      </c>
      <c r="AB41" s="244">
        <v>0</v>
      </c>
      <c r="AC41" s="244">
        <v>0</v>
      </c>
      <c r="AD41" s="244">
        <v>0</v>
      </c>
      <c r="AE41" s="244">
        <v>80</v>
      </c>
      <c r="AF41" s="244">
        <v>60</v>
      </c>
      <c r="AG41" s="244">
        <v>60</v>
      </c>
      <c r="AH41" s="244">
        <v>0</v>
      </c>
      <c r="AI41" s="244">
        <v>0</v>
      </c>
      <c r="AJ41" s="244">
        <v>0</v>
      </c>
      <c r="AK41" s="244">
        <v>0</v>
      </c>
      <c r="AL41" s="244">
        <v>60</v>
      </c>
      <c r="AM41" s="244">
        <v>50</v>
      </c>
      <c r="AN41" s="244">
        <v>60</v>
      </c>
      <c r="AO41" s="244">
        <v>0</v>
      </c>
      <c r="AP41" s="244">
        <v>0</v>
      </c>
      <c r="AQ41" s="244">
        <v>0</v>
      </c>
      <c r="AR41" s="244">
        <v>0</v>
      </c>
      <c r="AS41" s="244">
        <v>0</v>
      </c>
      <c r="AT41" s="244">
        <v>0</v>
      </c>
      <c r="AU41" s="244">
        <v>0</v>
      </c>
      <c r="AV41" s="244">
        <v>0</v>
      </c>
      <c r="AW41" s="244">
        <v>0</v>
      </c>
      <c r="AX41" s="244">
        <v>0</v>
      </c>
      <c r="AY41" s="244">
        <v>0</v>
      </c>
      <c r="AZ41" s="244">
        <v>0</v>
      </c>
    </row>
    <row r="42" spans="1:52" x14ac:dyDescent="0.25">
      <c r="A42" s="246" t="str">
        <f t="shared" si="3"/>
        <v>LOIGCXProd Receipt</v>
      </c>
      <c r="B42" s="246" t="s">
        <v>538</v>
      </c>
      <c r="C42" s="246">
        <v>22000105</v>
      </c>
      <c r="D42" s="246" t="s">
        <v>1406</v>
      </c>
      <c r="E42" s="246"/>
      <c r="F42" s="246" t="e">
        <f>VLOOKUP($C42,#REF!,F$1,0)</f>
        <v>#REF!</v>
      </c>
      <c r="G42" s="246" t="e">
        <f>VLOOKUP($C42,#REF!,G$1,0)</f>
        <v>#REF!</v>
      </c>
      <c r="H42" s="246" t="e">
        <f>VLOOKUP($C42,#REF!,H$1,0)</f>
        <v>#REF!</v>
      </c>
      <c r="I42" s="246" t="e">
        <f>VLOOKUP($C42,#REF!,I$1,0)</f>
        <v>#REF!</v>
      </c>
      <c r="J42" s="246" t="e">
        <f>VLOOKUP($C42,#REF!,J$1,0)</f>
        <v>#REF!</v>
      </c>
      <c r="K42" s="246" t="e">
        <f>VLOOKUP($C42,#REF!,K$1,0)</f>
        <v>#REF!</v>
      </c>
      <c r="L42" s="246" t="e">
        <f>VLOOKUP($C42,#REF!,L$1,0)</f>
        <v>#REF!</v>
      </c>
      <c r="M42" s="246" t="e">
        <f>VLOOKUP($C42,#REF!,M$1,0)</f>
        <v>#REF!</v>
      </c>
      <c r="N42" s="246" t="e">
        <f>VLOOKUP($C42,#REF!,N$1,0)</f>
        <v>#REF!</v>
      </c>
      <c r="O42" s="246" t="e">
        <f>VLOOKUP($C42,#REF!,O$1,0)</f>
        <v>#REF!</v>
      </c>
      <c r="P42" s="246" t="e">
        <f>VLOOKUP($C42,#REF!,P$1,0)</f>
        <v>#REF!</v>
      </c>
      <c r="Q42" s="246" t="e">
        <f>VLOOKUP($C42,#REF!,Q$1,0)</f>
        <v>#REF!</v>
      </c>
      <c r="R42" s="246" t="e">
        <f>VLOOKUP($C42,#REF!,R$1,0)</f>
        <v>#REF!</v>
      </c>
      <c r="S42" s="246" t="e">
        <f>VLOOKUP($C42,#REF!,S$1,0)</f>
        <v>#REF!</v>
      </c>
      <c r="T42" s="246" t="e">
        <f>VLOOKUP($C42,#REF!,T$1,0)</f>
        <v>#REF!</v>
      </c>
      <c r="U42" s="246"/>
      <c r="V42" s="246"/>
      <c r="W42" s="246"/>
      <c r="X42" s="246"/>
      <c r="Y42" s="246"/>
      <c r="Z42" s="246"/>
      <c r="AA42" s="246"/>
      <c r="AB42" s="246"/>
      <c r="AC42" s="246"/>
      <c r="AD42" s="246"/>
      <c r="AE42" s="246"/>
      <c r="AF42" s="246"/>
      <c r="AG42" s="246"/>
      <c r="AH42" s="246"/>
      <c r="AI42" s="246"/>
      <c r="AJ42" s="246"/>
      <c r="AK42" s="246"/>
      <c r="AL42" s="246"/>
      <c r="AM42" s="246"/>
      <c r="AN42" s="246"/>
      <c r="AO42" s="246"/>
      <c r="AP42" s="246"/>
      <c r="AQ42" s="246"/>
      <c r="AR42" s="246"/>
      <c r="AS42" s="246"/>
      <c r="AT42" s="246"/>
      <c r="AU42" s="246"/>
      <c r="AV42" s="246"/>
      <c r="AW42" s="246"/>
      <c r="AX42" s="246"/>
      <c r="AY42" s="246"/>
      <c r="AZ42" s="246"/>
    </row>
    <row r="43" spans="1:52" x14ac:dyDescent="0.25">
      <c r="A43" s="241" t="str">
        <f t="shared" si="3"/>
        <v>LOIGCXTotal Suppy</v>
      </c>
      <c r="B43" s="241" t="s">
        <v>538</v>
      </c>
      <c r="C43" s="241">
        <v>22000105</v>
      </c>
      <c r="D43" s="241" t="s">
        <v>1407</v>
      </c>
      <c r="E43" s="241"/>
      <c r="F43" s="241">
        <v>0</v>
      </c>
      <c r="G43" s="241">
        <v>0</v>
      </c>
      <c r="H43" s="241">
        <v>236</v>
      </c>
      <c r="I43" s="245">
        <f>+F41</f>
        <v>50</v>
      </c>
      <c r="J43" s="241">
        <f t="shared" ref="J43:L43" si="24">+G41</f>
        <v>0</v>
      </c>
      <c r="K43" s="241">
        <f t="shared" si="24"/>
        <v>0</v>
      </c>
      <c r="L43" s="241">
        <f t="shared" si="24"/>
        <v>0</v>
      </c>
      <c r="M43" s="241" t="e">
        <f t="shared" ref="M43:X43" si="25">+J42</f>
        <v>#REF!</v>
      </c>
      <c r="N43" s="241" t="e">
        <f t="shared" si="25"/>
        <v>#REF!</v>
      </c>
      <c r="O43" s="241" t="e">
        <f t="shared" si="25"/>
        <v>#REF!</v>
      </c>
      <c r="P43" s="241" t="e">
        <f t="shared" si="25"/>
        <v>#REF!</v>
      </c>
      <c r="Q43" s="241" t="e">
        <f t="shared" si="25"/>
        <v>#REF!</v>
      </c>
      <c r="R43" s="241" t="e">
        <f t="shared" si="25"/>
        <v>#REF!</v>
      </c>
      <c r="S43" s="241" t="e">
        <f t="shared" si="25"/>
        <v>#REF!</v>
      </c>
      <c r="T43" s="241" t="e">
        <f t="shared" si="25"/>
        <v>#REF!</v>
      </c>
      <c r="U43" s="241" t="e">
        <f t="shared" si="25"/>
        <v>#REF!</v>
      </c>
      <c r="V43" s="241" t="e">
        <f t="shared" si="25"/>
        <v>#REF!</v>
      </c>
      <c r="W43" s="241" t="e">
        <f t="shared" si="25"/>
        <v>#REF!</v>
      </c>
      <c r="X43" s="241">
        <f t="shared" si="25"/>
        <v>0</v>
      </c>
      <c r="Y43" s="241"/>
      <c r="Z43" s="241"/>
      <c r="AA43" s="241"/>
      <c r="AB43" s="241"/>
      <c r="AC43" s="241"/>
      <c r="AD43" s="241"/>
      <c r="AE43" s="241"/>
      <c r="AF43" s="241"/>
      <c r="AG43" s="241"/>
      <c r="AH43" s="241"/>
      <c r="AI43" s="241"/>
      <c r="AJ43" s="241"/>
      <c r="AK43" s="241"/>
      <c r="AL43" s="241"/>
      <c r="AM43" s="241"/>
      <c r="AN43" s="241"/>
      <c r="AO43" s="241"/>
      <c r="AP43" s="241"/>
      <c r="AQ43" s="241"/>
      <c r="AR43" s="241"/>
      <c r="AS43" s="241"/>
      <c r="AT43" s="241"/>
      <c r="AU43" s="241"/>
      <c r="AV43" s="241"/>
      <c r="AW43" s="241"/>
      <c r="AX43" s="241"/>
      <c r="AY43" s="241"/>
      <c r="AZ43" s="241"/>
    </row>
    <row r="44" spans="1:52" x14ac:dyDescent="0.25">
      <c r="A44" s="247" t="str">
        <f t="shared" si="3"/>
        <v>LOIGCXClosing Stks</v>
      </c>
      <c r="B44" s="247" t="s">
        <v>538</v>
      </c>
      <c r="C44" s="247">
        <v>22000105</v>
      </c>
      <c r="D44" s="247" t="s">
        <v>1408</v>
      </c>
      <c r="E44" s="247"/>
      <c r="F44" s="248">
        <f>E41+F43-F40</f>
        <v>252</v>
      </c>
      <c r="G44" s="248">
        <f>F44+G43-G40</f>
        <v>214</v>
      </c>
      <c r="H44" s="248">
        <f>G44+H43-H40</f>
        <v>385.5</v>
      </c>
      <c r="I44" s="248">
        <f>H44+I43-I40</f>
        <v>400.5</v>
      </c>
      <c r="J44" s="248">
        <f>I44+J43-J40</f>
        <v>365.5</v>
      </c>
      <c r="K44" s="248">
        <f t="shared" ref="K44:N44" si="26">J44+K43-K40</f>
        <v>340.5</v>
      </c>
      <c r="L44" s="248">
        <f t="shared" si="26"/>
        <v>340.5</v>
      </c>
      <c r="M44" s="248" t="e">
        <f t="shared" si="26"/>
        <v>#REF!</v>
      </c>
      <c r="N44" s="248" t="e">
        <f t="shared" si="26"/>
        <v>#REF!</v>
      </c>
      <c r="O44" s="248" t="e">
        <f>N44+O43-O40</f>
        <v>#REF!</v>
      </c>
      <c r="P44" s="248" t="e">
        <f>O44+P41-P40</f>
        <v>#REF!</v>
      </c>
      <c r="Q44" s="248" t="e">
        <f t="shared" ref="Q44:AZ44" si="27">P44+Q41-Q40</f>
        <v>#REF!</v>
      </c>
      <c r="R44" s="248" t="e">
        <f t="shared" si="27"/>
        <v>#REF!</v>
      </c>
      <c r="S44" s="248" t="e">
        <f t="shared" si="27"/>
        <v>#REF!</v>
      </c>
      <c r="T44" s="248" t="e">
        <f t="shared" si="27"/>
        <v>#REF!</v>
      </c>
      <c r="U44" s="248" t="e">
        <f t="shared" si="27"/>
        <v>#REF!</v>
      </c>
      <c r="V44" s="248" t="e">
        <f t="shared" si="27"/>
        <v>#REF!</v>
      </c>
      <c r="W44" s="248" t="e">
        <f t="shared" si="27"/>
        <v>#REF!</v>
      </c>
      <c r="X44" s="248" t="e">
        <f t="shared" si="27"/>
        <v>#REF!</v>
      </c>
      <c r="Y44" s="248" t="e">
        <f t="shared" si="27"/>
        <v>#REF!</v>
      </c>
      <c r="Z44" s="248" t="e">
        <f t="shared" si="27"/>
        <v>#REF!</v>
      </c>
      <c r="AA44" s="248" t="e">
        <f t="shared" si="27"/>
        <v>#REF!</v>
      </c>
      <c r="AB44" s="248" t="e">
        <f t="shared" si="27"/>
        <v>#REF!</v>
      </c>
      <c r="AC44" s="248" t="e">
        <f t="shared" si="27"/>
        <v>#REF!</v>
      </c>
      <c r="AD44" s="248" t="e">
        <f t="shared" si="27"/>
        <v>#REF!</v>
      </c>
      <c r="AE44" s="248" t="e">
        <f t="shared" si="27"/>
        <v>#REF!</v>
      </c>
      <c r="AF44" s="248" t="e">
        <f t="shared" si="27"/>
        <v>#REF!</v>
      </c>
      <c r="AG44" s="248" t="e">
        <f t="shared" si="27"/>
        <v>#REF!</v>
      </c>
      <c r="AH44" s="248" t="e">
        <f t="shared" si="27"/>
        <v>#REF!</v>
      </c>
      <c r="AI44" s="248" t="e">
        <f t="shared" si="27"/>
        <v>#REF!</v>
      </c>
      <c r="AJ44" s="248" t="e">
        <f t="shared" si="27"/>
        <v>#REF!</v>
      </c>
      <c r="AK44" s="248" t="e">
        <f t="shared" si="27"/>
        <v>#REF!</v>
      </c>
      <c r="AL44" s="248" t="e">
        <f t="shared" si="27"/>
        <v>#REF!</v>
      </c>
      <c r="AM44" s="248" t="e">
        <f t="shared" si="27"/>
        <v>#REF!</v>
      </c>
      <c r="AN44" s="248" t="e">
        <f t="shared" si="27"/>
        <v>#REF!</v>
      </c>
      <c r="AO44" s="248" t="e">
        <f t="shared" si="27"/>
        <v>#REF!</v>
      </c>
      <c r="AP44" s="248" t="e">
        <f t="shared" si="27"/>
        <v>#REF!</v>
      </c>
      <c r="AQ44" s="248" t="e">
        <f t="shared" si="27"/>
        <v>#REF!</v>
      </c>
      <c r="AR44" s="248" t="e">
        <f t="shared" si="27"/>
        <v>#REF!</v>
      </c>
      <c r="AS44" s="248" t="e">
        <f t="shared" si="27"/>
        <v>#REF!</v>
      </c>
      <c r="AT44" s="248" t="e">
        <f t="shared" si="27"/>
        <v>#REF!</v>
      </c>
      <c r="AU44" s="248" t="e">
        <f t="shared" si="27"/>
        <v>#REF!</v>
      </c>
      <c r="AV44" s="248" t="e">
        <f t="shared" si="27"/>
        <v>#REF!</v>
      </c>
      <c r="AW44" s="248" t="e">
        <f t="shared" si="27"/>
        <v>#REF!</v>
      </c>
      <c r="AX44" s="248" t="e">
        <f t="shared" si="27"/>
        <v>#REF!</v>
      </c>
      <c r="AY44" s="248" t="e">
        <f t="shared" si="27"/>
        <v>#REF!</v>
      </c>
      <c r="AZ44" s="248" t="e">
        <f t="shared" si="27"/>
        <v>#REF!</v>
      </c>
    </row>
    <row r="45" spans="1:52" x14ac:dyDescent="0.25">
      <c r="A45" s="241" t="str">
        <f t="shared" si="3"/>
        <v>LOIGCX-25Forecast</v>
      </c>
      <c r="B45" s="241" t="s">
        <v>1412</v>
      </c>
      <c r="C45" s="241">
        <v>22000106</v>
      </c>
      <c r="D45" s="241" t="s">
        <v>1403</v>
      </c>
      <c r="E45" s="241"/>
      <c r="F45" s="241"/>
      <c r="G45" s="241"/>
      <c r="H45" s="241"/>
      <c r="I45" s="241"/>
      <c r="J45" s="241"/>
      <c r="K45" s="241"/>
      <c r="L45" s="241">
        <v>0</v>
      </c>
      <c r="M45" s="241"/>
      <c r="N45" s="241"/>
      <c r="O45" s="241"/>
      <c r="P45" s="241"/>
      <c r="Q45" s="241"/>
      <c r="R45" s="241"/>
      <c r="S45" s="241">
        <v>0</v>
      </c>
      <c r="T45" s="241"/>
      <c r="U45" s="241"/>
      <c r="V45" s="241"/>
      <c r="W45" s="241"/>
      <c r="X45" s="241"/>
      <c r="Y45" s="241"/>
      <c r="Z45" s="241">
        <v>0</v>
      </c>
      <c r="AA45" s="241"/>
      <c r="AB45" s="241"/>
      <c r="AC45" s="241"/>
      <c r="AD45" s="241"/>
      <c r="AE45" s="241"/>
      <c r="AF45" s="241"/>
      <c r="AG45" s="241"/>
      <c r="AH45" s="241"/>
      <c r="AI45" s="241"/>
      <c r="AJ45" s="241"/>
      <c r="AK45" s="241"/>
      <c r="AL45" s="241"/>
      <c r="AM45" s="241"/>
      <c r="AN45" s="241"/>
      <c r="AO45" s="241"/>
      <c r="AP45" s="241"/>
      <c r="AQ45" s="241"/>
      <c r="AR45" s="241"/>
      <c r="AS45" s="241"/>
      <c r="AT45" s="241"/>
      <c r="AU45" s="241"/>
      <c r="AV45" s="241"/>
      <c r="AW45" s="241"/>
      <c r="AX45" s="241"/>
      <c r="AY45" s="241"/>
      <c r="AZ45" s="241"/>
    </row>
    <row r="46" spans="1:52" x14ac:dyDescent="0.25">
      <c r="A46" s="241" t="str">
        <f t="shared" si="3"/>
        <v>LOIGCX-25Total OR</v>
      </c>
      <c r="B46" s="241" t="s">
        <v>1412</v>
      </c>
      <c r="C46" s="241">
        <v>22000106</v>
      </c>
      <c r="D46" s="241" t="s">
        <v>1404</v>
      </c>
      <c r="E46" s="241"/>
      <c r="F46" s="241"/>
      <c r="G46" s="241">
        <v>0</v>
      </c>
      <c r="H46" s="241">
        <v>0</v>
      </c>
      <c r="I46" s="241">
        <v>15</v>
      </c>
      <c r="J46" s="241">
        <v>10</v>
      </c>
      <c r="K46" s="241">
        <v>0</v>
      </c>
      <c r="L46" s="241">
        <v>0</v>
      </c>
      <c r="M46" s="241">
        <v>0</v>
      </c>
      <c r="N46" s="241">
        <v>25</v>
      </c>
      <c r="O46" s="241">
        <v>20</v>
      </c>
      <c r="P46" s="241">
        <v>10</v>
      </c>
      <c r="Q46" s="241">
        <v>10</v>
      </c>
      <c r="R46" s="241">
        <v>10</v>
      </c>
      <c r="S46" s="241">
        <v>0</v>
      </c>
      <c r="T46" s="241">
        <v>30</v>
      </c>
      <c r="U46" s="241">
        <v>30</v>
      </c>
      <c r="V46" s="241">
        <v>30</v>
      </c>
      <c r="W46" s="241">
        <v>30</v>
      </c>
      <c r="X46" s="241">
        <v>30</v>
      </c>
      <c r="Y46" s="241">
        <v>0</v>
      </c>
      <c r="Z46" s="241">
        <v>0</v>
      </c>
      <c r="AA46" s="241">
        <v>20</v>
      </c>
      <c r="AB46" s="241">
        <v>20</v>
      </c>
      <c r="AC46" s="241">
        <v>25</v>
      </c>
      <c r="AD46" s="241">
        <v>20</v>
      </c>
      <c r="AE46" s="241">
        <v>20</v>
      </c>
      <c r="AF46" s="241">
        <v>0</v>
      </c>
      <c r="AG46" s="241">
        <v>0</v>
      </c>
      <c r="AH46" s="241">
        <v>20</v>
      </c>
      <c r="AI46" s="241">
        <v>20</v>
      </c>
      <c r="AJ46" s="241">
        <v>25</v>
      </c>
      <c r="AK46" s="241">
        <v>20</v>
      </c>
      <c r="AL46" s="241">
        <v>0</v>
      </c>
      <c r="AM46" s="241">
        <v>0</v>
      </c>
      <c r="AN46" s="241">
        <v>0</v>
      </c>
      <c r="AO46" s="241">
        <v>20</v>
      </c>
      <c r="AP46" s="241">
        <v>20</v>
      </c>
      <c r="AQ46" s="241">
        <v>25</v>
      </c>
      <c r="AR46" s="241">
        <v>20</v>
      </c>
      <c r="AS46" s="241">
        <v>0</v>
      </c>
      <c r="AT46" s="241">
        <v>0</v>
      </c>
      <c r="AU46" s="241">
        <v>0</v>
      </c>
      <c r="AV46" s="241">
        <v>0</v>
      </c>
      <c r="AW46" s="241">
        <v>0</v>
      </c>
      <c r="AX46" s="241">
        <v>0</v>
      </c>
      <c r="AY46" s="241">
        <v>0</v>
      </c>
      <c r="AZ46" s="241">
        <v>0</v>
      </c>
    </row>
    <row r="47" spans="1:52" x14ac:dyDescent="0.25">
      <c r="A47" s="244" t="str">
        <f t="shared" si="3"/>
        <v>LOIGCX-25Prod Plan</v>
      </c>
      <c r="B47" s="244" t="s">
        <v>1412</v>
      </c>
      <c r="C47" s="244">
        <v>22000106</v>
      </c>
      <c r="D47" s="244" t="s">
        <v>1405</v>
      </c>
      <c r="E47" s="244">
        <v>29</v>
      </c>
      <c r="F47" s="245">
        <v>10</v>
      </c>
      <c r="G47" s="244">
        <v>20</v>
      </c>
      <c r="H47" s="244">
        <v>30</v>
      </c>
      <c r="I47" s="244">
        <v>40</v>
      </c>
      <c r="J47" s="244">
        <v>0</v>
      </c>
      <c r="K47" s="244">
        <v>0</v>
      </c>
      <c r="L47" s="244">
        <v>0</v>
      </c>
      <c r="M47" s="244">
        <v>50</v>
      </c>
      <c r="N47" s="244">
        <v>50</v>
      </c>
      <c r="O47" s="244">
        <v>0</v>
      </c>
      <c r="P47" s="244">
        <v>0</v>
      </c>
      <c r="Q47" s="244">
        <v>0</v>
      </c>
      <c r="R47" s="244">
        <v>0</v>
      </c>
      <c r="S47" s="244">
        <v>20</v>
      </c>
      <c r="T47" s="244">
        <v>0</v>
      </c>
      <c r="U47" s="244">
        <v>20</v>
      </c>
      <c r="V47" s="244">
        <v>0</v>
      </c>
      <c r="W47" s="244">
        <v>20</v>
      </c>
      <c r="X47" s="244">
        <v>0</v>
      </c>
      <c r="Y47" s="244">
        <v>20</v>
      </c>
      <c r="Z47" s="244">
        <v>0</v>
      </c>
      <c r="AA47" s="244">
        <v>20</v>
      </c>
      <c r="AB47" s="244">
        <v>0</v>
      </c>
      <c r="AC47" s="244">
        <v>20</v>
      </c>
      <c r="AD47" s="244">
        <v>0</v>
      </c>
      <c r="AE47" s="244">
        <v>20</v>
      </c>
      <c r="AF47" s="244">
        <v>0</v>
      </c>
      <c r="AG47" s="244">
        <v>20</v>
      </c>
      <c r="AH47" s="244">
        <v>0</v>
      </c>
      <c r="AI47" s="244">
        <v>20</v>
      </c>
      <c r="AJ47" s="244">
        <v>0</v>
      </c>
      <c r="AK47" s="244">
        <v>20</v>
      </c>
      <c r="AL47" s="244">
        <v>0</v>
      </c>
      <c r="AM47" s="244">
        <v>20</v>
      </c>
      <c r="AN47" s="244">
        <v>0</v>
      </c>
      <c r="AO47" s="244">
        <v>20</v>
      </c>
      <c r="AP47" s="244">
        <v>0</v>
      </c>
      <c r="AQ47" s="244">
        <v>20</v>
      </c>
      <c r="AR47" s="244">
        <v>0</v>
      </c>
      <c r="AS47" s="244">
        <v>20</v>
      </c>
      <c r="AT47" s="244">
        <v>20</v>
      </c>
      <c r="AU47" s="244">
        <v>20</v>
      </c>
      <c r="AV47" s="244">
        <v>20</v>
      </c>
      <c r="AW47" s="244">
        <v>20</v>
      </c>
      <c r="AX47" s="244">
        <v>20</v>
      </c>
      <c r="AY47" s="244">
        <v>20</v>
      </c>
      <c r="AZ47" s="244">
        <v>20</v>
      </c>
    </row>
    <row r="48" spans="1:52" x14ac:dyDescent="0.25">
      <c r="A48" s="246" t="str">
        <f t="shared" si="3"/>
        <v>LOIGCX-25Prod Receipt</v>
      </c>
      <c r="B48" s="246" t="s">
        <v>1412</v>
      </c>
      <c r="C48" s="246">
        <v>22000106</v>
      </c>
      <c r="D48" s="246" t="s">
        <v>1406</v>
      </c>
      <c r="E48" s="246"/>
      <c r="F48" s="246" t="e">
        <f>VLOOKUP($C48,#REF!,F$1,0)</f>
        <v>#REF!</v>
      </c>
      <c r="G48" s="246" t="e">
        <f>VLOOKUP($C48,#REF!,G$1,0)</f>
        <v>#REF!</v>
      </c>
      <c r="H48" s="246" t="e">
        <f>VLOOKUP($C48,#REF!,H$1,0)</f>
        <v>#REF!</v>
      </c>
      <c r="I48" s="246" t="e">
        <f>VLOOKUP($C48,#REF!,I$1,0)</f>
        <v>#REF!</v>
      </c>
      <c r="J48" s="246" t="e">
        <f>VLOOKUP($C48,#REF!,J$1,0)</f>
        <v>#REF!</v>
      </c>
      <c r="K48" s="246" t="e">
        <f>VLOOKUP($C48,#REF!,K$1,0)</f>
        <v>#REF!</v>
      </c>
      <c r="L48" s="246" t="e">
        <f>VLOOKUP($C48,#REF!,L$1,0)</f>
        <v>#REF!</v>
      </c>
      <c r="M48" s="246" t="e">
        <f>VLOOKUP($C48,#REF!,M$1,0)</f>
        <v>#REF!</v>
      </c>
      <c r="N48" s="246" t="e">
        <f>VLOOKUP($C48,#REF!,N$1,0)</f>
        <v>#REF!</v>
      </c>
      <c r="O48" s="246" t="e">
        <f>VLOOKUP($C48,#REF!,O$1,0)</f>
        <v>#REF!</v>
      </c>
      <c r="P48" s="246" t="e">
        <f>VLOOKUP($C48,#REF!,P$1,0)</f>
        <v>#REF!</v>
      </c>
      <c r="Q48" s="246" t="e">
        <f>VLOOKUP($C48,#REF!,Q$1,0)</f>
        <v>#REF!</v>
      </c>
      <c r="R48" s="246" t="e">
        <f>VLOOKUP($C48,#REF!,R$1,0)</f>
        <v>#REF!</v>
      </c>
      <c r="S48" s="246" t="e">
        <f>VLOOKUP($C48,#REF!,S$1,0)</f>
        <v>#REF!</v>
      </c>
      <c r="T48" s="246" t="e">
        <f>VLOOKUP($C48,#REF!,T$1,0)</f>
        <v>#REF!</v>
      </c>
      <c r="U48" s="246"/>
      <c r="V48" s="246"/>
      <c r="W48" s="246"/>
      <c r="X48" s="246"/>
      <c r="Y48" s="246"/>
      <c r="Z48" s="246"/>
      <c r="AA48" s="246"/>
      <c r="AB48" s="246"/>
      <c r="AC48" s="246"/>
      <c r="AD48" s="246"/>
      <c r="AE48" s="246"/>
      <c r="AF48" s="246"/>
      <c r="AG48" s="246"/>
      <c r="AH48" s="246"/>
      <c r="AI48" s="246"/>
      <c r="AJ48" s="246"/>
      <c r="AK48" s="246"/>
      <c r="AL48" s="246"/>
      <c r="AM48" s="246"/>
      <c r="AN48" s="246"/>
      <c r="AO48" s="246"/>
      <c r="AP48" s="246"/>
      <c r="AQ48" s="246"/>
      <c r="AR48" s="246"/>
      <c r="AS48" s="246"/>
      <c r="AT48" s="246"/>
      <c r="AU48" s="246"/>
      <c r="AV48" s="246"/>
      <c r="AW48" s="246"/>
      <c r="AX48" s="246"/>
      <c r="AY48" s="246"/>
      <c r="AZ48" s="246"/>
    </row>
    <row r="49" spans="1:52" x14ac:dyDescent="0.25">
      <c r="A49" s="241" t="str">
        <f t="shared" si="3"/>
        <v>LOIGCX-25Total Suppy</v>
      </c>
      <c r="B49" s="241" t="s">
        <v>1412</v>
      </c>
      <c r="C49" s="241">
        <v>22000106</v>
      </c>
      <c r="D49" s="241" t="s">
        <v>1407</v>
      </c>
      <c r="E49" s="241"/>
      <c r="F49" s="241">
        <v>0</v>
      </c>
      <c r="G49" s="241">
        <v>13</v>
      </c>
      <c r="H49" s="241">
        <v>0</v>
      </c>
      <c r="I49" s="245">
        <f>+F47</f>
        <v>10</v>
      </c>
      <c r="J49" s="241" t="e">
        <f>+G48</f>
        <v>#REF!</v>
      </c>
      <c r="K49" s="241">
        <f>+H47</f>
        <v>30</v>
      </c>
      <c r="L49" s="241">
        <f t="shared" ref="L49" si="28">+I47</f>
        <v>40</v>
      </c>
      <c r="M49" s="241" t="e">
        <f t="shared" ref="M49:X49" si="29">+J48</f>
        <v>#REF!</v>
      </c>
      <c r="N49" s="241" t="e">
        <f t="shared" si="29"/>
        <v>#REF!</v>
      </c>
      <c r="O49" s="241" t="e">
        <f t="shared" si="29"/>
        <v>#REF!</v>
      </c>
      <c r="P49" s="241" t="e">
        <f t="shared" si="29"/>
        <v>#REF!</v>
      </c>
      <c r="Q49" s="241" t="e">
        <f t="shared" si="29"/>
        <v>#REF!</v>
      </c>
      <c r="R49" s="241" t="e">
        <f t="shared" si="29"/>
        <v>#REF!</v>
      </c>
      <c r="S49" s="241" t="e">
        <f t="shared" si="29"/>
        <v>#REF!</v>
      </c>
      <c r="T49" s="241" t="e">
        <f t="shared" si="29"/>
        <v>#REF!</v>
      </c>
      <c r="U49" s="241" t="e">
        <f t="shared" si="29"/>
        <v>#REF!</v>
      </c>
      <c r="V49" s="241" t="e">
        <f t="shared" si="29"/>
        <v>#REF!</v>
      </c>
      <c r="W49" s="241" t="e">
        <f t="shared" si="29"/>
        <v>#REF!</v>
      </c>
      <c r="X49" s="241">
        <f t="shared" si="29"/>
        <v>0</v>
      </c>
      <c r="Y49" s="241"/>
      <c r="Z49" s="241"/>
      <c r="AA49" s="241"/>
      <c r="AB49" s="241"/>
      <c r="AC49" s="241"/>
      <c r="AD49" s="241"/>
      <c r="AE49" s="241"/>
      <c r="AF49" s="241"/>
      <c r="AG49" s="241"/>
      <c r="AH49" s="241"/>
      <c r="AI49" s="241"/>
      <c r="AJ49" s="241"/>
      <c r="AK49" s="241"/>
      <c r="AL49" s="241"/>
      <c r="AM49" s="241"/>
      <c r="AN49" s="241"/>
      <c r="AO49" s="241"/>
      <c r="AP49" s="241"/>
      <c r="AQ49" s="241"/>
      <c r="AR49" s="241"/>
      <c r="AS49" s="241"/>
      <c r="AT49" s="241"/>
      <c r="AU49" s="241"/>
      <c r="AV49" s="241"/>
      <c r="AW49" s="241"/>
      <c r="AX49" s="241"/>
      <c r="AY49" s="241"/>
      <c r="AZ49" s="241"/>
    </row>
    <row r="50" spans="1:52" x14ac:dyDescent="0.25">
      <c r="A50" s="247" t="str">
        <f t="shared" si="3"/>
        <v>LOIGCX-25Closing Stks</v>
      </c>
      <c r="B50" s="247" t="s">
        <v>1412</v>
      </c>
      <c r="C50" s="247">
        <v>22000106</v>
      </c>
      <c r="D50" s="247" t="s">
        <v>1408</v>
      </c>
      <c r="E50" s="247"/>
      <c r="F50" s="247">
        <f>E47+F49-F46</f>
        <v>29</v>
      </c>
      <c r="G50" s="248">
        <f>F50+G49-G46</f>
        <v>42</v>
      </c>
      <c r="H50" s="248">
        <f>G50+H49-H46</f>
        <v>42</v>
      </c>
      <c r="I50" s="248">
        <f>H50+I49-I46</f>
        <v>37</v>
      </c>
      <c r="J50" s="248" t="e">
        <f>I50+J49-J46</f>
        <v>#REF!</v>
      </c>
      <c r="K50" s="248" t="e">
        <f t="shared" ref="K50:N50" si="30">J50+K49-K46</f>
        <v>#REF!</v>
      </c>
      <c r="L50" s="248" t="e">
        <f t="shared" si="30"/>
        <v>#REF!</v>
      </c>
      <c r="M50" s="248" t="e">
        <f t="shared" si="30"/>
        <v>#REF!</v>
      </c>
      <c r="N50" s="248" t="e">
        <f t="shared" si="30"/>
        <v>#REF!</v>
      </c>
      <c r="O50" s="248" t="e">
        <f>N50+O49-O46</f>
        <v>#REF!</v>
      </c>
      <c r="P50" s="248" t="e">
        <f>O50+P47-P46</f>
        <v>#REF!</v>
      </c>
      <c r="Q50" s="248" t="e">
        <f t="shared" ref="Q50:AZ50" si="31">P50+Q47-Q46</f>
        <v>#REF!</v>
      </c>
      <c r="R50" s="248" t="e">
        <f t="shared" si="31"/>
        <v>#REF!</v>
      </c>
      <c r="S50" s="248" t="e">
        <f t="shared" si="31"/>
        <v>#REF!</v>
      </c>
      <c r="T50" s="248" t="e">
        <f t="shared" si="31"/>
        <v>#REF!</v>
      </c>
      <c r="U50" s="248" t="e">
        <f t="shared" si="31"/>
        <v>#REF!</v>
      </c>
      <c r="V50" s="248" t="e">
        <f t="shared" si="31"/>
        <v>#REF!</v>
      </c>
      <c r="W50" s="248" t="e">
        <f t="shared" si="31"/>
        <v>#REF!</v>
      </c>
      <c r="X50" s="248" t="e">
        <f t="shared" si="31"/>
        <v>#REF!</v>
      </c>
      <c r="Y50" s="248" t="e">
        <f t="shared" si="31"/>
        <v>#REF!</v>
      </c>
      <c r="Z50" s="248" t="e">
        <f t="shared" si="31"/>
        <v>#REF!</v>
      </c>
      <c r="AA50" s="248" t="e">
        <f t="shared" si="31"/>
        <v>#REF!</v>
      </c>
      <c r="AB50" s="248" t="e">
        <f t="shared" si="31"/>
        <v>#REF!</v>
      </c>
      <c r="AC50" s="248" t="e">
        <f t="shared" si="31"/>
        <v>#REF!</v>
      </c>
      <c r="AD50" s="248" t="e">
        <f t="shared" si="31"/>
        <v>#REF!</v>
      </c>
      <c r="AE50" s="248" t="e">
        <f t="shared" si="31"/>
        <v>#REF!</v>
      </c>
      <c r="AF50" s="248" t="e">
        <f t="shared" si="31"/>
        <v>#REF!</v>
      </c>
      <c r="AG50" s="248" t="e">
        <f t="shared" si="31"/>
        <v>#REF!</v>
      </c>
      <c r="AH50" s="248" t="e">
        <f t="shared" si="31"/>
        <v>#REF!</v>
      </c>
      <c r="AI50" s="248" t="e">
        <f t="shared" si="31"/>
        <v>#REF!</v>
      </c>
      <c r="AJ50" s="248" t="e">
        <f t="shared" si="31"/>
        <v>#REF!</v>
      </c>
      <c r="AK50" s="248" t="e">
        <f t="shared" si="31"/>
        <v>#REF!</v>
      </c>
      <c r="AL50" s="248" t="e">
        <f t="shared" si="31"/>
        <v>#REF!</v>
      </c>
      <c r="AM50" s="248" t="e">
        <f t="shared" si="31"/>
        <v>#REF!</v>
      </c>
      <c r="AN50" s="248" t="e">
        <f t="shared" si="31"/>
        <v>#REF!</v>
      </c>
      <c r="AO50" s="248" t="e">
        <f t="shared" si="31"/>
        <v>#REF!</v>
      </c>
      <c r="AP50" s="248" t="e">
        <f t="shared" si="31"/>
        <v>#REF!</v>
      </c>
      <c r="AQ50" s="248" t="e">
        <f t="shared" si="31"/>
        <v>#REF!</v>
      </c>
      <c r="AR50" s="248" t="e">
        <f t="shared" si="31"/>
        <v>#REF!</v>
      </c>
      <c r="AS50" s="248" t="e">
        <f t="shared" si="31"/>
        <v>#REF!</v>
      </c>
      <c r="AT50" s="248" t="e">
        <f t="shared" si="31"/>
        <v>#REF!</v>
      </c>
      <c r="AU50" s="248" t="e">
        <f t="shared" si="31"/>
        <v>#REF!</v>
      </c>
      <c r="AV50" s="248" t="e">
        <f t="shared" si="31"/>
        <v>#REF!</v>
      </c>
      <c r="AW50" s="248" t="e">
        <f t="shared" si="31"/>
        <v>#REF!</v>
      </c>
      <c r="AX50" s="248" t="e">
        <f t="shared" si="31"/>
        <v>#REF!</v>
      </c>
      <c r="AY50" s="248" t="e">
        <f t="shared" si="31"/>
        <v>#REF!</v>
      </c>
      <c r="AZ50" s="248" t="e">
        <f t="shared" si="31"/>
        <v>#REF!</v>
      </c>
    </row>
    <row r="51" spans="1:52" x14ac:dyDescent="0.25">
      <c r="A51" s="241" t="str">
        <f t="shared" si="3"/>
        <v>LOCX1TForecast</v>
      </c>
      <c r="B51" s="241" t="s">
        <v>715</v>
      </c>
      <c r="C51" s="241">
        <v>22000101</v>
      </c>
      <c r="D51" s="241" t="s">
        <v>1403</v>
      </c>
      <c r="E51" s="241"/>
      <c r="F51" s="241"/>
      <c r="G51" s="241"/>
      <c r="H51" s="241"/>
      <c r="I51" s="241"/>
      <c r="J51" s="241"/>
      <c r="K51" s="241"/>
      <c r="L51" s="241">
        <v>0</v>
      </c>
      <c r="M51" s="241"/>
      <c r="N51" s="241"/>
      <c r="O51" s="241"/>
      <c r="P51" s="241"/>
      <c r="Q51" s="241"/>
      <c r="R51" s="241"/>
      <c r="S51" s="241">
        <v>0</v>
      </c>
      <c r="T51" s="241"/>
      <c r="U51" s="241"/>
      <c r="V51" s="241"/>
      <c r="W51" s="241"/>
      <c r="X51" s="241"/>
      <c r="Y51" s="241"/>
      <c r="Z51" s="241">
        <v>0</v>
      </c>
      <c r="AA51" s="241"/>
      <c r="AB51" s="241"/>
      <c r="AC51" s="241"/>
      <c r="AD51" s="241"/>
      <c r="AE51" s="241"/>
      <c r="AF51" s="241"/>
      <c r="AG51" s="241"/>
      <c r="AH51" s="241"/>
      <c r="AI51" s="241"/>
      <c r="AJ51" s="241"/>
      <c r="AK51" s="241"/>
      <c r="AL51" s="241"/>
      <c r="AM51" s="241"/>
      <c r="AN51" s="241"/>
      <c r="AO51" s="241"/>
      <c r="AP51" s="241"/>
      <c r="AQ51" s="241"/>
      <c r="AR51" s="241"/>
      <c r="AS51" s="241"/>
      <c r="AT51" s="241"/>
      <c r="AU51" s="241"/>
      <c r="AV51" s="241"/>
      <c r="AW51" s="241"/>
      <c r="AX51" s="241"/>
      <c r="AY51" s="241"/>
      <c r="AZ51" s="241"/>
    </row>
    <row r="52" spans="1:52" x14ac:dyDescent="0.25">
      <c r="A52" s="241" t="str">
        <f t="shared" si="3"/>
        <v>LOCX1TTotal OR</v>
      </c>
      <c r="B52" s="241" t="s">
        <v>715</v>
      </c>
      <c r="C52" s="241">
        <v>22000101</v>
      </c>
      <c r="D52" s="241" t="s">
        <v>1404</v>
      </c>
      <c r="E52" s="241"/>
      <c r="F52" s="241"/>
      <c r="G52" s="241">
        <v>55</v>
      </c>
      <c r="H52" s="241">
        <v>0</v>
      </c>
      <c r="I52" s="241">
        <v>0</v>
      </c>
      <c r="J52" s="241">
        <v>20</v>
      </c>
      <c r="K52" s="241">
        <v>0</v>
      </c>
      <c r="L52" s="241">
        <v>0</v>
      </c>
      <c r="M52" s="241">
        <v>20</v>
      </c>
      <c r="N52" s="241">
        <v>15</v>
      </c>
      <c r="O52" s="241">
        <v>35</v>
      </c>
      <c r="P52" s="241">
        <v>24</v>
      </c>
      <c r="Q52" s="241">
        <v>20</v>
      </c>
      <c r="R52" s="241">
        <v>0</v>
      </c>
      <c r="S52" s="241">
        <v>0</v>
      </c>
      <c r="T52" s="241">
        <v>20</v>
      </c>
      <c r="U52" s="241">
        <v>15</v>
      </c>
      <c r="V52" s="241">
        <v>35</v>
      </c>
      <c r="W52" s="241">
        <v>24</v>
      </c>
      <c r="X52" s="241">
        <v>20</v>
      </c>
      <c r="Y52" s="241">
        <v>0</v>
      </c>
      <c r="Z52" s="241">
        <v>0</v>
      </c>
      <c r="AA52" s="241">
        <v>38</v>
      </c>
      <c r="AB52" s="241">
        <v>18</v>
      </c>
      <c r="AC52" s="241">
        <v>20</v>
      </c>
      <c r="AD52" s="241">
        <v>15</v>
      </c>
      <c r="AE52" s="241">
        <v>20</v>
      </c>
      <c r="AF52" s="241">
        <v>0</v>
      </c>
      <c r="AG52" s="241">
        <v>0</v>
      </c>
      <c r="AH52" s="241">
        <v>38</v>
      </c>
      <c r="AI52" s="241">
        <v>18</v>
      </c>
      <c r="AJ52" s="241">
        <v>20</v>
      </c>
      <c r="AK52" s="241">
        <v>15</v>
      </c>
      <c r="AL52" s="241">
        <v>20</v>
      </c>
      <c r="AM52" s="241">
        <v>0</v>
      </c>
      <c r="AN52" s="241">
        <v>0</v>
      </c>
      <c r="AO52" s="241">
        <v>38</v>
      </c>
      <c r="AP52" s="241">
        <v>18</v>
      </c>
      <c r="AQ52" s="241">
        <v>20</v>
      </c>
      <c r="AR52" s="241">
        <v>15</v>
      </c>
      <c r="AS52" s="241">
        <v>20</v>
      </c>
      <c r="AT52" s="241">
        <v>20</v>
      </c>
      <c r="AU52" s="241">
        <v>20</v>
      </c>
      <c r="AV52" s="241">
        <v>20</v>
      </c>
      <c r="AW52" s="241">
        <v>20</v>
      </c>
      <c r="AX52" s="241">
        <v>20</v>
      </c>
      <c r="AY52" s="241">
        <v>20</v>
      </c>
      <c r="AZ52" s="241">
        <v>20</v>
      </c>
    </row>
    <row r="53" spans="1:52" x14ac:dyDescent="0.25">
      <c r="A53" s="244" t="str">
        <f t="shared" si="3"/>
        <v>LOCX1TProd Plan</v>
      </c>
      <c r="B53" s="244" t="s">
        <v>715</v>
      </c>
      <c r="C53" s="244">
        <v>22000101</v>
      </c>
      <c r="D53" s="244" t="s">
        <v>1405</v>
      </c>
      <c r="E53" s="244">
        <v>78</v>
      </c>
      <c r="F53" s="245">
        <v>0</v>
      </c>
      <c r="G53" s="244">
        <v>60</v>
      </c>
      <c r="H53" s="244">
        <v>0</v>
      </c>
      <c r="I53" s="244">
        <v>0</v>
      </c>
      <c r="J53" s="244">
        <v>0</v>
      </c>
      <c r="K53" s="244">
        <v>0</v>
      </c>
      <c r="L53" s="244">
        <v>60</v>
      </c>
      <c r="M53" s="244">
        <v>0</v>
      </c>
      <c r="N53" s="244">
        <v>0</v>
      </c>
      <c r="O53" s="244">
        <v>0</v>
      </c>
      <c r="P53" s="244">
        <v>0</v>
      </c>
      <c r="Q53" s="244">
        <v>0</v>
      </c>
      <c r="R53" s="244">
        <v>60</v>
      </c>
      <c r="S53" s="244">
        <v>0</v>
      </c>
      <c r="T53" s="244">
        <v>0</v>
      </c>
      <c r="U53" s="244">
        <v>0</v>
      </c>
      <c r="V53" s="244">
        <v>0</v>
      </c>
      <c r="W53" s="244">
        <v>0</v>
      </c>
      <c r="X53" s="244">
        <v>0</v>
      </c>
      <c r="Y53" s="244">
        <v>60</v>
      </c>
      <c r="Z53" s="244">
        <v>0</v>
      </c>
      <c r="AA53" s="244">
        <v>0</v>
      </c>
      <c r="AB53" s="244">
        <v>0</v>
      </c>
      <c r="AC53" s="244">
        <v>0</v>
      </c>
      <c r="AD53" s="244">
        <v>0</v>
      </c>
      <c r="AE53" s="244">
        <v>0</v>
      </c>
      <c r="AF53" s="244">
        <v>60</v>
      </c>
      <c r="AG53" s="244">
        <v>0</v>
      </c>
      <c r="AH53" s="244">
        <v>0</v>
      </c>
      <c r="AI53" s="244">
        <v>0</v>
      </c>
      <c r="AJ53" s="244">
        <v>0</v>
      </c>
      <c r="AK53" s="244">
        <v>0</v>
      </c>
      <c r="AL53" s="244">
        <v>0</v>
      </c>
      <c r="AM53" s="244">
        <v>60</v>
      </c>
      <c r="AN53" s="244">
        <v>0</v>
      </c>
      <c r="AO53" s="244">
        <v>0</v>
      </c>
      <c r="AP53" s="244">
        <v>0</v>
      </c>
      <c r="AQ53" s="244">
        <v>0</v>
      </c>
      <c r="AR53" s="244">
        <v>0</v>
      </c>
      <c r="AS53" s="244">
        <v>0</v>
      </c>
      <c r="AT53" s="244">
        <v>0</v>
      </c>
      <c r="AU53" s="244">
        <v>0</v>
      </c>
      <c r="AV53" s="244">
        <v>0</v>
      </c>
      <c r="AW53" s="244">
        <v>0</v>
      </c>
      <c r="AX53" s="244">
        <v>0</v>
      </c>
      <c r="AY53" s="244">
        <v>0</v>
      </c>
      <c r="AZ53" s="244">
        <v>0</v>
      </c>
    </row>
    <row r="54" spans="1:52" x14ac:dyDescent="0.25">
      <c r="A54" s="246" t="str">
        <f t="shared" si="3"/>
        <v>LOCX1TProd Receipt</v>
      </c>
      <c r="B54" s="246" t="s">
        <v>715</v>
      </c>
      <c r="C54" s="246">
        <v>22000101</v>
      </c>
      <c r="D54" s="246" t="s">
        <v>1406</v>
      </c>
      <c r="E54" s="246"/>
      <c r="F54" s="246" t="e">
        <f>VLOOKUP($C54,#REF!,F$1,0)</f>
        <v>#REF!</v>
      </c>
      <c r="G54" s="246" t="e">
        <f>VLOOKUP($C54,#REF!,G$1,0)</f>
        <v>#REF!</v>
      </c>
      <c r="H54" s="246" t="e">
        <f>VLOOKUP($C54,#REF!,H$1,0)</f>
        <v>#REF!</v>
      </c>
      <c r="I54" s="246" t="e">
        <f>VLOOKUP($C54,#REF!,I$1,0)</f>
        <v>#REF!</v>
      </c>
      <c r="J54" s="246" t="e">
        <f>VLOOKUP($C54,#REF!,J$1,0)</f>
        <v>#REF!</v>
      </c>
      <c r="K54" s="246" t="e">
        <f>VLOOKUP($C54,#REF!,K$1,0)</f>
        <v>#REF!</v>
      </c>
      <c r="L54" s="246" t="e">
        <f>VLOOKUP($C54,#REF!,L$1,0)</f>
        <v>#REF!</v>
      </c>
      <c r="M54" s="246" t="e">
        <f>VLOOKUP($C54,#REF!,M$1,0)</f>
        <v>#REF!</v>
      </c>
      <c r="N54" s="246" t="e">
        <f>VLOOKUP($C54,#REF!,N$1,0)</f>
        <v>#REF!</v>
      </c>
      <c r="O54" s="246" t="e">
        <f>VLOOKUP($C54,#REF!,O$1,0)</f>
        <v>#REF!</v>
      </c>
      <c r="P54" s="246" t="e">
        <f>VLOOKUP($C54,#REF!,P$1,0)</f>
        <v>#REF!</v>
      </c>
      <c r="Q54" s="246" t="e">
        <f>VLOOKUP($C54,#REF!,Q$1,0)</f>
        <v>#REF!</v>
      </c>
      <c r="R54" s="246" t="e">
        <f>VLOOKUP($C54,#REF!,R$1,0)</f>
        <v>#REF!</v>
      </c>
      <c r="S54" s="246" t="e">
        <f>VLOOKUP($C54,#REF!,S$1,0)</f>
        <v>#REF!</v>
      </c>
      <c r="T54" s="246" t="e">
        <f>VLOOKUP($C54,#REF!,T$1,0)</f>
        <v>#REF!</v>
      </c>
      <c r="U54" s="246"/>
      <c r="V54" s="246"/>
      <c r="W54" s="246"/>
      <c r="X54" s="246"/>
      <c r="Y54" s="246"/>
      <c r="Z54" s="246"/>
      <c r="AA54" s="246"/>
      <c r="AB54" s="246"/>
      <c r="AC54" s="246"/>
      <c r="AD54" s="246"/>
      <c r="AE54" s="246"/>
      <c r="AF54" s="246"/>
      <c r="AG54" s="246"/>
      <c r="AH54" s="246"/>
      <c r="AI54" s="246"/>
      <c r="AJ54" s="246"/>
      <c r="AK54" s="246"/>
      <c r="AL54" s="246"/>
      <c r="AM54" s="246"/>
      <c r="AN54" s="246"/>
      <c r="AO54" s="246"/>
      <c r="AP54" s="246"/>
      <c r="AQ54" s="246"/>
      <c r="AR54" s="246"/>
      <c r="AS54" s="246"/>
      <c r="AT54" s="246"/>
      <c r="AU54" s="246"/>
      <c r="AV54" s="246"/>
      <c r="AW54" s="246"/>
      <c r="AX54" s="246"/>
      <c r="AY54" s="246"/>
      <c r="AZ54" s="246"/>
    </row>
    <row r="55" spans="1:52" x14ac:dyDescent="0.25">
      <c r="A55" s="241" t="str">
        <f t="shared" si="3"/>
        <v>LOCX1TTotal Suppy</v>
      </c>
      <c r="B55" s="241" t="s">
        <v>715</v>
      </c>
      <c r="C55" s="241">
        <v>22000101</v>
      </c>
      <c r="D55" s="241" t="s">
        <v>1407</v>
      </c>
      <c r="E55" s="241"/>
      <c r="F55" s="241">
        <v>0</v>
      </c>
      <c r="G55" s="241">
        <v>0</v>
      </c>
      <c r="H55" s="241">
        <v>0</v>
      </c>
      <c r="I55" s="245">
        <f>+F53</f>
        <v>0</v>
      </c>
      <c r="J55" s="241" t="e">
        <f>+G54</f>
        <v>#REF!</v>
      </c>
      <c r="K55" s="241" t="e">
        <f>+H54</f>
        <v>#REF!</v>
      </c>
      <c r="L55" s="241">
        <f t="shared" ref="L55" si="32">+I53</f>
        <v>0</v>
      </c>
      <c r="M55" s="241" t="e">
        <f t="shared" ref="M55:X55" si="33">+J54</f>
        <v>#REF!</v>
      </c>
      <c r="N55" s="241" t="e">
        <f t="shared" si="33"/>
        <v>#REF!</v>
      </c>
      <c r="O55" s="241" t="e">
        <f t="shared" si="33"/>
        <v>#REF!</v>
      </c>
      <c r="P55" s="241" t="e">
        <f t="shared" si="33"/>
        <v>#REF!</v>
      </c>
      <c r="Q55" s="241" t="e">
        <f t="shared" si="33"/>
        <v>#REF!</v>
      </c>
      <c r="R55" s="241" t="e">
        <f t="shared" si="33"/>
        <v>#REF!</v>
      </c>
      <c r="S55" s="241" t="e">
        <f t="shared" si="33"/>
        <v>#REF!</v>
      </c>
      <c r="T55" s="241" t="e">
        <f t="shared" si="33"/>
        <v>#REF!</v>
      </c>
      <c r="U55" s="241" t="e">
        <f t="shared" si="33"/>
        <v>#REF!</v>
      </c>
      <c r="V55" s="241" t="e">
        <f t="shared" si="33"/>
        <v>#REF!</v>
      </c>
      <c r="W55" s="241" t="e">
        <f t="shared" si="33"/>
        <v>#REF!</v>
      </c>
      <c r="X55" s="241">
        <f t="shared" si="33"/>
        <v>0</v>
      </c>
      <c r="Y55" s="241"/>
      <c r="Z55" s="241"/>
      <c r="AA55" s="241"/>
      <c r="AB55" s="241"/>
      <c r="AC55" s="241"/>
      <c r="AD55" s="241"/>
      <c r="AE55" s="241"/>
      <c r="AF55" s="241"/>
      <c r="AG55" s="241"/>
      <c r="AH55" s="241"/>
      <c r="AI55" s="241"/>
      <c r="AJ55" s="241"/>
      <c r="AK55" s="241"/>
      <c r="AL55" s="241"/>
      <c r="AM55" s="241"/>
      <c r="AN55" s="241"/>
      <c r="AO55" s="241"/>
      <c r="AP55" s="241"/>
      <c r="AQ55" s="241"/>
      <c r="AR55" s="241"/>
      <c r="AS55" s="241"/>
      <c r="AT55" s="241"/>
      <c r="AU55" s="241"/>
      <c r="AV55" s="241"/>
      <c r="AW55" s="241"/>
      <c r="AX55" s="241"/>
      <c r="AY55" s="241"/>
      <c r="AZ55" s="241"/>
    </row>
    <row r="56" spans="1:52" x14ac:dyDescent="0.25">
      <c r="A56" s="247" t="str">
        <f t="shared" si="3"/>
        <v>LOCX1TClosing Stks</v>
      </c>
      <c r="B56" s="247" t="s">
        <v>715</v>
      </c>
      <c r="C56" s="247">
        <v>22000101</v>
      </c>
      <c r="D56" s="247" t="s">
        <v>1408</v>
      </c>
      <c r="E56" s="247"/>
      <c r="F56" s="247">
        <f>E53+F55-F52</f>
        <v>78</v>
      </c>
      <c r="G56" s="248">
        <f>F56+G55-G52</f>
        <v>23</v>
      </c>
      <c r="H56" s="248">
        <f>G56+H55-H52</f>
        <v>23</v>
      </c>
      <c r="I56" s="248">
        <f>H56+I55-I52</f>
        <v>23</v>
      </c>
      <c r="J56" s="248" t="e">
        <f>I56+J55-J52</f>
        <v>#REF!</v>
      </c>
      <c r="K56" s="248" t="e">
        <f t="shared" ref="K56:N56" si="34">J56+K55-K52</f>
        <v>#REF!</v>
      </c>
      <c r="L56" s="248" t="e">
        <f t="shared" si="34"/>
        <v>#REF!</v>
      </c>
      <c r="M56" s="248" t="e">
        <f t="shared" si="34"/>
        <v>#REF!</v>
      </c>
      <c r="N56" s="248" t="e">
        <f t="shared" si="34"/>
        <v>#REF!</v>
      </c>
      <c r="O56" s="248" t="e">
        <f>N56+O55-O52</f>
        <v>#REF!</v>
      </c>
      <c r="P56" s="248" t="e">
        <f>O56+P53-P52</f>
        <v>#REF!</v>
      </c>
      <c r="Q56" s="248" t="e">
        <f t="shared" ref="Q56:AZ56" si="35">P56+Q53-Q52</f>
        <v>#REF!</v>
      </c>
      <c r="R56" s="248" t="e">
        <f t="shared" si="35"/>
        <v>#REF!</v>
      </c>
      <c r="S56" s="248" t="e">
        <f t="shared" si="35"/>
        <v>#REF!</v>
      </c>
      <c r="T56" s="248" t="e">
        <f t="shared" si="35"/>
        <v>#REF!</v>
      </c>
      <c r="U56" s="248" t="e">
        <f t="shared" si="35"/>
        <v>#REF!</v>
      </c>
      <c r="V56" s="248" t="e">
        <f t="shared" si="35"/>
        <v>#REF!</v>
      </c>
      <c r="W56" s="248" t="e">
        <f t="shared" si="35"/>
        <v>#REF!</v>
      </c>
      <c r="X56" s="248" t="e">
        <f t="shared" si="35"/>
        <v>#REF!</v>
      </c>
      <c r="Y56" s="248" t="e">
        <f t="shared" si="35"/>
        <v>#REF!</v>
      </c>
      <c r="Z56" s="248" t="e">
        <f t="shared" si="35"/>
        <v>#REF!</v>
      </c>
      <c r="AA56" s="248" t="e">
        <f t="shared" si="35"/>
        <v>#REF!</v>
      </c>
      <c r="AB56" s="248" t="e">
        <f t="shared" si="35"/>
        <v>#REF!</v>
      </c>
      <c r="AC56" s="248" t="e">
        <f t="shared" si="35"/>
        <v>#REF!</v>
      </c>
      <c r="AD56" s="248" t="e">
        <f t="shared" si="35"/>
        <v>#REF!</v>
      </c>
      <c r="AE56" s="248" t="e">
        <f t="shared" si="35"/>
        <v>#REF!</v>
      </c>
      <c r="AF56" s="248" t="e">
        <f t="shared" si="35"/>
        <v>#REF!</v>
      </c>
      <c r="AG56" s="248" t="e">
        <f t="shared" si="35"/>
        <v>#REF!</v>
      </c>
      <c r="AH56" s="248" t="e">
        <f t="shared" si="35"/>
        <v>#REF!</v>
      </c>
      <c r="AI56" s="248" t="e">
        <f t="shared" si="35"/>
        <v>#REF!</v>
      </c>
      <c r="AJ56" s="248" t="e">
        <f t="shared" si="35"/>
        <v>#REF!</v>
      </c>
      <c r="AK56" s="248" t="e">
        <f t="shared" si="35"/>
        <v>#REF!</v>
      </c>
      <c r="AL56" s="248" t="e">
        <f t="shared" si="35"/>
        <v>#REF!</v>
      </c>
      <c r="AM56" s="248" t="e">
        <f t="shared" si="35"/>
        <v>#REF!</v>
      </c>
      <c r="AN56" s="248" t="e">
        <f t="shared" si="35"/>
        <v>#REF!</v>
      </c>
      <c r="AO56" s="248" t="e">
        <f t="shared" si="35"/>
        <v>#REF!</v>
      </c>
      <c r="AP56" s="248" t="e">
        <f t="shared" si="35"/>
        <v>#REF!</v>
      </c>
      <c r="AQ56" s="248" t="e">
        <f t="shared" si="35"/>
        <v>#REF!</v>
      </c>
      <c r="AR56" s="248" t="e">
        <f t="shared" si="35"/>
        <v>#REF!</v>
      </c>
      <c r="AS56" s="248" t="e">
        <f t="shared" si="35"/>
        <v>#REF!</v>
      </c>
      <c r="AT56" s="248" t="e">
        <f t="shared" si="35"/>
        <v>#REF!</v>
      </c>
      <c r="AU56" s="248" t="e">
        <f t="shared" si="35"/>
        <v>#REF!</v>
      </c>
      <c r="AV56" s="248" t="e">
        <f t="shared" si="35"/>
        <v>#REF!</v>
      </c>
      <c r="AW56" s="248" t="e">
        <f t="shared" si="35"/>
        <v>#REF!</v>
      </c>
      <c r="AX56" s="248" t="e">
        <f t="shared" si="35"/>
        <v>#REF!</v>
      </c>
      <c r="AY56" s="248" t="e">
        <f t="shared" si="35"/>
        <v>#REF!</v>
      </c>
      <c r="AZ56" s="248" t="e">
        <f t="shared" si="35"/>
        <v>#REF!</v>
      </c>
    </row>
    <row r="57" spans="1:52" x14ac:dyDescent="0.25">
      <c r="A57" s="241" t="str">
        <f t="shared" si="3"/>
        <v>LOIGFFForecast</v>
      </c>
      <c r="B57" s="241" t="s">
        <v>494</v>
      </c>
      <c r="C57" s="241">
        <v>22000107</v>
      </c>
      <c r="D57" s="241" t="s">
        <v>1403</v>
      </c>
      <c r="E57" s="241"/>
      <c r="F57" s="241"/>
      <c r="G57" s="241"/>
      <c r="H57" s="241"/>
      <c r="I57" s="241"/>
      <c r="J57" s="241"/>
      <c r="K57" s="241"/>
      <c r="L57" s="241">
        <v>0</v>
      </c>
      <c r="M57" s="241"/>
      <c r="N57" s="241"/>
      <c r="O57" s="241"/>
      <c r="P57" s="241"/>
      <c r="Q57" s="241"/>
      <c r="R57" s="241"/>
      <c r="S57" s="241">
        <v>0</v>
      </c>
      <c r="T57" s="241"/>
      <c r="U57" s="241"/>
      <c r="V57" s="241"/>
      <c r="W57" s="241"/>
      <c r="X57" s="241"/>
      <c r="Y57" s="241"/>
      <c r="Z57" s="241">
        <v>0</v>
      </c>
      <c r="AA57" s="241"/>
      <c r="AB57" s="241"/>
      <c r="AC57" s="241"/>
      <c r="AD57" s="241"/>
      <c r="AE57" s="241"/>
      <c r="AF57" s="241"/>
      <c r="AG57" s="241"/>
      <c r="AH57" s="241"/>
      <c r="AI57" s="241"/>
      <c r="AJ57" s="241"/>
      <c r="AK57" s="241"/>
      <c r="AL57" s="241"/>
      <c r="AM57" s="241"/>
      <c r="AN57" s="241"/>
      <c r="AO57" s="241"/>
      <c r="AP57" s="241"/>
      <c r="AQ57" s="241"/>
      <c r="AR57" s="241"/>
      <c r="AS57" s="241"/>
      <c r="AT57" s="241"/>
      <c r="AU57" s="241"/>
      <c r="AV57" s="241"/>
      <c r="AW57" s="241"/>
      <c r="AX57" s="241"/>
      <c r="AY57" s="241"/>
      <c r="AZ57" s="241"/>
    </row>
    <row r="58" spans="1:52" x14ac:dyDescent="0.25">
      <c r="A58" s="241" t="str">
        <f t="shared" si="3"/>
        <v>LOIGFFTotal OR</v>
      </c>
      <c r="B58" s="241" t="s">
        <v>494</v>
      </c>
      <c r="C58" s="241">
        <v>22000107</v>
      </c>
      <c r="D58" s="241" t="s">
        <v>1404</v>
      </c>
      <c r="E58" s="241"/>
      <c r="F58" s="241"/>
      <c r="G58" s="241">
        <v>20</v>
      </c>
      <c r="H58" s="241">
        <v>0</v>
      </c>
      <c r="I58" s="241">
        <v>0</v>
      </c>
      <c r="J58" s="241">
        <v>0</v>
      </c>
      <c r="K58" s="241">
        <v>0</v>
      </c>
      <c r="L58" s="241">
        <v>0</v>
      </c>
      <c r="M58" s="241">
        <v>20</v>
      </c>
      <c r="N58" s="241">
        <v>25</v>
      </c>
      <c r="O58" s="241">
        <v>20</v>
      </c>
      <c r="P58" s="241">
        <v>20</v>
      </c>
      <c r="Q58" s="241">
        <v>40</v>
      </c>
      <c r="R58" s="241">
        <v>20</v>
      </c>
      <c r="S58" s="241">
        <v>0</v>
      </c>
      <c r="T58" s="241">
        <v>20</v>
      </c>
      <c r="U58" s="241">
        <v>25</v>
      </c>
      <c r="V58" s="241">
        <v>20</v>
      </c>
      <c r="W58" s="241">
        <v>20</v>
      </c>
      <c r="X58" s="241">
        <v>40</v>
      </c>
      <c r="Y58" s="241">
        <v>20</v>
      </c>
      <c r="Z58" s="241">
        <v>0</v>
      </c>
      <c r="AA58" s="241">
        <v>20</v>
      </c>
      <c r="AB58" s="241">
        <v>25</v>
      </c>
      <c r="AC58" s="241">
        <v>20</v>
      </c>
      <c r="AD58" s="241">
        <v>20</v>
      </c>
      <c r="AE58" s="241">
        <v>40</v>
      </c>
      <c r="AF58" s="241">
        <v>20</v>
      </c>
      <c r="AG58" s="241">
        <v>0</v>
      </c>
      <c r="AH58" s="241">
        <v>20</v>
      </c>
      <c r="AI58" s="241">
        <v>25</v>
      </c>
      <c r="AJ58" s="241">
        <v>20</v>
      </c>
      <c r="AK58" s="241">
        <v>20</v>
      </c>
      <c r="AL58" s="241">
        <v>40</v>
      </c>
      <c r="AM58" s="241">
        <v>20</v>
      </c>
      <c r="AN58" s="241">
        <v>0</v>
      </c>
      <c r="AO58" s="241">
        <v>20</v>
      </c>
      <c r="AP58" s="241">
        <v>25</v>
      </c>
      <c r="AQ58" s="241">
        <v>20</v>
      </c>
      <c r="AR58" s="241">
        <v>20</v>
      </c>
      <c r="AS58" s="241">
        <v>40</v>
      </c>
      <c r="AT58" s="241">
        <v>40</v>
      </c>
      <c r="AU58" s="241">
        <v>40</v>
      </c>
      <c r="AV58" s="241">
        <v>40</v>
      </c>
      <c r="AW58" s="241">
        <v>40</v>
      </c>
      <c r="AX58" s="241">
        <v>40</v>
      </c>
      <c r="AY58" s="241">
        <v>40</v>
      </c>
      <c r="AZ58" s="241">
        <v>40</v>
      </c>
    </row>
    <row r="59" spans="1:52" x14ac:dyDescent="0.25">
      <c r="A59" s="244" t="str">
        <f t="shared" si="3"/>
        <v>LOIGFFProd Plan</v>
      </c>
      <c r="B59" s="244" t="s">
        <v>494</v>
      </c>
      <c r="C59" s="244">
        <v>22000107</v>
      </c>
      <c r="D59" s="244" t="s">
        <v>1405</v>
      </c>
      <c r="E59" s="244">
        <v>204</v>
      </c>
      <c r="F59" s="245">
        <v>0</v>
      </c>
      <c r="G59" s="244">
        <v>0</v>
      </c>
      <c r="H59" s="244">
        <v>0</v>
      </c>
      <c r="I59" s="244">
        <v>0</v>
      </c>
      <c r="J59" s="244">
        <v>0</v>
      </c>
      <c r="K59" s="244">
        <v>100</v>
      </c>
      <c r="L59" s="244">
        <v>0</v>
      </c>
      <c r="M59" s="244">
        <v>0</v>
      </c>
      <c r="N59" s="244">
        <v>0</v>
      </c>
      <c r="O59" s="244">
        <v>0</v>
      </c>
      <c r="P59" s="244">
        <v>0</v>
      </c>
      <c r="Q59" s="244">
        <v>0</v>
      </c>
      <c r="R59" s="244">
        <v>100</v>
      </c>
      <c r="S59" s="244">
        <v>0</v>
      </c>
      <c r="T59" s="244">
        <v>0</v>
      </c>
      <c r="U59" s="244">
        <v>100</v>
      </c>
      <c r="V59" s="244">
        <v>0</v>
      </c>
      <c r="W59" s="244">
        <v>0</v>
      </c>
      <c r="X59" s="244">
        <v>150</v>
      </c>
      <c r="Y59" s="244">
        <v>0</v>
      </c>
      <c r="Z59" s="244">
        <v>0</v>
      </c>
      <c r="AA59" s="244">
        <v>100</v>
      </c>
      <c r="AB59" s="244">
        <v>0</v>
      </c>
      <c r="AC59" s="244">
        <v>0</v>
      </c>
      <c r="AD59" s="244">
        <v>150</v>
      </c>
      <c r="AE59" s="244">
        <v>0</v>
      </c>
      <c r="AF59" s="244">
        <v>0</v>
      </c>
      <c r="AG59" s="244">
        <v>100</v>
      </c>
      <c r="AH59" s="244">
        <v>0</v>
      </c>
      <c r="AI59" s="244">
        <v>0</v>
      </c>
      <c r="AJ59" s="244">
        <v>0</v>
      </c>
      <c r="AK59" s="244">
        <v>0</v>
      </c>
      <c r="AL59" s="244">
        <v>150</v>
      </c>
      <c r="AM59" s="244">
        <v>0</v>
      </c>
      <c r="AN59" s="244">
        <v>0</v>
      </c>
      <c r="AO59" s="244">
        <v>0</v>
      </c>
      <c r="AP59" s="244">
        <v>0</v>
      </c>
      <c r="AQ59" s="244">
        <v>0</v>
      </c>
      <c r="AR59" s="244">
        <v>0</v>
      </c>
      <c r="AS59" s="244">
        <v>0</v>
      </c>
      <c r="AT59" s="244">
        <v>0</v>
      </c>
      <c r="AU59" s="244">
        <v>0</v>
      </c>
      <c r="AV59" s="244">
        <v>0</v>
      </c>
      <c r="AW59" s="244">
        <v>0</v>
      </c>
      <c r="AX59" s="244">
        <v>0</v>
      </c>
      <c r="AY59" s="244">
        <v>0</v>
      </c>
      <c r="AZ59" s="244">
        <v>0</v>
      </c>
    </row>
    <row r="60" spans="1:52" x14ac:dyDescent="0.25">
      <c r="A60" s="246" t="str">
        <f t="shared" si="3"/>
        <v>LOIGFFProd Receipt</v>
      </c>
      <c r="B60" s="246" t="s">
        <v>494</v>
      </c>
      <c r="C60" s="246">
        <v>22000107</v>
      </c>
      <c r="D60" s="246" t="s">
        <v>1406</v>
      </c>
      <c r="E60" s="246"/>
      <c r="F60" s="246" t="e">
        <f>VLOOKUP($C60,#REF!,F$1,0)</f>
        <v>#REF!</v>
      </c>
      <c r="G60" s="246" t="e">
        <f>VLOOKUP($C60,#REF!,G$1,0)</f>
        <v>#REF!</v>
      </c>
      <c r="H60" s="246" t="e">
        <f>VLOOKUP($C60,#REF!,H$1,0)</f>
        <v>#REF!</v>
      </c>
      <c r="I60" s="246" t="e">
        <f>VLOOKUP($C60,#REF!,I$1,0)</f>
        <v>#REF!</v>
      </c>
      <c r="J60" s="246" t="e">
        <f>VLOOKUP($C60,#REF!,J$1,0)</f>
        <v>#REF!</v>
      </c>
      <c r="K60" s="246" t="e">
        <f>VLOOKUP($C60,#REF!,K$1,0)</f>
        <v>#REF!</v>
      </c>
      <c r="L60" s="246" t="e">
        <f>VLOOKUP($C60,#REF!,L$1,0)</f>
        <v>#REF!</v>
      </c>
      <c r="M60" s="246" t="e">
        <f>VLOOKUP($C60,#REF!,M$1,0)</f>
        <v>#REF!</v>
      </c>
      <c r="N60" s="246" t="e">
        <f>VLOOKUP($C60,#REF!,N$1,0)</f>
        <v>#REF!</v>
      </c>
      <c r="O60" s="246" t="e">
        <f>VLOOKUP($C60,#REF!,O$1,0)</f>
        <v>#REF!</v>
      </c>
      <c r="P60" s="246" t="e">
        <f>VLOOKUP($C60,#REF!,P$1,0)</f>
        <v>#REF!</v>
      </c>
      <c r="Q60" s="246" t="e">
        <f>VLOOKUP($C60,#REF!,Q$1,0)</f>
        <v>#REF!</v>
      </c>
      <c r="R60" s="246" t="e">
        <f>VLOOKUP($C60,#REF!,R$1,0)</f>
        <v>#REF!</v>
      </c>
      <c r="S60" s="246" t="e">
        <f>VLOOKUP($C60,#REF!,S$1,0)</f>
        <v>#REF!</v>
      </c>
      <c r="T60" s="246" t="e">
        <f>VLOOKUP($C60,#REF!,T$1,0)</f>
        <v>#REF!</v>
      </c>
      <c r="U60" s="246"/>
      <c r="V60" s="246"/>
      <c r="W60" s="246"/>
      <c r="X60" s="246"/>
      <c r="Y60" s="246"/>
      <c r="Z60" s="246"/>
      <c r="AA60" s="246"/>
      <c r="AB60" s="246"/>
      <c r="AC60" s="246"/>
      <c r="AD60" s="246"/>
      <c r="AE60" s="246"/>
      <c r="AF60" s="246"/>
      <c r="AG60" s="246"/>
      <c r="AH60" s="246"/>
      <c r="AI60" s="246"/>
      <c r="AJ60" s="246"/>
      <c r="AK60" s="246"/>
      <c r="AL60" s="246"/>
      <c r="AM60" s="246"/>
      <c r="AN60" s="246"/>
      <c r="AO60" s="246"/>
      <c r="AP60" s="246"/>
      <c r="AQ60" s="246"/>
      <c r="AR60" s="246"/>
      <c r="AS60" s="246"/>
      <c r="AT60" s="246"/>
      <c r="AU60" s="246"/>
      <c r="AV60" s="246"/>
      <c r="AW60" s="246"/>
      <c r="AX60" s="246"/>
      <c r="AY60" s="246"/>
      <c r="AZ60" s="246"/>
    </row>
    <row r="61" spans="1:52" x14ac:dyDescent="0.25">
      <c r="A61" s="241" t="str">
        <f t="shared" si="3"/>
        <v>LOIGFFTotal Suppy</v>
      </c>
      <c r="B61" s="241" t="s">
        <v>494</v>
      </c>
      <c r="C61" s="241">
        <v>22000107</v>
      </c>
      <c r="D61" s="241" t="s">
        <v>1407</v>
      </c>
      <c r="E61" s="241"/>
      <c r="F61" s="241">
        <v>0</v>
      </c>
      <c r="G61" s="241">
        <v>0</v>
      </c>
      <c r="H61" s="241">
        <v>0</v>
      </c>
      <c r="I61" s="245" t="e">
        <f>+F60</f>
        <v>#REF!</v>
      </c>
      <c r="J61" s="241" t="e">
        <f>+G60</f>
        <v>#REF!</v>
      </c>
      <c r="K61" s="241" t="e">
        <f>+H60</f>
        <v>#REF!</v>
      </c>
      <c r="L61" s="241">
        <f t="shared" ref="L61" si="36">+I59</f>
        <v>0</v>
      </c>
      <c r="M61" s="241" t="e">
        <f t="shared" ref="M61:X61" si="37">+J60</f>
        <v>#REF!</v>
      </c>
      <c r="N61" s="241" t="e">
        <f t="shared" si="37"/>
        <v>#REF!</v>
      </c>
      <c r="O61" s="241" t="e">
        <f t="shared" si="37"/>
        <v>#REF!</v>
      </c>
      <c r="P61" s="241" t="e">
        <f t="shared" si="37"/>
        <v>#REF!</v>
      </c>
      <c r="Q61" s="241" t="e">
        <f t="shared" si="37"/>
        <v>#REF!</v>
      </c>
      <c r="R61" s="241" t="e">
        <f t="shared" si="37"/>
        <v>#REF!</v>
      </c>
      <c r="S61" s="241" t="e">
        <f t="shared" si="37"/>
        <v>#REF!</v>
      </c>
      <c r="T61" s="241" t="e">
        <f t="shared" si="37"/>
        <v>#REF!</v>
      </c>
      <c r="U61" s="241" t="e">
        <f t="shared" si="37"/>
        <v>#REF!</v>
      </c>
      <c r="V61" s="241" t="e">
        <f t="shared" si="37"/>
        <v>#REF!</v>
      </c>
      <c r="W61" s="241" t="e">
        <f t="shared" si="37"/>
        <v>#REF!</v>
      </c>
      <c r="X61" s="241">
        <f t="shared" si="37"/>
        <v>0</v>
      </c>
      <c r="Y61" s="241"/>
      <c r="Z61" s="241"/>
      <c r="AA61" s="241"/>
      <c r="AB61" s="241"/>
      <c r="AC61" s="241"/>
      <c r="AD61" s="241"/>
      <c r="AE61" s="241"/>
      <c r="AF61" s="241"/>
      <c r="AG61" s="241"/>
      <c r="AH61" s="241"/>
      <c r="AI61" s="241"/>
      <c r="AJ61" s="241"/>
      <c r="AK61" s="241"/>
      <c r="AL61" s="241"/>
      <c r="AM61" s="241"/>
      <c r="AN61" s="241"/>
      <c r="AO61" s="241"/>
      <c r="AP61" s="241"/>
      <c r="AQ61" s="241"/>
      <c r="AR61" s="241"/>
      <c r="AS61" s="241"/>
      <c r="AT61" s="241"/>
      <c r="AU61" s="241"/>
      <c r="AV61" s="241"/>
      <c r="AW61" s="241"/>
      <c r="AX61" s="241"/>
      <c r="AY61" s="241"/>
      <c r="AZ61" s="241"/>
    </row>
    <row r="62" spans="1:52" x14ac:dyDescent="0.25">
      <c r="A62" s="247" t="str">
        <f t="shared" si="3"/>
        <v>LOIGFFClosing Stks</v>
      </c>
      <c r="B62" s="247" t="s">
        <v>494</v>
      </c>
      <c r="C62" s="247">
        <v>22000107</v>
      </c>
      <c r="D62" s="247" t="s">
        <v>1408</v>
      </c>
      <c r="E62" s="247"/>
      <c r="F62" s="247">
        <f>E59+F61-F58</f>
        <v>204</v>
      </c>
      <c r="G62" s="248">
        <f>F62+G61-G58</f>
        <v>184</v>
      </c>
      <c r="H62" s="248">
        <f>G62+H61-H58</f>
        <v>184</v>
      </c>
      <c r="I62" s="248" t="e">
        <f>H62+I61-I58</f>
        <v>#REF!</v>
      </c>
      <c r="J62" s="248" t="e">
        <f>I62+J61-J58</f>
        <v>#REF!</v>
      </c>
      <c r="K62" s="248" t="e">
        <f t="shared" ref="K62:N62" si="38">J62+K61-K58</f>
        <v>#REF!</v>
      </c>
      <c r="L62" s="248" t="e">
        <f t="shared" si="38"/>
        <v>#REF!</v>
      </c>
      <c r="M62" s="248" t="e">
        <f t="shared" si="38"/>
        <v>#REF!</v>
      </c>
      <c r="N62" s="248" t="e">
        <f t="shared" si="38"/>
        <v>#REF!</v>
      </c>
      <c r="O62" s="248" t="e">
        <f>N62+O61-O58</f>
        <v>#REF!</v>
      </c>
      <c r="P62" s="248" t="e">
        <f>O62+P59-P58</f>
        <v>#REF!</v>
      </c>
      <c r="Q62" s="248" t="e">
        <f t="shared" ref="Q62:AZ62" si="39">P62+Q59-Q58</f>
        <v>#REF!</v>
      </c>
      <c r="R62" s="248" t="e">
        <f t="shared" si="39"/>
        <v>#REF!</v>
      </c>
      <c r="S62" s="248" t="e">
        <f t="shared" si="39"/>
        <v>#REF!</v>
      </c>
      <c r="T62" s="248" t="e">
        <f t="shared" si="39"/>
        <v>#REF!</v>
      </c>
      <c r="U62" s="248" t="e">
        <f t="shared" si="39"/>
        <v>#REF!</v>
      </c>
      <c r="V62" s="248" t="e">
        <f t="shared" si="39"/>
        <v>#REF!</v>
      </c>
      <c r="W62" s="248" t="e">
        <f t="shared" si="39"/>
        <v>#REF!</v>
      </c>
      <c r="X62" s="248" t="e">
        <f t="shared" si="39"/>
        <v>#REF!</v>
      </c>
      <c r="Y62" s="248" t="e">
        <f t="shared" si="39"/>
        <v>#REF!</v>
      </c>
      <c r="Z62" s="248" t="e">
        <f t="shared" si="39"/>
        <v>#REF!</v>
      </c>
      <c r="AA62" s="248" t="e">
        <f t="shared" si="39"/>
        <v>#REF!</v>
      </c>
      <c r="AB62" s="248" t="e">
        <f t="shared" si="39"/>
        <v>#REF!</v>
      </c>
      <c r="AC62" s="248" t="e">
        <f t="shared" si="39"/>
        <v>#REF!</v>
      </c>
      <c r="AD62" s="248" t="e">
        <f t="shared" si="39"/>
        <v>#REF!</v>
      </c>
      <c r="AE62" s="248" t="e">
        <f t="shared" si="39"/>
        <v>#REF!</v>
      </c>
      <c r="AF62" s="248" t="e">
        <f t="shared" si="39"/>
        <v>#REF!</v>
      </c>
      <c r="AG62" s="248" t="e">
        <f t="shared" si="39"/>
        <v>#REF!</v>
      </c>
      <c r="AH62" s="248" t="e">
        <f t="shared" si="39"/>
        <v>#REF!</v>
      </c>
      <c r="AI62" s="248" t="e">
        <f t="shared" si="39"/>
        <v>#REF!</v>
      </c>
      <c r="AJ62" s="248" t="e">
        <f t="shared" si="39"/>
        <v>#REF!</v>
      </c>
      <c r="AK62" s="248" t="e">
        <f t="shared" si="39"/>
        <v>#REF!</v>
      </c>
      <c r="AL62" s="248" t="e">
        <f t="shared" si="39"/>
        <v>#REF!</v>
      </c>
      <c r="AM62" s="248" t="e">
        <f t="shared" si="39"/>
        <v>#REF!</v>
      </c>
      <c r="AN62" s="248" t="e">
        <f t="shared" si="39"/>
        <v>#REF!</v>
      </c>
      <c r="AO62" s="248" t="e">
        <f t="shared" si="39"/>
        <v>#REF!</v>
      </c>
      <c r="AP62" s="248" t="e">
        <f t="shared" si="39"/>
        <v>#REF!</v>
      </c>
      <c r="AQ62" s="248" t="e">
        <f t="shared" si="39"/>
        <v>#REF!</v>
      </c>
      <c r="AR62" s="248" t="e">
        <f t="shared" si="39"/>
        <v>#REF!</v>
      </c>
      <c r="AS62" s="248" t="e">
        <f t="shared" si="39"/>
        <v>#REF!</v>
      </c>
      <c r="AT62" s="248" t="e">
        <f t="shared" si="39"/>
        <v>#REF!</v>
      </c>
      <c r="AU62" s="248" t="e">
        <f t="shared" si="39"/>
        <v>#REF!</v>
      </c>
      <c r="AV62" s="248" t="e">
        <f t="shared" si="39"/>
        <v>#REF!</v>
      </c>
      <c r="AW62" s="248" t="e">
        <f t="shared" si="39"/>
        <v>#REF!</v>
      </c>
      <c r="AX62" s="248" t="e">
        <f t="shared" si="39"/>
        <v>#REF!</v>
      </c>
      <c r="AY62" s="248" t="e">
        <f t="shared" si="39"/>
        <v>#REF!</v>
      </c>
      <c r="AZ62" s="248" t="e">
        <f t="shared" si="39"/>
        <v>#REF!</v>
      </c>
    </row>
    <row r="63" spans="1:52" x14ac:dyDescent="0.25">
      <c r="A63" s="241" t="str">
        <f t="shared" si="3"/>
        <v>LOIG1TForecast</v>
      </c>
      <c r="B63" s="241" t="s">
        <v>1413</v>
      </c>
      <c r="C63" s="241">
        <v>22000103</v>
      </c>
      <c r="D63" s="241" t="s">
        <v>1403</v>
      </c>
      <c r="E63" s="241"/>
      <c r="F63" s="241"/>
      <c r="G63" s="241"/>
      <c r="H63" s="241"/>
      <c r="I63" s="241"/>
      <c r="J63" s="241"/>
      <c r="K63" s="241"/>
      <c r="L63" s="241">
        <v>0</v>
      </c>
      <c r="M63" s="241"/>
      <c r="N63" s="241"/>
      <c r="O63" s="241"/>
      <c r="P63" s="241"/>
      <c r="Q63" s="241"/>
      <c r="R63" s="241"/>
      <c r="S63" s="241">
        <v>0</v>
      </c>
      <c r="T63" s="241"/>
      <c r="U63" s="241"/>
      <c r="V63" s="241"/>
      <c r="W63" s="241"/>
      <c r="X63" s="241"/>
      <c r="Y63" s="241"/>
      <c r="Z63" s="241">
        <v>0</v>
      </c>
      <c r="AA63" s="241"/>
      <c r="AB63" s="241"/>
      <c r="AC63" s="241"/>
      <c r="AD63" s="241"/>
      <c r="AE63" s="241"/>
      <c r="AF63" s="241"/>
      <c r="AG63" s="241"/>
      <c r="AH63" s="241"/>
      <c r="AI63" s="241"/>
      <c r="AJ63" s="241"/>
      <c r="AK63" s="241"/>
      <c r="AL63" s="241"/>
      <c r="AM63" s="241"/>
      <c r="AN63" s="241"/>
      <c r="AO63" s="241"/>
      <c r="AP63" s="241"/>
      <c r="AQ63" s="241"/>
      <c r="AR63" s="241"/>
      <c r="AS63" s="241"/>
      <c r="AT63" s="241"/>
      <c r="AU63" s="241"/>
      <c r="AV63" s="241"/>
      <c r="AW63" s="241"/>
      <c r="AX63" s="241"/>
      <c r="AY63" s="241"/>
      <c r="AZ63" s="241"/>
    </row>
    <row r="64" spans="1:52" x14ac:dyDescent="0.25">
      <c r="A64" s="241" t="str">
        <f t="shared" si="3"/>
        <v>LOIG1TTotal OR</v>
      </c>
      <c r="B64" s="241" t="s">
        <v>1413</v>
      </c>
      <c r="C64" s="241">
        <v>22000103</v>
      </c>
      <c r="D64" s="241" t="s">
        <v>1404</v>
      </c>
      <c r="E64" s="241"/>
      <c r="F64" s="241"/>
      <c r="G64" s="241">
        <v>350</v>
      </c>
      <c r="H64" s="241">
        <v>350</v>
      </c>
      <c r="I64" s="241">
        <v>350</v>
      </c>
      <c r="J64" s="241">
        <v>350</v>
      </c>
      <c r="K64" s="241">
        <v>350</v>
      </c>
      <c r="L64" s="241">
        <v>0</v>
      </c>
      <c r="M64" s="241">
        <v>350</v>
      </c>
      <c r="N64" s="241">
        <v>350</v>
      </c>
      <c r="O64" s="241">
        <v>350</v>
      </c>
      <c r="P64" s="241">
        <v>350</v>
      </c>
      <c r="Q64" s="241">
        <v>350</v>
      </c>
      <c r="R64" s="241">
        <v>350</v>
      </c>
      <c r="S64" s="241">
        <v>0</v>
      </c>
      <c r="T64" s="241">
        <v>350</v>
      </c>
      <c r="U64" s="241">
        <v>350</v>
      </c>
      <c r="V64" s="241">
        <v>350</v>
      </c>
      <c r="W64" s="241">
        <v>350</v>
      </c>
      <c r="X64" s="241">
        <v>350</v>
      </c>
      <c r="Y64" s="241">
        <v>350</v>
      </c>
      <c r="Z64" s="241">
        <v>0</v>
      </c>
      <c r="AA64" s="241">
        <v>350</v>
      </c>
      <c r="AB64" s="241">
        <v>350</v>
      </c>
      <c r="AC64" s="241">
        <v>350</v>
      </c>
      <c r="AD64" s="241">
        <v>350</v>
      </c>
      <c r="AE64" s="241">
        <v>350</v>
      </c>
      <c r="AF64" s="241">
        <v>350</v>
      </c>
      <c r="AG64" s="241">
        <v>0</v>
      </c>
      <c r="AH64" s="241">
        <v>350</v>
      </c>
      <c r="AI64" s="241">
        <v>350</v>
      </c>
      <c r="AJ64" s="241">
        <v>350</v>
      </c>
      <c r="AK64" s="241">
        <v>350</v>
      </c>
      <c r="AL64" s="241">
        <v>350</v>
      </c>
      <c r="AM64" s="241">
        <v>350</v>
      </c>
      <c r="AN64" s="241">
        <v>350</v>
      </c>
      <c r="AO64" s="241">
        <v>350</v>
      </c>
      <c r="AP64" s="241">
        <v>350</v>
      </c>
      <c r="AQ64" s="241">
        <v>350</v>
      </c>
      <c r="AR64" s="241">
        <v>350</v>
      </c>
      <c r="AS64" s="241">
        <v>350</v>
      </c>
      <c r="AT64" s="241">
        <v>350</v>
      </c>
      <c r="AU64" s="241">
        <v>350</v>
      </c>
      <c r="AV64" s="241">
        <v>350</v>
      </c>
      <c r="AW64" s="241">
        <v>350</v>
      </c>
      <c r="AX64" s="241">
        <v>350</v>
      </c>
      <c r="AY64" s="241">
        <v>350</v>
      </c>
      <c r="AZ64" s="241">
        <v>350</v>
      </c>
    </row>
    <row r="65" spans="1:52" x14ac:dyDescent="0.25">
      <c r="A65" s="244" t="str">
        <f t="shared" si="3"/>
        <v>LOIG1TProd Plan</v>
      </c>
      <c r="B65" s="244" t="s">
        <v>1413</v>
      </c>
      <c r="C65" s="244">
        <v>22000103</v>
      </c>
      <c r="D65" s="244" t="s">
        <v>1405</v>
      </c>
      <c r="E65" s="244">
        <v>100</v>
      </c>
      <c r="F65" s="245">
        <v>260</v>
      </c>
      <c r="G65" s="244">
        <v>240</v>
      </c>
      <c r="H65" s="244">
        <v>240</v>
      </c>
      <c r="I65" s="244">
        <v>240</v>
      </c>
      <c r="J65" s="244">
        <v>240</v>
      </c>
      <c r="K65" s="244">
        <v>240</v>
      </c>
      <c r="L65" s="244">
        <v>240</v>
      </c>
      <c r="M65" s="244">
        <v>240</v>
      </c>
      <c r="N65" s="244">
        <v>240</v>
      </c>
      <c r="O65" s="244">
        <v>240</v>
      </c>
      <c r="P65" s="244">
        <v>240</v>
      </c>
      <c r="Q65" s="244">
        <v>240</v>
      </c>
      <c r="R65" s="244">
        <v>240</v>
      </c>
      <c r="S65" s="244">
        <v>240</v>
      </c>
      <c r="T65" s="244">
        <v>240</v>
      </c>
      <c r="U65" s="244">
        <v>240</v>
      </c>
      <c r="V65" s="244">
        <v>240</v>
      </c>
      <c r="W65" s="244">
        <v>240</v>
      </c>
      <c r="X65" s="244">
        <v>240</v>
      </c>
      <c r="Y65" s="244">
        <v>240</v>
      </c>
      <c r="Z65" s="244">
        <v>240</v>
      </c>
      <c r="AA65" s="244">
        <v>240</v>
      </c>
      <c r="AB65" s="244">
        <v>240</v>
      </c>
      <c r="AC65" s="244">
        <v>240</v>
      </c>
      <c r="AD65" s="244">
        <v>240</v>
      </c>
      <c r="AE65" s="244">
        <v>240</v>
      </c>
      <c r="AF65" s="244">
        <v>240</v>
      </c>
      <c r="AG65" s="244">
        <v>240</v>
      </c>
      <c r="AH65" s="244">
        <v>240</v>
      </c>
      <c r="AI65" s="244">
        <v>240</v>
      </c>
      <c r="AJ65" s="244">
        <v>240</v>
      </c>
      <c r="AK65" s="244">
        <v>240</v>
      </c>
      <c r="AL65" s="244">
        <v>240</v>
      </c>
      <c r="AM65" s="244">
        <v>240</v>
      </c>
      <c r="AN65" s="244">
        <v>240</v>
      </c>
      <c r="AO65" s="244">
        <v>240</v>
      </c>
      <c r="AP65" s="244">
        <v>240</v>
      </c>
      <c r="AQ65" s="244">
        <v>240</v>
      </c>
      <c r="AR65" s="244">
        <v>240</v>
      </c>
      <c r="AS65" s="244">
        <v>240</v>
      </c>
      <c r="AT65" s="244">
        <v>240</v>
      </c>
      <c r="AU65" s="244">
        <v>240</v>
      </c>
      <c r="AV65" s="244">
        <v>240</v>
      </c>
      <c r="AW65" s="244">
        <v>240</v>
      </c>
      <c r="AX65" s="244">
        <v>240</v>
      </c>
      <c r="AY65" s="244">
        <v>240</v>
      </c>
      <c r="AZ65" s="244">
        <v>240</v>
      </c>
    </row>
    <row r="66" spans="1:52" x14ac:dyDescent="0.25">
      <c r="A66" s="246" t="str">
        <f t="shared" si="3"/>
        <v>LOIG1TProd Receipt</v>
      </c>
      <c r="B66" s="246" t="s">
        <v>1413</v>
      </c>
      <c r="C66" s="246">
        <v>22000103</v>
      </c>
      <c r="D66" s="246" t="s">
        <v>1406</v>
      </c>
      <c r="E66" s="246"/>
      <c r="F66" s="246" t="e">
        <f>VLOOKUP($C66,#REF!,F$1,0)</f>
        <v>#REF!</v>
      </c>
      <c r="G66" s="246" t="e">
        <f>VLOOKUP($C66,#REF!,G$1,0)</f>
        <v>#REF!</v>
      </c>
      <c r="H66" s="246" t="e">
        <f>VLOOKUP($C66,#REF!,H$1,0)</f>
        <v>#REF!</v>
      </c>
      <c r="I66" s="246" t="e">
        <f>VLOOKUP($C66,#REF!,I$1,0)</f>
        <v>#REF!</v>
      </c>
      <c r="J66" s="246" t="e">
        <f>VLOOKUP($C66,#REF!,J$1,0)</f>
        <v>#REF!</v>
      </c>
      <c r="K66" s="246" t="e">
        <f>VLOOKUP($C66,#REF!,K$1,0)</f>
        <v>#REF!</v>
      </c>
      <c r="L66" s="246" t="e">
        <f>VLOOKUP($C66,#REF!,L$1,0)</f>
        <v>#REF!</v>
      </c>
      <c r="M66" s="246" t="e">
        <f>VLOOKUP($C66,#REF!,M$1,0)</f>
        <v>#REF!</v>
      </c>
      <c r="N66" s="246" t="e">
        <f>VLOOKUP($C66,#REF!,N$1,0)</f>
        <v>#REF!</v>
      </c>
      <c r="O66" s="246" t="e">
        <f>VLOOKUP($C66,#REF!,O$1,0)</f>
        <v>#REF!</v>
      </c>
      <c r="P66" s="246" t="e">
        <f>VLOOKUP($C66,#REF!,P$1,0)</f>
        <v>#REF!</v>
      </c>
      <c r="Q66" s="246" t="e">
        <f>VLOOKUP($C66,#REF!,Q$1,0)</f>
        <v>#REF!</v>
      </c>
      <c r="R66" s="246" t="e">
        <f>VLOOKUP($C66,#REF!,R$1,0)</f>
        <v>#REF!</v>
      </c>
      <c r="S66" s="246" t="e">
        <f>VLOOKUP($C66,#REF!,S$1,0)</f>
        <v>#REF!</v>
      </c>
      <c r="T66" s="246" t="e">
        <f>VLOOKUP($C66,#REF!,T$1,0)</f>
        <v>#REF!</v>
      </c>
      <c r="U66" s="246"/>
      <c r="V66" s="246"/>
      <c r="W66" s="246"/>
      <c r="X66" s="246"/>
      <c r="Y66" s="246"/>
      <c r="Z66" s="246"/>
      <c r="AA66" s="246"/>
      <c r="AB66" s="246"/>
      <c r="AC66" s="246"/>
      <c r="AD66" s="246"/>
      <c r="AE66" s="246"/>
      <c r="AF66" s="246"/>
      <c r="AG66" s="246"/>
      <c r="AH66" s="246"/>
      <c r="AI66" s="246"/>
      <c r="AJ66" s="246"/>
      <c r="AK66" s="246"/>
      <c r="AL66" s="246"/>
      <c r="AM66" s="246"/>
      <c r="AN66" s="246"/>
      <c r="AO66" s="246"/>
      <c r="AP66" s="246"/>
      <c r="AQ66" s="246"/>
      <c r="AR66" s="246"/>
      <c r="AS66" s="246"/>
      <c r="AT66" s="246"/>
      <c r="AU66" s="246"/>
      <c r="AV66" s="246"/>
      <c r="AW66" s="246"/>
      <c r="AX66" s="246"/>
      <c r="AY66" s="246"/>
      <c r="AZ66" s="246"/>
    </row>
    <row r="67" spans="1:52" x14ac:dyDescent="0.25">
      <c r="A67" s="241" t="str">
        <f t="shared" si="3"/>
        <v>LOIG1TTotal Suppy</v>
      </c>
      <c r="B67" s="241" t="s">
        <v>1413</v>
      </c>
      <c r="C67" s="241">
        <v>22000103</v>
      </c>
      <c r="D67" s="241" t="s">
        <v>1407</v>
      </c>
      <c r="E67" s="241"/>
      <c r="F67" s="241">
        <v>0</v>
      </c>
      <c r="G67" s="245" t="e">
        <f>F66</f>
        <v>#REF!</v>
      </c>
      <c r="H67" s="241" t="e">
        <f>G67</f>
        <v>#REF!</v>
      </c>
      <c r="I67" s="241" t="e">
        <f>H67</f>
        <v>#REF!</v>
      </c>
      <c r="J67" s="241">
        <f>+I65</f>
        <v>240</v>
      </c>
      <c r="K67" s="241">
        <f t="shared" ref="K67:L67" si="40">+J65</f>
        <v>240</v>
      </c>
      <c r="L67" s="241">
        <f t="shared" si="40"/>
        <v>240</v>
      </c>
      <c r="M67" s="241" t="e">
        <f t="shared" ref="M67:X67" si="41">+J66</f>
        <v>#REF!</v>
      </c>
      <c r="N67" s="241" t="e">
        <f t="shared" si="41"/>
        <v>#REF!</v>
      </c>
      <c r="O67" s="241" t="e">
        <f t="shared" si="41"/>
        <v>#REF!</v>
      </c>
      <c r="P67" s="241" t="e">
        <f t="shared" si="41"/>
        <v>#REF!</v>
      </c>
      <c r="Q67" s="241" t="e">
        <f t="shared" si="41"/>
        <v>#REF!</v>
      </c>
      <c r="R67" s="241" t="e">
        <f t="shared" si="41"/>
        <v>#REF!</v>
      </c>
      <c r="S67" s="241" t="e">
        <f t="shared" si="41"/>
        <v>#REF!</v>
      </c>
      <c r="T67" s="241" t="e">
        <f t="shared" si="41"/>
        <v>#REF!</v>
      </c>
      <c r="U67" s="241" t="e">
        <f t="shared" si="41"/>
        <v>#REF!</v>
      </c>
      <c r="V67" s="241" t="e">
        <f t="shared" si="41"/>
        <v>#REF!</v>
      </c>
      <c r="W67" s="241" t="e">
        <f t="shared" si="41"/>
        <v>#REF!</v>
      </c>
      <c r="X67" s="241">
        <f t="shared" si="41"/>
        <v>0</v>
      </c>
      <c r="Y67" s="241"/>
      <c r="Z67" s="241"/>
      <c r="AA67" s="241"/>
      <c r="AB67" s="241"/>
      <c r="AC67" s="241"/>
      <c r="AD67" s="241"/>
      <c r="AE67" s="241"/>
      <c r="AF67" s="241"/>
      <c r="AG67" s="241"/>
      <c r="AH67" s="241"/>
      <c r="AI67" s="241"/>
      <c r="AJ67" s="241"/>
      <c r="AK67" s="241"/>
      <c r="AL67" s="241"/>
      <c r="AM67" s="241"/>
      <c r="AN67" s="241"/>
      <c r="AO67" s="241"/>
      <c r="AP67" s="241"/>
      <c r="AQ67" s="241"/>
      <c r="AR67" s="241"/>
      <c r="AS67" s="241"/>
      <c r="AT67" s="241"/>
      <c r="AU67" s="241"/>
      <c r="AV67" s="241"/>
      <c r="AW67" s="241"/>
      <c r="AX67" s="241"/>
      <c r="AY67" s="241"/>
      <c r="AZ67" s="241"/>
    </row>
    <row r="68" spans="1:52" x14ac:dyDescent="0.25">
      <c r="A68" s="247" t="str">
        <f t="shared" si="3"/>
        <v>LOIG1TClosing Stks</v>
      </c>
      <c r="B68" s="247" t="s">
        <v>1413</v>
      </c>
      <c r="C68" s="247">
        <v>22000103</v>
      </c>
      <c r="D68" s="247" t="s">
        <v>1408</v>
      </c>
      <c r="E68" s="247"/>
      <c r="F68" s="247">
        <f>E65+F67-F64</f>
        <v>100</v>
      </c>
      <c r="G68" s="248" t="e">
        <f>F68+G67-G64</f>
        <v>#REF!</v>
      </c>
      <c r="H68" s="248" t="e">
        <f>G68+H67-H64</f>
        <v>#REF!</v>
      </c>
      <c r="I68" s="248" t="e">
        <f>H68+I67-I64</f>
        <v>#REF!</v>
      </c>
      <c r="J68" s="248" t="e">
        <f>I68+J67-J64</f>
        <v>#REF!</v>
      </c>
      <c r="K68" s="248" t="e">
        <f t="shared" ref="K68:N68" si="42">J68+K67-K64</f>
        <v>#REF!</v>
      </c>
      <c r="L68" s="248" t="e">
        <f t="shared" si="42"/>
        <v>#REF!</v>
      </c>
      <c r="M68" s="248" t="e">
        <f t="shared" si="42"/>
        <v>#REF!</v>
      </c>
      <c r="N68" s="248" t="e">
        <f t="shared" si="42"/>
        <v>#REF!</v>
      </c>
      <c r="O68" s="248" t="e">
        <f>N68+O67-O64</f>
        <v>#REF!</v>
      </c>
      <c r="P68" s="248" t="e">
        <f>O68+P65-P64</f>
        <v>#REF!</v>
      </c>
      <c r="Q68" s="248" t="e">
        <f t="shared" ref="Q68:AZ68" si="43">P68+Q65-Q64</f>
        <v>#REF!</v>
      </c>
      <c r="R68" s="248" t="e">
        <f t="shared" si="43"/>
        <v>#REF!</v>
      </c>
      <c r="S68" s="248" t="e">
        <f t="shared" si="43"/>
        <v>#REF!</v>
      </c>
      <c r="T68" s="248" t="e">
        <f t="shared" si="43"/>
        <v>#REF!</v>
      </c>
      <c r="U68" s="248" t="e">
        <f t="shared" si="43"/>
        <v>#REF!</v>
      </c>
      <c r="V68" s="248" t="e">
        <f t="shared" si="43"/>
        <v>#REF!</v>
      </c>
      <c r="W68" s="248" t="e">
        <f t="shared" si="43"/>
        <v>#REF!</v>
      </c>
      <c r="X68" s="248" t="e">
        <f t="shared" si="43"/>
        <v>#REF!</v>
      </c>
      <c r="Y68" s="248" t="e">
        <f t="shared" si="43"/>
        <v>#REF!</v>
      </c>
      <c r="Z68" s="248" t="e">
        <f t="shared" si="43"/>
        <v>#REF!</v>
      </c>
      <c r="AA68" s="248" t="e">
        <f t="shared" si="43"/>
        <v>#REF!</v>
      </c>
      <c r="AB68" s="248" t="e">
        <f t="shared" si="43"/>
        <v>#REF!</v>
      </c>
      <c r="AC68" s="248" t="e">
        <f t="shared" si="43"/>
        <v>#REF!</v>
      </c>
      <c r="AD68" s="248" t="e">
        <f t="shared" si="43"/>
        <v>#REF!</v>
      </c>
      <c r="AE68" s="248" t="e">
        <f t="shared" si="43"/>
        <v>#REF!</v>
      </c>
      <c r="AF68" s="248" t="e">
        <f t="shared" si="43"/>
        <v>#REF!</v>
      </c>
      <c r="AG68" s="248" t="e">
        <f t="shared" si="43"/>
        <v>#REF!</v>
      </c>
      <c r="AH68" s="248" t="e">
        <f t="shared" si="43"/>
        <v>#REF!</v>
      </c>
      <c r="AI68" s="248" t="e">
        <f t="shared" si="43"/>
        <v>#REF!</v>
      </c>
      <c r="AJ68" s="248" t="e">
        <f t="shared" si="43"/>
        <v>#REF!</v>
      </c>
      <c r="AK68" s="248" t="e">
        <f t="shared" si="43"/>
        <v>#REF!</v>
      </c>
      <c r="AL68" s="248" t="e">
        <f t="shared" si="43"/>
        <v>#REF!</v>
      </c>
      <c r="AM68" s="248" t="e">
        <f t="shared" si="43"/>
        <v>#REF!</v>
      </c>
      <c r="AN68" s="248" t="e">
        <f t="shared" si="43"/>
        <v>#REF!</v>
      </c>
      <c r="AO68" s="248" t="e">
        <f t="shared" si="43"/>
        <v>#REF!</v>
      </c>
      <c r="AP68" s="248" t="e">
        <f t="shared" si="43"/>
        <v>#REF!</v>
      </c>
      <c r="AQ68" s="248" t="e">
        <f t="shared" si="43"/>
        <v>#REF!</v>
      </c>
      <c r="AR68" s="248" t="e">
        <f t="shared" si="43"/>
        <v>#REF!</v>
      </c>
      <c r="AS68" s="248" t="e">
        <f t="shared" si="43"/>
        <v>#REF!</v>
      </c>
      <c r="AT68" s="248" t="e">
        <f t="shared" si="43"/>
        <v>#REF!</v>
      </c>
      <c r="AU68" s="248" t="e">
        <f t="shared" si="43"/>
        <v>#REF!</v>
      </c>
      <c r="AV68" s="248" t="e">
        <f t="shared" si="43"/>
        <v>#REF!</v>
      </c>
      <c r="AW68" s="248" t="e">
        <f t="shared" si="43"/>
        <v>#REF!</v>
      </c>
      <c r="AX68" s="248" t="e">
        <f t="shared" si="43"/>
        <v>#REF!</v>
      </c>
      <c r="AY68" s="248" t="e">
        <f t="shared" si="43"/>
        <v>#REF!</v>
      </c>
      <c r="AZ68" s="248" t="e">
        <f t="shared" si="43"/>
        <v>#REF!</v>
      </c>
    </row>
    <row r="69" spans="1:52" x14ac:dyDescent="0.25">
      <c r="A69" s="241" t="str">
        <f t="shared" si="3"/>
        <v>SPCG1Forecast</v>
      </c>
      <c r="B69" s="241" t="s">
        <v>1414</v>
      </c>
      <c r="C69" s="241">
        <v>22000073</v>
      </c>
      <c r="D69" s="241" t="s">
        <v>1403</v>
      </c>
      <c r="E69" s="241"/>
      <c r="F69" s="241"/>
      <c r="G69" s="241"/>
      <c r="H69" s="241"/>
      <c r="I69" s="241"/>
      <c r="J69" s="241"/>
      <c r="K69" s="241"/>
      <c r="L69" s="241">
        <v>0</v>
      </c>
      <c r="M69" s="241"/>
      <c r="N69" s="241"/>
      <c r="O69" s="241"/>
      <c r="P69" s="241"/>
      <c r="Q69" s="241"/>
      <c r="R69" s="241"/>
      <c r="S69" s="241">
        <v>0</v>
      </c>
      <c r="T69" s="241"/>
      <c r="U69" s="241"/>
      <c r="V69" s="241"/>
      <c r="W69" s="241"/>
      <c r="X69" s="241"/>
      <c r="Y69" s="241"/>
      <c r="Z69" s="241">
        <v>0</v>
      </c>
      <c r="AA69" s="241"/>
      <c r="AB69" s="241"/>
      <c r="AC69" s="241"/>
      <c r="AD69" s="241"/>
      <c r="AE69" s="241"/>
      <c r="AF69" s="241"/>
      <c r="AG69" s="241"/>
      <c r="AH69" s="241"/>
      <c r="AI69" s="241"/>
      <c r="AJ69" s="241"/>
      <c r="AK69" s="241"/>
      <c r="AL69" s="241"/>
      <c r="AM69" s="241"/>
      <c r="AN69" s="241"/>
      <c r="AO69" s="241"/>
      <c r="AP69" s="241"/>
      <c r="AQ69" s="241"/>
      <c r="AR69" s="241"/>
      <c r="AS69" s="241"/>
      <c r="AT69" s="241"/>
      <c r="AU69" s="241"/>
      <c r="AV69" s="241"/>
      <c r="AW69" s="241"/>
      <c r="AX69" s="241"/>
      <c r="AY69" s="241"/>
      <c r="AZ69" s="241"/>
    </row>
    <row r="70" spans="1:52" x14ac:dyDescent="0.25">
      <c r="A70" s="241" t="str">
        <f t="shared" ref="A70:A86" si="44">CONCATENATE(B70,D70)</f>
        <v>SPCG1Total OR</v>
      </c>
      <c r="B70" s="241" t="s">
        <v>1414</v>
      </c>
      <c r="C70" s="241">
        <v>22000073</v>
      </c>
      <c r="D70" s="241" t="s">
        <v>1404</v>
      </c>
      <c r="E70" s="241"/>
      <c r="F70" s="241"/>
      <c r="G70" s="241">
        <v>550</v>
      </c>
      <c r="H70" s="241">
        <v>163.24799999999999</v>
      </c>
      <c r="I70" s="241">
        <v>390.47999999999996</v>
      </c>
      <c r="J70" s="241">
        <v>178.5</v>
      </c>
      <c r="K70" s="241">
        <v>5.4</v>
      </c>
      <c r="L70" s="241">
        <v>213.83999999999997</v>
      </c>
      <c r="M70" s="241">
        <v>72.360000000000014</v>
      </c>
      <c r="N70" s="241">
        <v>593.99999999999989</v>
      </c>
      <c r="O70" s="241">
        <v>10.8</v>
      </c>
      <c r="P70" s="241">
        <v>353.15999999999997</v>
      </c>
      <c r="Q70" s="241">
        <v>23.76</v>
      </c>
      <c r="R70" s="241">
        <v>340.40399999999994</v>
      </c>
      <c r="S70" s="241">
        <v>0</v>
      </c>
      <c r="T70" s="241">
        <v>400</v>
      </c>
      <c r="U70" s="241">
        <v>400</v>
      </c>
      <c r="V70" s="241">
        <v>400</v>
      </c>
      <c r="W70" s="241">
        <v>400</v>
      </c>
      <c r="X70" s="241">
        <v>400</v>
      </c>
      <c r="Y70" s="241">
        <v>300</v>
      </c>
      <c r="Z70" s="241">
        <v>0</v>
      </c>
      <c r="AA70" s="241">
        <v>400</v>
      </c>
      <c r="AB70" s="241">
        <v>400</v>
      </c>
      <c r="AC70" s="241">
        <v>400</v>
      </c>
      <c r="AD70" s="241">
        <v>400</v>
      </c>
      <c r="AE70" s="241">
        <v>400</v>
      </c>
      <c r="AF70" s="241">
        <v>300</v>
      </c>
      <c r="AG70" s="241">
        <v>0</v>
      </c>
      <c r="AH70" s="241">
        <v>400</v>
      </c>
      <c r="AI70" s="241">
        <v>400</v>
      </c>
      <c r="AJ70" s="241">
        <v>400</v>
      </c>
      <c r="AK70" s="241">
        <v>400</v>
      </c>
      <c r="AL70" s="241">
        <v>400</v>
      </c>
      <c r="AM70" s="241">
        <v>300</v>
      </c>
      <c r="AN70" s="241">
        <v>0</v>
      </c>
      <c r="AO70" s="241">
        <v>400</v>
      </c>
      <c r="AP70" s="241">
        <v>400</v>
      </c>
      <c r="AQ70" s="241">
        <v>400</v>
      </c>
      <c r="AR70" s="241">
        <v>400</v>
      </c>
      <c r="AS70" s="241">
        <v>400</v>
      </c>
      <c r="AT70" s="241">
        <v>400</v>
      </c>
      <c r="AU70" s="241">
        <v>400</v>
      </c>
      <c r="AV70" s="241">
        <v>400</v>
      </c>
      <c r="AW70" s="241">
        <v>400</v>
      </c>
      <c r="AX70" s="241">
        <v>400</v>
      </c>
      <c r="AY70" s="241">
        <v>400</v>
      </c>
      <c r="AZ70" s="241">
        <v>400</v>
      </c>
    </row>
    <row r="71" spans="1:52" x14ac:dyDescent="0.25">
      <c r="A71" s="244" t="str">
        <f t="shared" si="44"/>
        <v>SPCG1Prod Plan</v>
      </c>
      <c r="B71" s="244" t="s">
        <v>1414</v>
      </c>
      <c r="C71" s="244">
        <v>22000073</v>
      </c>
      <c r="D71" s="244" t="s">
        <v>1405</v>
      </c>
      <c r="E71" s="244">
        <v>500</v>
      </c>
      <c r="F71" s="245">
        <v>300</v>
      </c>
      <c r="G71" s="244">
        <v>300</v>
      </c>
      <c r="H71" s="244">
        <v>300</v>
      </c>
      <c r="I71" s="244">
        <v>300</v>
      </c>
      <c r="J71" s="244">
        <v>300</v>
      </c>
      <c r="K71" s="244">
        <v>300</v>
      </c>
      <c r="L71" s="244">
        <v>300</v>
      </c>
      <c r="M71" s="244">
        <v>300</v>
      </c>
      <c r="N71" s="244">
        <v>300</v>
      </c>
      <c r="O71" s="244">
        <v>300</v>
      </c>
      <c r="P71" s="244">
        <v>300</v>
      </c>
      <c r="Q71" s="244">
        <v>300</v>
      </c>
      <c r="R71" s="244">
        <v>300</v>
      </c>
      <c r="S71" s="244">
        <v>300</v>
      </c>
      <c r="T71" s="244">
        <v>300</v>
      </c>
      <c r="U71" s="244">
        <v>300</v>
      </c>
      <c r="V71" s="244">
        <v>300</v>
      </c>
      <c r="W71" s="244">
        <v>300</v>
      </c>
      <c r="X71" s="244">
        <v>300</v>
      </c>
      <c r="Y71" s="244">
        <v>300</v>
      </c>
      <c r="Z71" s="244">
        <v>300</v>
      </c>
      <c r="AA71" s="244">
        <v>300</v>
      </c>
      <c r="AB71" s="244">
        <v>300</v>
      </c>
      <c r="AC71" s="244">
        <v>300</v>
      </c>
      <c r="AD71" s="244">
        <v>300</v>
      </c>
      <c r="AE71" s="244">
        <v>300</v>
      </c>
      <c r="AF71" s="244">
        <v>300</v>
      </c>
      <c r="AG71" s="244">
        <v>300</v>
      </c>
      <c r="AH71" s="244">
        <v>300</v>
      </c>
      <c r="AI71" s="244">
        <v>300</v>
      </c>
      <c r="AJ71" s="244">
        <v>300</v>
      </c>
      <c r="AK71" s="244">
        <v>300</v>
      </c>
      <c r="AL71" s="244">
        <v>300</v>
      </c>
      <c r="AM71" s="244">
        <v>300</v>
      </c>
      <c r="AN71" s="244">
        <v>300</v>
      </c>
      <c r="AO71" s="244">
        <v>300</v>
      </c>
      <c r="AP71" s="244">
        <v>300</v>
      </c>
      <c r="AQ71" s="244">
        <v>300</v>
      </c>
      <c r="AR71" s="244">
        <v>300</v>
      </c>
      <c r="AS71" s="244">
        <v>300</v>
      </c>
      <c r="AT71" s="244">
        <v>300</v>
      </c>
      <c r="AU71" s="244">
        <v>300</v>
      </c>
      <c r="AV71" s="244">
        <v>300</v>
      </c>
      <c r="AW71" s="244">
        <v>300</v>
      </c>
      <c r="AX71" s="244">
        <v>300</v>
      </c>
      <c r="AY71" s="244">
        <v>300</v>
      </c>
      <c r="AZ71" s="244">
        <v>300</v>
      </c>
    </row>
    <row r="72" spans="1:52" x14ac:dyDescent="0.25">
      <c r="A72" s="246" t="str">
        <f t="shared" si="44"/>
        <v>SPCG1Prod Receipt</v>
      </c>
      <c r="B72" s="246" t="s">
        <v>1414</v>
      </c>
      <c r="C72" s="246">
        <v>22000073</v>
      </c>
      <c r="D72" s="246" t="s">
        <v>1406</v>
      </c>
      <c r="E72" s="246"/>
      <c r="F72" s="246" t="e">
        <f>VLOOKUP($C72,#REF!,F$1,0)</f>
        <v>#REF!</v>
      </c>
      <c r="G72" s="246" t="e">
        <f>VLOOKUP($C72,#REF!,G$1,0)</f>
        <v>#REF!</v>
      </c>
      <c r="H72" s="246" t="e">
        <f>VLOOKUP($C72,#REF!,H$1,0)</f>
        <v>#REF!</v>
      </c>
      <c r="I72" s="246" t="e">
        <f>VLOOKUP($C72,#REF!,I$1,0)</f>
        <v>#REF!</v>
      </c>
      <c r="J72" s="246" t="e">
        <f>VLOOKUP($C72,#REF!,J$1,0)</f>
        <v>#REF!</v>
      </c>
      <c r="K72" s="246" t="e">
        <f>VLOOKUP($C72,#REF!,K$1,0)</f>
        <v>#REF!</v>
      </c>
      <c r="L72" s="246" t="e">
        <f>VLOOKUP($C72,#REF!,L$1,0)</f>
        <v>#REF!</v>
      </c>
      <c r="M72" s="246" t="e">
        <f>VLOOKUP($C72,#REF!,M$1,0)</f>
        <v>#REF!</v>
      </c>
      <c r="N72" s="246" t="e">
        <f>VLOOKUP($C72,#REF!,N$1,0)</f>
        <v>#REF!</v>
      </c>
      <c r="O72" s="246" t="e">
        <f>VLOOKUP($C72,#REF!,O$1,0)</f>
        <v>#REF!</v>
      </c>
      <c r="P72" s="246" t="e">
        <f>VLOOKUP($C72,#REF!,P$1,0)</f>
        <v>#REF!</v>
      </c>
      <c r="Q72" s="246" t="e">
        <f>VLOOKUP($C72,#REF!,Q$1,0)</f>
        <v>#REF!</v>
      </c>
      <c r="R72" s="246" t="e">
        <f>VLOOKUP($C72,#REF!,R$1,0)</f>
        <v>#REF!</v>
      </c>
      <c r="S72" s="246" t="e">
        <f>VLOOKUP($C72,#REF!,S$1,0)</f>
        <v>#REF!</v>
      </c>
      <c r="T72" s="246" t="e">
        <f>VLOOKUP($C72,#REF!,T$1,0)</f>
        <v>#REF!</v>
      </c>
      <c r="U72" s="246"/>
      <c r="V72" s="246"/>
      <c r="W72" s="246"/>
      <c r="X72" s="246"/>
      <c r="Y72" s="246"/>
      <c r="Z72" s="246"/>
      <c r="AA72" s="246"/>
      <c r="AB72" s="246"/>
      <c r="AC72" s="246"/>
      <c r="AD72" s="246"/>
      <c r="AE72" s="246"/>
      <c r="AF72" s="246"/>
      <c r="AG72" s="246"/>
      <c r="AH72" s="246"/>
      <c r="AI72" s="246"/>
      <c r="AJ72" s="246"/>
      <c r="AK72" s="246"/>
      <c r="AL72" s="246"/>
      <c r="AM72" s="246"/>
      <c r="AN72" s="246"/>
      <c r="AO72" s="246"/>
      <c r="AP72" s="246"/>
      <c r="AQ72" s="246"/>
      <c r="AR72" s="246"/>
      <c r="AS72" s="246"/>
      <c r="AT72" s="246"/>
      <c r="AU72" s="246"/>
      <c r="AV72" s="246"/>
      <c r="AW72" s="246"/>
      <c r="AX72" s="246"/>
      <c r="AY72" s="246"/>
      <c r="AZ72" s="246"/>
    </row>
    <row r="73" spans="1:52" x14ac:dyDescent="0.25">
      <c r="A73" s="241" t="str">
        <f t="shared" si="44"/>
        <v>SPCG1Total Suppy</v>
      </c>
      <c r="B73" s="241" t="s">
        <v>1414</v>
      </c>
      <c r="C73" s="241">
        <v>22000073</v>
      </c>
      <c r="D73" s="241" t="s">
        <v>1407</v>
      </c>
      <c r="E73" s="241"/>
      <c r="F73" s="241">
        <v>0</v>
      </c>
      <c r="G73" s="241">
        <v>150</v>
      </c>
      <c r="H73" s="241">
        <v>360</v>
      </c>
      <c r="I73" s="245">
        <f>+F71</f>
        <v>300</v>
      </c>
      <c r="J73" s="241" t="e">
        <f>+G72</f>
        <v>#REF!</v>
      </c>
      <c r="K73" s="241" t="e">
        <f>+H72</f>
        <v>#REF!</v>
      </c>
      <c r="L73" s="241">
        <f t="shared" ref="L73" si="45">+I71</f>
        <v>300</v>
      </c>
      <c r="M73" s="241" t="e">
        <f t="shared" ref="M73:X73" si="46">+J72</f>
        <v>#REF!</v>
      </c>
      <c r="N73" s="241" t="e">
        <f t="shared" si="46"/>
        <v>#REF!</v>
      </c>
      <c r="O73" s="241" t="e">
        <f t="shared" si="46"/>
        <v>#REF!</v>
      </c>
      <c r="P73" s="241" t="e">
        <f t="shared" si="46"/>
        <v>#REF!</v>
      </c>
      <c r="Q73" s="241" t="e">
        <f t="shared" si="46"/>
        <v>#REF!</v>
      </c>
      <c r="R73" s="241" t="e">
        <f t="shared" si="46"/>
        <v>#REF!</v>
      </c>
      <c r="S73" s="241" t="e">
        <f t="shared" si="46"/>
        <v>#REF!</v>
      </c>
      <c r="T73" s="241" t="e">
        <f t="shared" si="46"/>
        <v>#REF!</v>
      </c>
      <c r="U73" s="241" t="e">
        <f t="shared" si="46"/>
        <v>#REF!</v>
      </c>
      <c r="V73" s="241" t="e">
        <f t="shared" si="46"/>
        <v>#REF!</v>
      </c>
      <c r="W73" s="241" t="e">
        <f t="shared" si="46"/>
        <v>#REF!</v>
      </c>
      <c r="X73" s="241">
        <f t="shared" si="46"/>
        <v>0</v>
      </c>
      <c r="Y73" s="241"/>
      <c r="Z73" s="241"/>
      <c r="AA73" s="241"/>
      <c r="AB73" s="241"/>
      <c r="AC73" s="241"/>
      <c r="AD73" s="241"/>
      <c r="AE73" s="241"/>
      <c r="AF73" s="241"/>
      <c r="AG73" s="241"/>
      <c r="AH73" s="241"/>
      <c r="AI73" s="241"/>
      <c r="AJ73" s="241"/>
      <c r="AK73" s="241"/>
      <c r="AL73" s="241"/>
      <c r="AM73" s="241"/>
      <c r="AN73" s="241"/>
      <c r="AO73" s="241"/>
      <c r="AP73" s="241"/>
      <c r="AQ73" s="241"/>
      <c r="AR73" s="241"/>
      <c r="AS73" s="241"/>
      <c r="AT73" s="241"/>
      <c r="AU73" s="241"/>
      <c r="AV73" s="241"/>
      <c r="AW73" s="241"/>
      <c r="AX73" s="241"/>
      <c r="AY73" s="241"/>
      <c r="AZ73" s="241"/>
    </row>
    <row r="74" spans="1:52" x14ac:dyDescent="0.25">
      <c r="A74" s="247" t="str">
        <f t="shared" si="44"/>
        <v>SPCG1Closing Stks</v>
      </c>
      <c r="B74" s="247" t="s">
        <v>1414</v>
      </c>
      <c r="C74" s="247">
        <v>22000073</v>
      </c>
      <c r="D74" s="247" t="s">
        <v>1408</v>
      </c>
      <c r="E74" s="247"/>
      <c r="F74" s="247">
        <f>E71+F73-F70</f>
        <v>500</v>
      </c>
      <c r="G74" s="248">
        <f t="shared" ref="G74" si="47">F74+G73-G70</f>
        <v>100</v>
      </c>
      <c r="H74" s="248">
        <f>G74+H73-H70</f>
        <v>296.75200000000001</v>
      </c>
      <c r="I74" s="248">
        <f>H74+I73-I70</f>
        <v>206.27199999999999</v>
      </c>
      <c r="J74" s="248" t="e">
        <f>I74+J73-J70</f>
        <v>#REF!</v>
      </c>
      <c r="K74" s="248" t="e">
        <f t="shared" ref="K74:N74" si="48">J74+K73-K70</f>
        <v>#REF!</v>
      </c>
      <c r="L74" s="248" t="e">
        <f t="shared" si="48"/>
        <v>#REF!</v>
      </c>
      <c r="M74" s="248" t="e">
        <f t="shared" si="48"/>
        <v>#REF!</v>
      </c>
      <c r="N74" s="248" t="e">
        <f t="shared" si="48"/>
        <v>#REF!</v>
      </c>
      <c r="O74" s="248" t="e">
        <f>N74+O73-O70</f>
        <v>#REF!</v>
      </c>
      <c r="P74" s="248" t="e">
        <f>O74+P71-P70</f>
        <v>#REF!</v>
      </c>
      <c r="Q74" s="248" t="e">
        <f t="shared" ref="Q74:AZ74" si="49">P74+Q71-Q70</f>
        <v>#REF!</v>
      </c>
      <c r="R74" s="248" t="e">
        <f t="shared" si="49"/>
        <v>#REF!</v>
      </c>
      <c r="S74" s="248" t="e">
        <f t="shared" si="49"/>
        <v>#REF!</v>
      </c>
      <c r="T74" s="248" t="e">
        <f t="shared" si="49"/>
        <v>#REF!</v>
      </c>
      <c r="U74" s="248" t="e">
        <f t="shared" si="49"/>
        <v>#REF!</v>
      </c>
      <c r="V74" s="248" t="e">
        <f t="shared" si="49"/>
        <v>#REF!</v>
      </c>
      <c r="W74" s="248" t="e">
        <f t="shared" si="49"/>
        <v>#REF!</v>
      </c>
      <c r="X74" s="248" t="e">
        <f t="shared" si="49"/>
        <v>#REF!</v>
      </c>
      <c r="Y74" s="248" t="e">
        <f t="shared" si="49"/>
        <v>#REF!</v>
      </c>
      <c r="Z74" s="248" t="e">
        <f t="shared" si="49"/>
        <v>#REF!</v>
      </c>
      <c r="AA74" s="248" t="e">
        <f t="shared" si="49"/>
        <v>#REF!</v>
      </c>
      <c r="AB74" s="248" t="e">
        <f t="shared" si="49"/>
        <v>#REF!</v>
      </c>
      <c r="AC74" s="248" t="e">
        <f t="shared" si="49"/>
        <v>#REF!</v>
      </c>
      <c r="AD74" s="248" t="e">
        <f t="shared" si="49"/>
        <v>#REF!</v>
      </c>
      <c r="AE74" s="248" t="e">
        <f t="shared" si="49"/>
        <v>#REF!</v>
      </c>
      <c r="AF74" s="248" t="e">
        <f t="shared" si="49"/>
        <v>#REF!</v>
      </c>
      <c r="AG74" s="248" t="e">
        <f t="shared" si="49"/>
        <v>#REF!</v>
      </c>
      <c r="AH74" s="248" t="e">
        <f t="shared" si="49"/>
        <v>#REF!</v>
      </c>
      <c r="AI74" s="248" t="e">
        <f t="shared" si="49"/>
        <v>#REF!</v>
      </c>
      <c r="AJ74" s="248" t="e">
        <f t="shared" si="49"/>
        <v>#REF!</v>
      </c>
      <c r="AK74" s="248" t="e">
        <f t="shared" si="49"/>
        <v>#REF!</v>
      </c>
      <c r="AL74" s="248" t="e">
        <f t="shared" si="49"/>
        <v>#REF!</v>
      </c>
      <c r="AM74" s="248" t="e">
        <f t="shared" si="49"/>
        <v>#REF!</v>
      </c>
      <c r="AN74" s="248" t="e">
        <f t="shared" si="49"/>
        <v>#REF!</v>
      </c>
      <c r="AO74" s="248" t="e">
        <f t="shared" si="49"/>
        <v>#REF!</v>
      </c>
      <c r="AP74" s="248" t="e">
        <f t="shared" si="49"/>
        <v>#REF!</v>
      </c>
      <c r="AQ74" s="248" t="e">
        <f t="shared" si="49"/>
        <v>#REF!</v>
      </c>
      <c r="AR74" s="248" t="e">
        <f t="shared" si="49"/>
        <v>#REF!</v>
      </c>
      <c r="AS74" s="248" t="e">
        <f t="shared" si="49"/>
        <v>#REF!</v>
      </c>
      <c r="AT74" s="248" t="e">
        <f t="shared" si="49"/>
        <v>#REF!</v>
      </c>
      <c r="AU74" s="248" t="e">
        <f t="shared" si="49"/>
        <v>#REF!</v>
      </c>
      <c r="AV74" s="248" t="e">
        <f t="shared" si="49"/>
        <v>#REF!</v>
      </c>
      <c r="AW74" s="248" t="e">
        <f t="shared" si="49"/>
        <v>#REF!</v>
      </c>
      <c r="AX74" s="248" t="e">
        <f t="shared" si="49"/>
        <v>#REF!</v>
      </c>
      <c r="AY74" s="248" t="e">
        <f t="shared" si="49"/>
        <v>#REF!</v>
      </c>
      <c r="AZ74" s="248" t="e">
        <f t="shared" si="49"/>
        <v>#REF!</v>
      </c>
    </row>
    <row r="75" spans="1:52" x14ac:dyDescent="0.25">
      <c r="A75" s="241" t="str">
        <f t="shared" si="44"/>
        <v>LOCBForecast</v>
      </c>
      <c r="B75" s="241" t="s">
        <v>403</v>
      </c>
      <c r="C75" s="241">
        <v>22000041</v>
      </c>
      <c r="D75" s="241" t="s">
        <v>1403</v>
      </c>
      <c r="E75" s="241"/>
      <c r="F75" s="241"/>
      <c r="G75" s="241">
        <v>40</v>
      </c>
      <c r="H75" s="241">
        <v>40</v>
      </c>
      <c r="I75" s="241">
        <v>40</v>
      </c>
      <c r="J75" s="241">
        <v>40</v>
      </c>
      <c r="K75" s="241">
        <v>40</v>
      </c>
      <c r="L75" s="241">
        <v>40</v>
      </c>
      <c r="M75" s="241">
        <v>40</v>
      </c>
      <c r="N75" s="241">
        <v>40</v>
      </c>
      <c r="O75" s="241">
        <v>40</v>
      </c>
      <c r="P75" s="241">
        <v>40</v>
      </c>
      <c r="Q75" s="241">
        <v>40</v>
      </c>
      <c r="R75" s="241">
        <v>40</v>
      </c>
      <c r="S75" s="241">
        <v>40</v>
      </c>
      <c r="T75" s="241">
        <v>40</v>
      </c>
      <c r="U75" s="241">
        <v>40</v>
      </c>
      <c r="V75" s="241">
        <v>40</v>
      </c>
      <c r="W75" s="241">
        <v>40</v>
      </c>
      <c r="X75" s="241">
        <v>40</v>
      </c>
      <c r="Y75" s="241">
        <v>40</v>
      </c>
      <c r="Z75" s="241">
        <v>40</v>
      </c>
      <c r="AA75" s="241">
        <v>40</v>
      </c>
      <c r="AB75" s="241">
        <v>40</v>
      </c>
      <c r="AC75" s="241">
        <v>40</v>
      </c>
      <c r="AD75" s="241">
        <v>40</v>
      </c>
      <c r="AE75" s="241">
        <v>40</v>
      </c>
      <c r="AF75" s="241">
        <v>40</v>
      </c>
      <c r="AG75" s="241">
        <v>40</v>
      </c>
      <c r="AH75" s="241">
        <v>40</v>
      </c>
      <c r="AI75" s="241">
        <v>40</v>
      </c>
      <c r="AJ75" s="241">
        <v>40</v>
      </c>
      <c r="AK75" s="241">
        <v>40</v>
      </c>
      <c r="AL75" s="241">
        <v>40</v>
      </c>
      <c r="AM75" s="241">
        <v>40</v>
      </c>
      <c r="AN75" s="241">
        <v>40</v>
      </c>
      <c r="AO75" s="241">
        <v>40</v>
      </c>
      <c r="AP75" s="241">
        <v>40</v>
      </c>
      <c r="AQ75" s="241">
        <v>40</v>
      </c>
      <c r="AR75" s="241">
        <v>40</v>
      </c>
      <c r="AS75" s="241">
        <v>40</v>
      </c>
      <c r="AT75" s="241">
        <v>40</v>
      </c>
      <c r="AU75" s="241">
        <v>40</v>
      </c>
      <c r="AV75" s="241">
        <v>40</v>
      </c>
      <c r="AW75" s="241">
        <v>40</v>
      </c>
      <c r="AX75" s="241">
        <v>40</v>
      </c>
      <c r="AY75" s="241">
        <v>40</v>
      </c>
      <c r="AZ75" s="241">
        <v>40</v>
      </c>
    </row>
    <row r="76" spans="1:52" x14ac:dyDescent="0.25">
      <c r="A76" s="241" t="str">
        <f t="shared" si="44"/>
        <v>LOCBTotal OR</v>
      </c>
      <c r="B76" s="241" t="s">
        <v>403</v>
      </c>
      <c r="C76" s="241">
        <v>22000041</v>
      </c>
      <c r="D76" s="241" t="s">
        <v>1404</v>
      </c>
      <c r="E76" s="241"/>
      <c r="F76" s="241">
        <v>20</v>
      </c>
      <c r="G76" s="241">
        <v>18</v>
      </c>
      <c r="H76" s="241">
        <v>40</v>
      </c>
      <c r="I76" s="241">
        <v>10</v>
      </c>
      <c r="J76" s="241">
        <v>40</v>
      </c>
      <c r="K76" s="241">
        <v>10</v>
      </c>
      <c r="L76" s="241">
        <v>10</v>
      </c>
      <c r="M76" s="241">
        <v>40</v>
      </c>
      <c r="N76" s="241">
        <v>20</v>
      </c>
      <c r="O76" s="241">
        <v>20</v>
      </c>
      <c r="P76" s="241">
        <v>40</v>
      </c>
      <c r="Q76" s="241">
        <v>20</v>
      </c>
      <c r="R76" s="241">
        <v>10</v>
      </c>
      <c r="S76" s="241">
        <v>10</v>
      </c>
      <c r="T76" s="241">
        <v>20</v>
      </c>
      <c r="U76" s="241">
        <v>65</v>
      </c>
      <c r="V76" s="241">
        <v>78</v>
      </c>
      <c r="W76" s="241">
        <v>38</v>
      </c>
      <c r="X76" s="241">
        <v>41</v>
      </c>
      <c r="Y76" s="241">
        <v>38</v>
      </c>
      <c r="Z76" s="241">
        <v>20</v>
      </c>
      <c r="AA76" s="241">
        <v>38</v>
      </c>
      <c r="AB76" s="241">
        <v>41</v>
      </c>
      <c r="AC76" s="241">
        <v>20</v>
      </c>
      <c r="AD76" s="241">
        <v>20</v>
      </c>
      <c r="AE76" s="241">
        <v>18</v>
      </c>
      <c r="AF76" s="241">
        <v>40</v>
      </c>
      <c r="AG76" s="241">
        <v>40</v>
      </c>
      <c r="AH76" s="241">
        <v>40</v>
      </c>
      <c r="AI76" s="241">
        <v>40</v>
      </c>
      <c r="AJ76" s="241">
        <v>40</v>
      </c>
      <c r="AK76" s="241">
        <v>40</v>
      </c>
      <c r="AL76" s="241">
        <v>40</v>
      </c>
      <c r="AM76" s="241">
        <v>40</v>
      </c>
      <c r="AN76" s="241">
        <v>40</v>
      </c>
      <c r="AO76" s="241">
        <v>40</v>
      </c>
      <c r="AP76" s="241">
        <v>40</v>
      </c>
      <c r="AQ76" s="241">
        <v>40</v>
      </c>
      <c r="AR76" s="241">
        <v>40</v>
      </c>
      <c r="AS76" s="241">
        <v>40</v>
      </c>
      <c r="AT76" s="241">
        <v>40</v>
      </c>
      <c r="AU76" s="241">
        <v>40</v>
      </c>
      <c r="AV76" s="241">
        <v>40</v>
      </c>
      <c r="AW76" s="241">
        <v>40</v>
      </c>
      <c r="AX76" s="241">
        <v>40</v>
      </c>
      <c r="AY76" s="241">
        <v>40</v>
      </c>
      <c r="AZ76" s="241">
        <v>40</v>
      </c>
    </row>
    <row r="77" spans="1:52" x14ac:dyDescent="0.25">
      <c r="A77" s="244" t="str">
        <f t="shared" si="44"/>
        <v>LOCBProd Plan</v>
      </c>
      <c r="B77" s="244" t="s">
        <v>403</v>
      </c>
      <c r="C77" s="244">
        <v>22000041</v>
      </c>
      <c r="D77" s="244" t="s">
        <v>1405</v>
      </c>
      <c r="E77" s="244">
        <v>175</v>
      </c>
      <c r="F77" s="245">
        <v>18</v>
      </c>
      <c r="G77" s="244">
        <v>30</v>
      </c>
      <c r="H77" s="244">
        <v>18</v>
      </c>
      <c r="I77" s="244">
        <v>18</v>
      </c>
      <c r="J77" s="244">
        <v>18</v>
      </c>
      <c r="K77" s="244">
        <v>30</v>
      </c>
      <c r="L77" s="244">
        <v>18</v>
      </c>
      <c r="M77" s="244">
        <v>30</v>
      </c>
      <c r="N77" s="244">
        <v>18</v>
      </c>
      <c r="O77" s="244">
        <v>18</v>
      </c>
      <c r="P77" s="244">
        <v>18</v>
      </c>
      <c r="Q77" s="244">
        <v>30</v>
      </c>
      <c r="R77" s="244">
        <v>18</v>
      </c>
      <c r="S77" s="244">
        <v>30</v>
      </c>
      <c r="T77" s="244">
        <v>18</v>
      </c>
      <c r="U77" s="244">
        <v>18</v>
      </c>
      <c r="V77" s="244">
        <v>18</v>
      </c>
      <c r="W77" s="244">
        <v>18</v>
      </c>
      <c r="X77" s="244">
        <v>18</v>
      </c>
      <c r="Y77" s="244">
        <v>18</v>
      </c>
      <c r="Z77" s="244">
        <v>18</v>
      </c>
      <c r="AA77" s="244">
        <v>18</v>
      </c>
      <c r="AB77" s="244">
        <v>18</v>
      </c>
      <c r="AC77" s="244">
        <v>18</v>
      </c>
      <c r="AD77" s="244">
        <v>18</v>
      </c>
      <c r="AE77" s="244">
        <v>18</v>
      </c>
      <c r="AF77" s="244">
        <v>18</v>
      </c>
      <c r="AG77" s="244">
        <v>18</v>
      </c>
      <c r="AH77" s="244">
        <v>18</v>
      </c>
      <c r="AI77" s="244">
        <v>18</v>
      </c>
      <c r="AJ77" s="244">
        <v>18</v>
      </c>
      <c r="AK77" s="244">
        <v>18</v>
      </c>
      <c r="AL77" s="244">
        <v>18</v>
      </c>
      <c r="AM77" s="244">
        <v>18</v>
      </c>
      <c r="AN77" s="244">
        <v>18</v>
      </c>
      <c r="AO77" s="244">
        <v>18</v>
      </c>
      <c r="AP77" s="244">
        <v>18</v>
      </c>
      <c r="AQ77" s="244">
        <v>18</v>
      </c>
      <c r="AR77" s="244">
        <v>18</v>
      </c>
      <c r="AS77" s="244">
        <v>18</v>
      </c>
      <c r="AT77" s="244">
        <v>18</v>
      </c>
      <c r="AU77" s="244">
        <v>18</v>
      </c>
      <c r="AV77" s="244">
        <v>18</v>
      </c>
      <c r="AW77" s="244">
        <v>18</v>
      </c>
      <c r="AX77" s="244">
        <v>18</v>
      </c>
      <c r="AY77" s="244">
        <v>18</v>
      </c>
      <c r="AZ77" s="244">
        <v>18</v>
      </c>
    </row>
    <row r="78" spans="1:52" x14ac:dyDescent="0.25">
      <c r="A78" s="246" t="str">
        <f t="shared" si="44"/>
        <v>LOCBProd Receipt</v>
      </c>
      <c r="B78" s="246" t="s">
        <v>403</v>
      </c>
      <c r="C78" s="246">
        <v>22000041</v>
      </c>
      <c r="D78" s="246" t="s">
        <v>1406</v>
      </c>
      <c r="E78" s="246"/>
      <c r="F78" s="246" t="e">
        <f>VLOOKUP($C78,#REF!,F$1,0)</f>
        <v>#REF!</v>
      </c>
      <c r="G78" s="246" t="e">
        <f>VLOOKUP($C78,#REF!,G$1,0)</f>
        <v>#REF!</v>
      </c>
      <c r="H78" s="246" t="e">
        <f>VLOOKUP($C78,#REF!,H$1,0)</f>
        <v>#REF!</v>
      </c>
      <c r="I78" s="246" t="e">
        <f>VLOOKUP($C78,#REF!,I$1,0)</f>
        <v>#REF!</v>
      </c>
      <c r="J78" s="246" t="e">
        <f>VLOOKUP($C78,#REF!,J$1,0)</f>
        <v>#REF!</v>
      </c>
      <c r="K78" s="246" t="e">
        <f>VLOOKUP($C78,#REF!,K$1,0)</f>
        <v>#REF!</v>
      </c>
      <c r="L78" s="246" t="e">
        <f>VLOOKUP($C78,#REF!,L$1,0)</f>
        <v>#REF!</v>
      </c>
      <c r="M78" s="246" t="e">
        <f>VLOOKUP($C78,#REF!,M$1,0)</f>
        <v>#REF!</v>
      </c>
      <c r="N78" s="246" t="e">
        <f>VLOOKUP($C78,#REF!,N$1,0)</f>
        <v>#REF!</v>
      </c>
      <c r="O78" s="246" t="e">
        <f>VLOOKUP($C78,#REF!,O$1,0)</f>
        <v>#REF!</v>
      </c>
      <c r="P78" s="246" t="e">
        <f>VLOOKUP($C78,#REF!,P$1,0)</f>
        <v>#REF!</v>
      </c>
      <c r="Q78" s="246" t="e">
        <f>VLOOKUP($C78,#REF!,Q$1,0)</f>
        <v>#REF!</v>
      </c>
      <c r="R78" s="246" t="e">
        <f>VLOOKUP($C78,#REF!,R$1,0)</f>
        <v>#REF!</v>
      </c>
      <c r="S78" s="246" t="e">
        <f>VLOOKUP($C78,#REF!,S$1,0)</f>
        <v>#REF!</v>
      </c>
      <c r="T78" s="246" t="e">
        <f>VLOOKUP($C78,#REF!,T$1,0)</f>
        <v>#REF!</v>
      </c>
      <c r="U78" s="246"/>
      <c r="V78" s="246"/>
      <c r="W78" s="246"/>
      <c r="X78" s="246"/>
      <c r="Y78" s="246"/>
      <c r="Z78" s="246"/>
      <c r="AA78" s="246"/>
      <c r="AB78" s="246"/>
      <c r="AC78" s="246"/>
      <c r="AD78" s="246"/>
      <c r="AE78" s="246"/>
      <c r="AF78" s="246"/>
      <c r="AG78" s="246"/>
      <c r="AH78" s="246"/>
      <c r="AI78" s="246"/>
      <c r="AJ78" s="246"/>
      <c r="AK78" s="246"/>
      <c r="AL78" s="246"/>
      <c r="AM78" s="246"/>
      <c r="AN78" s="246"/>
      <c r="AO78" s="246"/>
      <c r="AP78" s="246"/>
      <c r="AQ78" s="246"/>
      <c r="AR78" s="246"/>
      <c r="AS78" s="246"/>
      <c r="AT78" s="246"/>
      <c r="AU78" s="246"/>
      <c r="AV78" s="246"/>
      <c r="AW78" s="246"/>
      <c r="AX78" s="246"/>
      <c r="AY78" s="246"/>
      <c r="AZ78" s="246"/>
    </row>
    <row r="79" spans="1:52" x14ac:dyDescent="0.25">
      <c r="A79" s="241" t="str">
        <f t="shared" si="44"/>
        <v>LOCBTotal Suppy</v>
      </c>
      <c r="B79" s="241" t="s">
        <v>403</v>
      </c>
      <c r="C79" s="241">
        <v>22000041</v>
      </c>
      <c r="D79" s="241" t="s">
        <v>1407</v>
      </c>
      <c r="E79" s="241"/>
      <c r="F79" s="241">
        <v>0</v>
      </c>
      <c r="G79" s="241">
        <v>0</v>
      </c>
      <c r="H79" s="241">
        <v>0</v>
      </c>
      <c r="I79" s="245">
        <f>+F77</f>
        <v>18</v>
      </c>
      <c r="J79" s="241" t="e">
        <f>+G78</f>
        <v>#REF!</v>
      </c>
      <c r="K79" s="241" t="e">
        <f>+H78</f>
        <v>#REF!</v>
      </c>
      <c r="L79" s="241">
        <f t="shared" ref="L79" si="50">+I77</f>
        <v>18</v>
      </c>
      <c r="M79" s="241" t="e">
        <f t="shared" ref="M79:X79" si="51">+J78</f>
        <v>#REF!</v>
      </c>
      <c r="N79" s="241" t="e">
        <f t="shared" si="51"/>
        <v>#REF!</v>
      </c>
      <c r="O79" s="241" t="e">
        <f t="shared" si="51"/>
        <v>#REF!</v>
      </c>
      <c r="P79" s="241" t="e">
        <f t="shared" si="51"/>
        <v>#REF!</v>
      </c>
      <c r="Q79" s="241" t="e">
        <f t="shared" si="51"/>
        <v>#REF!</v>
      </c>
      <c r="R79" s="241" t="e">
        <f t="shared" si="51"/>
        <v>#REF!</v>
      </c>
      <c r="S79" s="241" t="e">
        <f t="shared" si="51"/>
        <v>#REF!</v>
      </c>
      <c r="T79" s="241" t="e">
        <f t="shared" si="51"/>
        <v>#REF!</v>
      </c>
      <c r="U79" s="241" t="e">
        <f t="shared" si="51"/>
        <v>#REF!</v>
      </c>
      <c r="V79" s="241" t="e">
        <f t="shared" si="51"/>
        <v>#REF!</v>
      </c>
      <c r="W79" s="241" t="e">
        <f t="shared" si="51"/>
        <v>#REF!</v>
      </c>
      <c r="X79" s="241">
        <f t="shared" si="51"/>
        <v>0</v>
      </c>
      <c r="Y79" s="241"/>
      <c r="Z79" s="241"/>
      <c r="AA79" s="241"/>
      <c r="AB79" s="241"/>
      <c r="AC79" s="241"/>
      <c r="AD79" s="241"/>
      <c r="AE79" s="241"/>
      <c r="AF79" s="241"/>
      <c r="AG79" s="241"/>
      <c r="AH79" s="241"/>
      <c r="AI79" s="241"/>
      <c r="AJ79" s="241"/>
      <c r="AK79" s="241"/>
      <c r="AL79" s="241"/>
      <c r="AM79" s="241"/>
      <c r="AN79" s="241"/>
      <c r="AO79" s="241"/>
      <c r="AP79" s="241"/>
      <c r="AQ79" s="241"/>
      <c r="AR79" s="241"/>
      <c r="AS79" s="241"/>
      <c r="AT79" s="241"/>
      <c r="AU79" s="241"/>
      <c r="AV79" s="241"/>
      <c r="AW79" s="241"/>
      <c r="AX79" s="241"/>
      <c r="AY79" s="241"/>
      <c r="AZ79" s="241"/>
    </row>
    <row r="80" spans="1:52" x14ac:dyDescent="0.25">
      <c r="A80" s="247" t="str">
        <f t="shared" si="44"/>
        <v>LOCBClosing Stks</v>
      </c>
      <c r="B80" s="247" t="s">
        <v>403</v>
      </c>
      <c r="C80" s="247">
        <v>22000041</v>
      </c>
      <c r="D80" s="247" t="s">
        <v>1408</v>
      </c>
      <c r="E80" s="247"/>
      <c r="F80" s="247">
        <f>E77+F79-F76</f>
        <v>155</v>
      </c>
      <c r="G80" s="248">
        <f>F80+G79-G76</f>
        <v>137</v>
      </c>
      <c r="H80" s="248">
        <f>G80+H79-H76</f>
        <v>97</v>
      </c>
      <c r="I80" s="248">
        <f>H80+I79-I76</f>
        <v>105</v>
      </c>
      <c r="J80" s="248" t="e">
        <f>I80+J79-J76</f>
        <v>#REF!</v>
      </c>
      <c r="K80" s="248" t="e">
        <f t="shared" ref="K80:N80" si="52">J80+K79-K76</f>
        <v>#REF!</v>
      </c>
      <c r="L80" s="248" t="e">
        <f t="shared" si="52"/>
        <v>#REF!</v>
      </c>
      <c r="M80" s="248" t="e">
        <f t="shared" si="52"/>
        <v>#REF!</v>
      </c>
      <c r="N80" s="248" t="e">
        <f t="shared" si="52"/>
        <v>#REF!</v>
      </c>
      <c r="O80" s="248" t="e">
        <f>N80+O79-O76</f>
        <v>#REF!</v>
      </c>
      <c r="P80" s="248" t="e">
        <f>O80+P77-P76</f>
        <v>#REF!</v>
      </c>
      <c r="Q80" s="248" t="e">
        <f t="shared" ref="Q80:AZ80" si="53">P80+Q77-Q76</f>
        <v>#REF!</v>
      </c>
      <c r="R80" s="248" t="e">
        <f t="shared" si="53"/>
        <v>#REF!</v>
      </c>
      <c r="S80" s="248" t="e">
        <f t="shared" si="53"/>
        <v>#REF!</v>
      </c>
      <c r="T80" s="248" t="e">
        <f t="shared" si="53"/>
        <v>#REF!</v>
      </c>
      <c r="U80" s="248" t="e">
        <f t="shared" si="53"/>
        <v>#REF!</v>
      </c>
      <c r="V80" s="248" t="e">
        <f t="shared" si="53"/>
        <v>#REF!</v>
      </c>
      <c r="W80" s="248" t="e">
        <f t="shared" si="53"/>
        <v>#REF!</v>
      </c>
      <c r="X80" s="248" t="e">
        <f t="shared" si="53"/>
        <v>#REF!</v>
      </c>
      <c r="Y80" s="248" t="e">
        <f t="shared" si="53"/>
        <v>#REF!</v>
      </c>
      <c r="Z80" s="248" t="e">
        <f t="shared" si="53"/>
        <v>#REF!</v>
      </c>
      <c r="AA80" s="248" t="e">
        <f t="shared" si="53"/>
        <v>#REF!</v>
      </c>
      <c r="AB80" s="248" t="e">
        <f t="shared" si="53"/>
        <v>#REF!</v>
      </c>
      <c r="AC80" s="248" t="e">
        <f t="shared" si="53"/>
        <v>#REF!</v>
      </c>
      <c r="AD80" s="248" t="e">
        <f t="shared" si="53"/>
        <v>#REF!</v>
      </c>
      <c r="AE80" s="248" t="e">
        <f t="shared" si="53"/>
        <v>#REF!</v>
      </c>
      <c r="AF80" s="248" t="e">
        <f t="shared" si="53"/>
        <v>#REF!</v>
      </c>
      <c r="AG80" s="248" t="e">
        <f t="shared" si="53"/>
        <v>#REF!</v>
      </c>
      <c r="AH80" s="248" t="e">
        <f t="shared" si="53"/>
        <v>#REF!</v>
      </c>
      <c r="AI80" s="248" t="e">
        <f t="shared" si="53"/>
        <v>#REF!</v>
      </c>
      <c r="AJ80" s="248" t="e">
        <f t="shared" si="53"/>
        <v>#REF!</v>
      </c>
      <c r="AK80" s="248" t="e">
        <f t="shared" si="53"/>
        <v>#REF!</v>
      </c>
      <c r="AL80" s="248" t="e">
        <f t="shared" si="53"/>
        <v>#REF!</v>
      </c>
      <c r="AM80" s="248" t="e">
        <f t="shared" si="53"/>
        <v>#REF!</v>
      </c>
      <c r="AN80" s="248" t="e">
        <f t="shared" si="53"/>
        <v>#REF!</v>
      </c>
      <c r="AO80" s="248" t="e">
        <f t="shared" si="53"/>
        <v>#REF!</v>
      </c>
      <c r="AP80" s="248" t="e">
        <f t="shared" si="53"/>
        <v>#REF!</v>
      </c>
      <c r="AQ80" s="248" t="e">
        <f t="shared" si="53"/>
        <v>#REF!</v>
      </c>
      <c r="AR80" s="248" t="e">
        <f t="shared" si="53"/>
        <v>#REF!</v>
      </c>
      <c r="AS80" s="248" t="e">
        <f t="shared" si="53"/>
        <v>#REF!</v>
      </c>
      <c r="AT80" s="248" t="e">
        <f t="shared" si="53"/>
        <v>#REF!</v>
      </c>
      <c r="AU80" s="248" t="e">
        <f t="shared" si="53"/>
        <v>#REF!</v>
      </c>
      <c r="AV80" s="248" t="e">
        <f t="shared" si="53"/>
        <v>#REF!</v>
      </c>
      <c r="AW80" s="248" t="e">
        <f t="shared" si="53"/>
        <v>#REF!</v>
      </c>
      <c r="AX80" s="248" t="e">
        <f t="shared" si="53"/>
        <v>#REF!</v>
      </c>
      <c r="AY80" s="248" t="e">
        <f t="shared" si="53"/>
        <v>#REF!</v>
      </c>
      <c r="AZ80" s="248" t="e">
        <f t="shared" si="53"/>
        <v>#REF!</v>
      </c>
    </row>
    <row r="81" spans="1:52" x14ac:dyDescent="0.25">
      <c r="A81" s="241" t="str">
        <f t="shared" si="44"/>
        <v>LOSBForecast</v>
      </c>
      <c r="B81" s="241" t="s">
        <v>365</v>
      </c>
      <c r="C81" s="241">
        <v>22000047</v>
      </c>
      <c r="D81" s="241" t="s">
        <v>1403</v>
      </c>
      <c r="E81" s="241"/>
      <c r="F81" s="241"/>
      <c r="G81" s="241">
        <v>35</v>
      </c>
      <c r="H81" s="241">
        <v>35</v>
      </c>
      <c r="I81" s="241">
        <v>35</v>
      </c>
      <c r="J81" s="241">
        <v>35</v>
      </c>
      <c r="K81" s="241">
        <v>35</v>
      </c>
      <c r="L81" s="241">
        <v>35</v>
      </c>
      <c r="M81" s="241">
        <v>35</v>
      </c>
      <c r="N81" s="241">
        <v>35</v>
      </c>
      <c r="O81" s="241">
        <v>35</v>
      </c>
      <c r="P81" s="241">
        <v>35</v>
      </c>
      <c r="Q81" s="241">
        <v>35</v>
      </c>
      <c r="R81" s="241">
        <v>35</v>
      </c>
      <c r="S81" s="241">
        <v>35</v>
      </c>
      <c r="T81" s="241">
        <v>35</v>
      </c>
      <c r="U81" s="241">
        <v>35</v>
      </c>
      <c r="V81" s="241">
        <v>35</v>
      </c>
      <c r="W81" s="241">
        <v>35</v>
      </c>
      <c r="X81" s="241">
        <v>35</v>
      </c>
      <c r="Y81" s="241">
        <v>35</v>
      </c>
      <c r="Z81" s="241">
        <v>35</v>
      </c>
      <c r="AA81" s="241">
        <v>35</v>
      </c>
      <c r="AB81" s="241">
        <v>35</v>
      </c>
      <c r="AC81" s="241">
        <v>35</v>
      </c>
      <c r="AD81" s="241">
        <v>35</v>
      </c>
      <c r="AE81" s="241">
        <v>35</v>
      </c>
      <c r="AF81" s="241">
        <v>35</v>
      </c>
      <c r="AG81" s="241">
        <v>35</v>
      </c>
      <c r="AH81" s="241">
        <v>35</v>
      </c>
      <c r="AI81" s="241">
        <v>35</v>
      </c>
      <c r="AJ81" s="241">
        <v>35</v>
      </c>
      <c r="AK81" s="241">
        <v>35</v>
      </c>
      <c r="AL81" s="241">
        <v>35</v>
      </c>
      <c r="AM81" s="241">
        <v>35</v>
      </c>
      <c r="AN81" s="241">
        <v>35</v>
      </c>
      <c r="AO81" s="241">
        <v>35</v>
      </c>
      <c r="AP81" s="241">
        <v>35</v>
      </c>
      <c r="AQ81" s="241">
        <v>35</v>
      </c>
      <c r="AR81" s="241">
        <v>35</v>
      </c>
      <c r="AS81" s="241">
        <v>35</v>
      </c>
      <c r="AT81" s="241">
        <v>35</v>
      </c>
      <c r="AU81" s="241">
        <v>35</v>
      </c>
      <c r="AV81" s="241">
        <v>35</v>
      </c>
      <c r="AW81" s="241">
        <v>35</v>
      </c>
      <c r="AX81" s="241">
        <v>35</v>
      </c>
      <c r="AY81" s="241">
        <v>35</v>
      </c>
      <c r="AZ81" s="241">
        <v>35</v>
      </c>
    </row>
    <row r="82" spans="1:52" x14ac:dyDescent="0.25">
      <c r="A82" s="241" t="str">
        <f t="shared" si="44"/>
        <v>LOSBTotal OR</v>
      </c>
      <c r="B82" s="241" t="s">
        <v>365</v>
      </c>
      <c r="C82" s="241">
        <v>22000047</v>
      </c>
      <c r="D82" s="241" t="s">
        <v>1404</v>
      </c>
      <c r="E82" s="241"/>
      <c r="F82" s="241">
        <v>20</v>
      </c>
      <c r="G82" s="241">
        <v>22.8</v>
      </c>
      <c r="H82" s="241">
        <v>35</v>
      </c>
      <c r="I82" s="241">
        <v>5</v>
      </c>
      <c r="J82" s="241">
        <v>5</v>
      </c>
      <c r="K82" s="241">
        <v>1</v>
      </c>
      <c r="L82" s="241">
        <v>1</v>
      </c>
      <c r="M82" s="241">
        <v>25</v>
      </c>
      <c r="N82" s="241">
        <v>35</v>
      </c>
      <c r="O82" s="241">
        <v>5</v>
      </c>
      <c r="P82" s="241">
        <v>5</v>
      </c>
      <c r="Q82" s="241">
        <v>5</v>
      </c>
      <c r="R82" s="241">
        <v>5</v>
      </c>
      <c r="S82" s="241">
        <v>5</v>
      </c>
      <c r="T82" s="241">
        <v>20</v>
      </c>
      <c r="U82" s="241">
        <v>13</v>
      </c>
      <c r="V82" s="241">
        <v>5</v>
      </c>
      <c r="W82" s="241">
        <v>15</v>
      </c>
      <c r="X82" s="241">
        <v>5</v>
      </c>
      <c r="Y82" s="241">
        <v>2</v>
      </c>
      <c r="Z82" s="241">
        <v>2</v>
      </c>
      <c r="AA82" s="241">
        <v>19</v>
      </c>
      <c r="AB82" s="241">
        <v>25</v>
      </c>
      <c r="AC82" s="241">
        <v>10</v>
      </c>
      <c r="AD82" s="241">
        <v>3.5</v>
      </c>
      <c r="AE82" s="241">
        <v>15</v>
      </c>
      <c r="AF82" s="241">
        <v>2</v>
      </c>
      <c r="AG82" s="241">
        <v>2</v>
      </c>
      <c r="AH82" s="241">
        <v>20</v>
      </c>
      <c r="AI82" s="241">
        <v>5</v>
      </c>
      <c r="AJ82" s="241">
        <v>5</v>
      </c>
      <c r="AK82" s="241">
        <v>10</v>
      </c>
      <c r="AL82" s="241">
        <v>5</v>
      </c>
      <c r="AM82" s="241">
        <v>2</v>
      </c>
      <c r="AN82" s="241">
        <v>2</v>
      </c>
      <c r="AO82" s="241">
        <v>20</v>
      </c>
      <c r="AP82" s="241">
        <v>5</v>
      </c>
      <c r="AQ82" s="241">
        <v>5</v>
      </c>
      <c r="AR82" s="241">
        <v>10</v>
      </c>
      <c r="AS82" s="241">
        <v>5</v>
      </c>
      <c r="AT82" s="241">
        <v>5</v>
      </c>
      <c r="AU82" s="241">
        <v>5</v>
      </c>
      <c r="AV82" s="241">
        <v>5</v>
      </c>
      <c r="AW82" s="241">
        <v>5</v>
      </c>
      <c r="AX82" s="241">
        <v>5</v>
      </c>
      <c r="AY82" s="241">
        <v>5</v>
      </c>
      <c r="AZ82" s="241">
        <v>5</v>
      </c>
    </row>
    <row r="83" spans="1:52" x14ac:dyDescent="0.25">
      <c r="A83" s="244" t="str">
        <f t="shared" si="44"/>
        <v>LOSBProd Plan</v>
      </c>
      <c r="B83" s="244" t="s">
        <v>365</v>
      </c>
      <c r="C83" s="244">
        <v>22000047</v>
      </c>
      <c r="D83" s="244" t="s">
        <v>1405</v>
      </c>
      <c r="E83" s="244">
        <v>0</v>
      </c>
      <c r="F83" s="245">
        <v>20</v>
      </c>
      <c r="G83" s="244">
        <v>0</v>
      </c>
      <c r="H83" s="244">
        <v>20</v>
      </c>
      <c r="I83" s="244">
        <v>0</v>
      </c>
      <c r="J83" s="244">
        <v>20</v>
      </c>
      <c r="K83" s="244">
        <v>0</v>
      </c>
      <c r="L83" s="244">
        <v>20</v>
      </c>
      <c r="M83" s="244">
        <v>0</v>
      </c>
      <c r="N83" s="244">
        <v>20</v>
      </c>
      <c r="O83" s="244">
        <v>0</v>
      </c>
      <c r="P83" s="244">
        <v>20</v>
      </c>
      <c r="Q83" s="244">
        <v>0</v>
      </c>
      <c r="R83" s="244">
        <v>20</v>
      </c>
      <c r="S83" s="244">
        <v>0</v>
      </c>
      <c r="T83" s="244">
        <v>20</v>
      </c>
      <c r="U83" s="244">
        <v>0</v>
      </c>
      <c r="V83" s="244">
        <v>20</v>
      </c>
      <c r="W83" s="244">
        <v>0</v>
      </c>
      <c r="X83" s="244">
        <v>20</v>
      </c>
      <c r="Y83" s="244">
        <v>0</v>
      </c>
      <c r="Z83" s="244">
        <v>20</v>
      </c>
      <c r="AA83" s="244">
        <v>0</v>
      </c>
      <c r="AB83" s="244">
        <v>20</v>
      </c>
      <c r="AC83" s="244">
        <v>0</v>
      </c>
      <c r="AD83" s="244">
        <v>20</v>
      </c>
      <c r="AE83" s="244">
        <v>0</v>
      </c>
      <c r="AF83" s="244">
        <v>20</v>
      </c>
      <c r="AG83" s="244">
        <v>0</v>
      </c>
      <c r="AH83" s="244">
        <v>20</v>
      </c>
      <c r="AI83" s="244">
        <v>0</v>
      </c>
      <c r="AJ83" s="244">
        <v>20</v>
      </c>
      <c r="AK83" s="244">
        <v>0</v>
      </c>
      <c r="AL83" s="244">
        <v>20</v>
      </c>
      <c r="AM83" s="244">
        <v>0</v>
      </c>
      <c r="AN83" s="244">
        <v>20</v>
      </c>
      <c r="AO83" s="244">
        <v>0</v>
      </c>
      <c r="AP83" s="244">
        <v>20</v>
      </c>
      <c r="AQ83" s="244">
        <v>0</v>
      </c>
      <c r="AR83" s="244">
        <v>20</v>
      </c>
      <c r="AS83" s="244">
        <v>0</v>
      </c>
      <c r="AT83" s="244">
        <v>0</v>
      </c>
      <c r="AU83" s="244">
        <v>0</v>
      </c>
      <c r="AV83" s="244">
        <v>0</v>
      </c>
      <c r="AW83" s="244">
        <v>0</v>
      </c>
      <c r="AX83" s="244">
        <v>0</v>
      </c>
      <c r="AY83" s="244">
        <v>0</v>
      </c>
      <c r="AZ83" s="244">
        <v>0</v>
      </c>
    </row>
    <row r="84" spans="1:52" x14ac:dyDescent="0.25">
      <c r="A84" s="246" t="str">
        <f t="shared" si="44"/>
        <v>LOSBProd Receipt</v>
      </c>
      <c r="B84" s="246" t="s">
        <v>365</v>
      </c>
      <c r="C84" s="246">
        <v>22000047</v>
      </c>
      <c r="D84" s="246" t="s">
        <v>1406</v>
      </c>
      <c r="E84" s="246"/>
      <c r="F84" s="246" t="e">
        <f>VLOOKUP($C84,#REF!,F$1,0)</f>
        <v>#REF!</v>
      </c>
      <c r="G84" s="246" t="e">
        <f>VLOOKUP($C84,#REF!,G$1,0)</f>
        <v>#REF!</v>
      </c>
      <c r="H84" s="246" t="e">
        <f>VLOOKUP($C84,#REF!,H$1,0)</f>
        <v>#REF!</v>
      </c>
      <c r="I84" s="246" t="e">
        <f>VLOOKUP($C84,#REF!,I$1,0)</f>
        <v>#REF!</v>
      </c>
      <c r="J84" s="246" t="e">
        <f>VLOOKUP($C84,#REF!,J$1,0)</f>
        <v>#REF!</v>
      </c>
      <c r="K84" s="246" t="e">
        <f>VLOOKUP($C84,#REF!,K$1,0)</f>
        <v>#REF!</v>
      </c>
      <c r="L84" s="246" t="e">
        <f>VLOOKUP($C84,#REF!,L$1,0)</f>
        <v>#REF!</v>
      </c>
      <c r="M84" s="246" t="e">
        <f>VLOOKUP($C84,#REF!,M$1,0)</f>
        <v>#REF!</v>
      </c>
      <c r="N84" s="246" t="e">
        <f>VLOOKUP($C84,#REF!,N$1,0)</f>
        <v>#REF!</v>
      </c>
      <c r="O84" s="246" t="e">
        <f>VLOOKUP($C84,#REF!,O$1,0)</f>
        <v>#REF!</v>
      </c>
      <c r="P84" s="246" t="e">
        <f>VLOOKUP($C84,#REF!,P$1,0)</f>
        <v>#REF!</v>
      </c>
      <c r="Q84" s="246" t="e">
        <f>VLOOKUP($C84,#REF!,Q$1,0)</f>
        <v>#REF!</v>
      </c>
      <c r="R84" s="246" t="e">
        <f>VLOOKUP($C84,#REF!,R$1,0)</f>
        <v>#REF!</v>
      </c>
      <c r="S84" s="246" t="e">
        <f>VLOOKUP($C84,#REF!,S$1,0)</f>
        <v>#REF!</v>
      </c>
      <c r="T84" s="246" t="e">
        <f>VLOOKUP($C84,#REF!,T$1,0)</f>
        <v>#REF!</v>
      </c>
      <c r="U84" s="246"/>
      <c r="V84" s="246"/>
      <c r="W84" s="246"/>
      <c r="X84" s="246"/>
      <c r="Y84" s="246"/>
      <c r="Z84" s="246"/>
      <c r="AA84" s="246"/>
      <c r="AB84" s="246"/>
      <c r="AC84" s="246"/>
      <c r="AD84" s="246"/>
      <c r="AE84" s="246"/>
      <c r="AF84" s="246"/>
      <c r="AG84" s="246"/>
      <c r="AH84" s="246"/>
      <c r="AI84" s="246"/>
      <c r="AJ84" s="246"/>
      <c r="AK84" s="246"/>
      <c r="AL84" s="246"/>
      <c r="AM84" s="246"/>
      <c r="AN84" s="246"/>
      <c r="AO84" s="246"/>
      <c r="AP84" s="246"/>
      <c r="AQ84" s="246"/>
      <c r="AR84" s="246"/>
      <c r="AS84" s="246"/>
      <c r="AT84" s="246"/>
      <c r="AU84" s="246"/>
      <c r="AV84" s="246"/>
      <c r="AW84" s="246"/>
      <c r="AX84" s="246"/>
      <c r="AY84" s="246"/>
      <c r="AZ84" s="246"/>
    </row>
    <row r="85" spans="1:52" x14ac:dyDescent="0.25">
      <c r="A85" s="241" t="str">
        <f t="shared" si="44"/>
        <v>LOSBTotal Suppy</v>
      </c>
      <c r="B85" s="241" t="s">
        <v>365</v>
      </c>
      <c r="C85" s="241">
        <v>22000047</v>
      </c>
      <c r="D85" s="241" t="s">
        <v>1407</v>
      </c>
      <c r="E85" s="241"/>
      <c r="F85" s="241">
        <v>0</v>
      </c>
      <c r="G85" s="245" t="e">
        <f>F84</f>
        <v>#REF!</v>
      </c>
      <c r="H85" s="241" t="e">
        <f>G84</f>
        <v>#REF!</v>
      </c>
      <c r="I85" s="241" t="e">
        <f>H84</f>
        <v>#REF!</v>
      </c>
      <c r="J85" s="241">
        <f t="shared" ref="J85" si="54">I83</f>
        <v>0</v>
      </c>
      <c r="K85" s="241">
        <f>J83</f>
        <v>20</v>
      </c>
      <c r="L85" s="241">
        <f>K83</f>
        <v>0</v>
      </c>
      <c r="M85" s="241" t="e">
        <f t="shared" ref="M85:X85" si="55">+J84</f>
        <v>#REF!</v>
      </c>
      <c r="N85" s="241" t="e">
        <f t="shared" si="55"/>
        <v>#REF!</v>
      </c>
      <c r="O85" s="241" t="e">
        <f t="shared" si="55"/>
        <v>#REF!</v>
      </c>
      <c r="P85" s="241" t="e">
        <f t="shared" si="55"/>
        <v>#REF!</v>
      </c>
      <c r="Q85" s="241" t="e">
        <f t="shared" si="55"/>
        <v>#REF!</v>
      </c>
      <c r="R85" s="241" t="e">
        <f t="shared" si="55"/>
        <v>#REF!</v>
      </c>
      <c r="S85" s="241" t="e">
        <f t="shared" si="55"/>
        <v>#REF!</v>
      </c>
      <c r="T85" s="241" t="e">
        <f t="shared" si="55"/>
        <v>#REF!</v>
      </c>
      <c r="U85" s="241" t="e">
        <f t="shared" si="55"/>
        <v>#REF!</v>
      </c>
      <c r="V85" s="241" t="e">
        <f t="shared" si="55"/>
        <v>#REF!</v>
      </c>
      <c r="W85" s="241" t="e">
        <f t="shared" si="55"/>
        <v>#REF!</v>
      </c>
      <c r="X85" s="241">
        <f t="shared" si="55"/>
        <v>0</v>
      </c>
      <c r="Y85" s="241"/>
      <c r="Z85" s="241"/>
      <c r="AA85" s="241"/>
      <c r="AB85" s="241"/>
      <c r="AC85" s="241"/>
      <c r="AD85" s="241"/>
      <c r="AE85" s="241"/>
      <c r="AF85" s="241"/>
      <c r="AG85" s="241"/>
      <c r="AH85" s="241"/>
      <c r="AI85" s="241"/>
      <c r="AJ85" s="241"/>
      <c r="AK85" s="241"/>
      <c r="AL85" s="241"/>
      <c r="AM85" s="241"/>
      <c r="AN85" s="241"/>
      <c r="AO85" s="241"/>
      <c r="AP85" s="241"/>
      <c r="AQ85" s="241"/>
      <c r="AR85" s="241"/>
      <c r="AS85" s="241"/>
      <c r="AT85" s="241"/>
      <c r="AU85" s="241"/>
      <c r="AV85" s="241"/>
      <c r="AW85" s="241"/>
      <c r="AX85" s="241"/>
      <c r="AY85" s="241"/>
      <c r="AZ85" s="241"/>
    </row>
    <row r="86" spans="1:52" x14ac:dyDescent="0.25">
      <c r="A86" s="247" t="str">
        <f t="shared" si="44"/>
        <v>LOSBClosing Stks</v>
      </c>
      <c r="B86" s="247" t="s">
        <v>365</v>
      </c>
      <c r="C86" s="247">
        <v>22000047</v>
      </c>
      <c r="D86" s="247" t="s">
        <v>1408</v>
      </c>
      <c r="E86" s="247"/>
      <c r="F86" s="247">
        <f>E83+F85-F82</f>
        <v>-20</v>
      </c>
      <c r="G86" s="248" t="e">
        <f>F86+G85-G82</f>
        <v>#REF!</v>
      </c>
      <c r="H86" s="248" t="e">
        <f>G86+H85-H82</f>
        <v>#REF!</v>
      </c>
      <c r="I86" s="248" t="e">
        <f>H86+I85-I82</f>
        <v>#REF!</v>
      </c>
      <c r="J86" s="248" t="e">
        <f>I86+J85-J82</f>
        <v>#REF!</v>
      </c>
      <c r="K86" s="248" t="e">
        <f t="shared" ref="K86:N86" si="56">J86+K85-K82</f>
        <v>#REF!</v>
      </c>
      <c r="L86" s="248" t="e">
        <f t="shared" si="56"/>
        <v>#REF!</v>
      </c>
      <c r="M86" s="248" t="e">
        <f t="shared" si="56"/>
        <v>#REF!</v>
      </c>
      <c r="N86" s="248" t="e">
        <f t="shared" si="56"/>
        <v>#REF!</v>
      </c>
      <c r="O86" s="248" t="e">
        <f>N86+O85-O82</f>
        <v>#REF!</v>
      </c>
      <c r="P86" s="248" t="e">
        <f>O86+P83-P82</f>
        <v>#REF!</v>
      </c>
      <c r="Q86" s="248" t="e">
        <f t="shared" ref="Q86:AZ86" si="57">P86+Q83-Q82</f>
        <v>#REF!</v>
      </c>
      <c r="R86" s="248" t="e">
        <f>Q86+R83-R82</f>
        <v>#REF!</v>
      </c>
      <c r="S86" s="248" t="e">
        <f t="shared" si="57"/>
        <v>#REF!</v>
      </c>
      <c r="T86" s="248" t="e">
        <f t="shared" si="57"/>
        <v>#REF!</v>
      </c>
      <c r="U86" s="248" t="e">
        <f t="shared" si="57"/>
        <v>#REF!</v>
      </c>
      <c r="V86" s="248" t="e">
        <f t="shared" si="57"/>
        <v>#REF!</v>
      </c>
      <c r="W86" s="248" t="e">
        <f t="shared" si="57"/>
        <v>#REF!</v>
      </c>
      <c r="X86" s="248" t="e">
        <f t="shared" si="57"/>
        <v>#REF!</v>
      </c>
      <c r="Y86" s="248" t="e">
        <f t="shared" si="57"/>
        <v>#REF!</v>
      </c>
      <c r="Z86" s="248" t="e">
        <f t="shared" si="57"/>
        <v>#REF!</v>
      </c>
      <c r="AA86" s="248" t="e">
        <f t="shared" si="57"/>
        <v>#REF!</v>
      </c>
      <c r="AB86" s="248" t="e">
        <f t="shared" si="57"/>
        <v>#REF!</v>
      </c>
      <c r="AC86" s="248" t="e">
        <f t="shared" si="57"/>
        <v>#REF!</v>
      </c>
      <c r="AD86" s="248" t="e">
        <f t="shared" si="57"/>
        <v>#REF!</v>
      </c>
      <c r="AE86" s="248" t="e">
        <f t="shared" si="57"/>
        <v>#REF!</v>
      </c>
      <c r="AF86" s="248" t="e">
        <f t="shared" si="57"/>
        <v>#REF!</v>
      </c>
      <c r="AG86" s="248" t="e">
        <f t="shared" si="57"/>
        <v>#REF!</v>
      </c>
      <c r="AH86" s="248" t="e">
        <f t="shared" si="57"/>
        <v>#REF!</v>
      </c>
      <c r="AI86" s="248" t="e">
        <f t="shared" si="57"/>
        <v>#REF!</v>
      </c>
      <c r="AJ86" s="248" t="e">
        <f t="shared" si="57"/>
        <v>#REF!</v>
      </c>
      <c r="AK86" s="248" t="e">
        <f t="shared" si="57"/>
        <v>#REF!</v>
      </c>
      <c r="AL86" s="248" t="e">
        <f t="shared" si="57"/>
        <v>#REF!</v>
      </c>
      <c r="AM86" s="248" t="e">
        <f t="shared" si="57"/>
        <v>#REF!</v>
      </c>
      <c r="AN86" s="248" t="e">
        <f t="shared" si="57"/>
        <v>#REF!</v>
      </c>
      <c r="AO86" s="248" t="e">
        <f t="shared" si="57"/>
        <v>#REF!</v>
      </c>
      <c r="AP86" s="248" t="e">
        <f t="shared" si="57"/>
        <v>#REF!</v>
      </c>
      <c r="AQ86" s="248" t="e">
        <f t="shared" si="57"/>
        <v>#REF!</v>
      </c>
      <c r="AR86" s="248" t="e">
        <f t="shared" si="57"/>
        <v>#REF!</v>
      </c>
      <c r="AS86" s="248" t="e">
        <f t="shared" si="57"/>
        <v>#REF!</v>
      </c>
      <c r="AT86" s="248" t="e">
        <f t="shared" si="57"/>
        <v>#REF!</v>
      </c>
      <c r="AU86" s="248" t="e">
        <f t="shared" si="57"/>
        <v>#REF!</v>
      </c>
      <c r="AV86" s="248" t="e">
        <f t="shared" si="57"/>
        <v>#REF!</v>
      </c>
      <c r="AW86" s="248" t="e">
        <f t="shared" si="57"/>
        <v>#REF!</v>
      </c>
      <c r="AX86" s="248" t="e">
        <f t="shared" si="57"/>
        <v>#REF!</v>
      </c>
      <c r="AY86" s="248" t="e">
        <f t="shared" si="57"/>
        <v>#REF!</v>
      </c>
      <c r="AZ86" s="248" t="e">
        <f t="shared" si="57"/>
        <v>#REF!</v>
      </c>
    </row>
    <row r="87" spans="1:52" x14ac:dyDescent="0.25">
      <c r="D87" s="244" t="s">
        <v>1415</v>
      </c>
      <c r="E87" s="244"/>
      <c r="F87" s="244"/>
      <c r="G87" s="244">
        <v>180</v>
      </c>
      <c r="H87" s="244">
        <v>180</v>
      </c>
      <c r="I87" s="244">
        <v>180</v>
      </c>
      <c r="J87" s="244">
        <v>180</v>
      </c>
      <c r="K87" s="244">
        <v>180</v>
      </c>
      <c r="L87" s="244">
        <v>180</v>
      </c>
      <c r="M87" s="244">
        <v>180</v>
      </c>
      <c r="N87" s="244">
        <v>180</v>
      </c>
      <c r="O87" s="244">
        <v>180</v>
      </c>
      <c r="P87" s="244">
        <v>180</v>
      </c>
      <c r="Q87" s="244">
        <v>180</v>
      </c>
      <c r="R87" s="244">
        <v>180</v>
      </c>
      <c r="S87" s="244">
        <v>180</v>
      </c>
      <c r="T87" s="244">
        <v>180</v>
      </c>
      <c r="U87" s="244">
        <v>180</v>
      </c>
      <c r="V87" s="244">
        <v>180</v>
      </c>
      <c r="W87" s="244">
        <v>180</v>
      </c>
      <c r="X87" s="244">
        <v>180</v>
      </c>
      <c r="Y87" s="244">
        <v>180</v>
      </c>
      <c r="Z87" s="244">
        <v>180</v>
      </c>
      <c r="AA87" s="244">
        <v>180</v>
      </c>
      <c r="AB87" s="244">
        <v>180</v>
      </c>
      <c r="AC87" s="244">
        <v>180</v>
      </c>
      <c r="AD87" s="244">
        <v>180</v>
      </c>
      <c r="AE87" s="244">
        <v>180</v>
      </c>
      <c r="AF87" s="244">
        <v>180</v>
      </c>
      <c r="AG87" s="244">
        <v>180</v>
      </c>
      <c r="AH87" s="244">
        <v>180</v>
      </c>
      <c r="AI87" s="244">
        <v>180</v>
      </c>
      <c r="AJ87" s="244">
        <v>180</v>
      </c>
      <c r="AK87" s="244">
        <v>180</v>
      </c>
      <c r="AL87" s="244">
        <v>180</v>
      </c>
      <c r="AM87" s="244">
        <v>180</v>
      </c>
      <c r="AN87" s="244">
        <v>180</v>
      </c>
      <c r="AO87" s="244">
        <v>180</v>
      </c>
      <c r="AP87" s="244">
        <v>180</v>
      </c>
      <c r="AQ87" s="244">
        <v>180</v>
      </c>
      <c r="AR87" s="244">
        <v>180</v>
      </c>
      <c r="AS87" s="244">
        <v>180</v>
      </c>
      <c r="AT87" s="244">
        <v>180</v>
      </c>
      <c r="AU87" s="244">
        <v>180</v>
      </c>
      <c r="AV87" s="244">
        <v>180</v>
      </c>
      <c r="AW87" s="244">
        <v>180</v>
      </c>
      <c r="AX87" s="244">
        <v>180</v>
      </c>
      <c r="AY87" s="244">
        <v>180</v>
      </c>
      <c r="AZ87" s="244">
        <v>180</v>
      </c>
    </row>
    <row r="88" spans="1:52" ht="15.75" thickBot="1" x14ac:dyDescent="0.3">
      <c r="D88" s="250" t="s">
        <v>1415</v>
      </c>
      <c r="E88" s="250"/>
      <c r="F88" s="250"/>
      <c r="G88" s="250">
        <v>100</v>
      </c>
      <c r="H88" s="250">
        <v>100</v>
      </c>
      <c r="I88" s="250">
        <v>100</v>
      </c>
      <c r="J88" s="250">
        <v>100</v>
      </c>
      <c r="K88" s="250">
        <v>100</v>
      </c>
      <c r="L88" s="250">
        <v>100</v>
      </c>
      <c r="M88" s="250">
        <v>100</v>
      </c>
      <c r="N88" s="250">
        <v>100</v>
      </c>
      <c r="O88" s="250">
        <v>100</v>
      </c>
      <c r="P88" s="250">
        <v>100</v>
      </c>
      <c r="Q88" s="250">
        <v>100</v>
      </c>
      <c r="R88" s="250">
        <v>100</v>
      </c>
      <c r="S88" s="250">
        <v>100</v>
      </c>
      <c r="T88" s="250">
        <v>100</v>
      </c>
      <c r="U88" s="250">
        <v>100</v>
      </c>
      <c r="V88" s="250">
        <v>100</v>
      </c>
      <c r="W88" s="250">
        <v>100</v>
      </c>
      <c r="X88" s="250">
        <v>100</v>
      </c>
      <c r="Y88" s="250">
        <v>100</v>
      </c>
      <c r="Z88" s="250">
        <v>100</v>
      </c>
      <c r="AA88" s="250">
        <v>100</v>
      </c>
      <c r="AB88" s="250">
        <v>100</v>
      </c>
      <c r="AC88" s="250">
        <v>100</v>
      </c>
      <c r="AD88" s="250">
        <v>100</v>
      </c>
      <c r="AE88" s="250">
        <v>100</v>
      </c>
      <c r="AF88" s="250">
        <v>100</v>
      </c>
      <c r="AG88" s="250">
        <v>100</v>
      </c>
      <c r="AH88" s="250">
        <v>100</v>
      </c>
      <c r="AI88" s="250">
        <v>100</v>
      </c>
      <c r="AJ88" s="250">
        <v>100</v>
      </c>
      <c r="AK88" s="250">
        <v>100</v>
      </c>
      <c r="AL88" s="250">
        <v>100</v>
      </c>
      <c r="AM88" s="250">
        <v>100</v>
      </c>
      <c r="AN88" s="250">
        <v>100</v>
      </c>
      <c r="AO88" s="250">
        <v>100</v>
      </c>
      <c r="AP88" s="250">
        <v>100</v>
      </c>
      <c r="AQ88" s="250">
        <v>100</v>
      </c>
      <c r="AR88" s="250">
        <v>100</v>
      </c>
      <c r="AS88" s="250">
        <v>100</v>
      </c>
      <c r="AT88" s="250">
        <v>100</v>
      </c>
      <c r="AU88" s="250">
        <v>100</v>
      </c>
      <c r="AV88" s="250">
        <v>100</v>
      </c>
      <c r="AW88" s="250">
        <v>100</v>
      </c>
      <c r="AX88" s="250">
        <v>100</v>
      </c>
      <c r="AY88" s="250">
        <v>100</v>
      </c>
      <c r="AZ88" s="250">
        <v>100</v>
      </c>
    </row>
    <row r="89" spans="1:52" ht="15.75" thickBot="1" x14ac:dyDescent="0.3">
      <c r="D89" s="251" t="s">
        <v>1415</v>
      </c>
      <c r="E89" s="251"/>
      <c r="F89" s="251"/>
      <c r="G89" s="251">
        <f>G5+G11+G17+G23+G29+G35+G41+G47+G53+G59+G65+G71+G77+G83+G87+G88</f>
        <v>1600</v>
      </c>
      <c r="H89" s="251">
        <f t="shared" ref="H89:AZ89" si="58">H5+H11+H17+H23+H29+H35+H41+H47+H53+H59+H65+H71+H77+H83+H87+H88</f>
        <v>1508</v>
      </c>
      <c r="I89" s="251">
        <f t="shared" si="58"/>
        <v>1548</v>
      </c>
      <c r="J89" s="251">
        <f t="shared" si="58"/>
        <v>1538</v>
      </c>
      <c r="K89" s="251">
        <f t="shared" si="58"/>
        <v>1630</v>
      </c>
      <c r="L89" s="251">
        <f t="shared" si="58"/>
        <v>1628</v>
      </c>
      <c r="M89" s="251">
        <f t="shared" si="58"/>
        <v>1580</v>
      </c>
      <c r="N89" s="251">
        <f t="shared" si="58"/>
        <v>1528</v>
      </c>
      <c r="O89" s="251">
        <f t="shared" si="58"/>
        <v>1488</v>
      </c>
      <c r="P89" s="251">
        <f t="shared" si="58"/>
        <v>1538</v>
      </c>
      <c r="Q89" s="251">
        <f t="shared" si="58"/>
        <v>1550</v>
      </c>
      <c r="R89" s="251">
        <f t="shared" si="58"/>
        <v>1748</v>
      </c>
      <c r="S89" s="251">
        <f t="shared" si="58"/>
        <v>1570</v>
      </c>
      <c r="T89" s="251">
        <f t="shared" si="58"/>
        <v>1528</v>
      </c>
      <c r="U89" s="251">
        <f t="shared" si="58"/>
        <v>1618</v>
      </c>
      <c r="V89" s="251">
        <f t="shared" si="58"/>
        <v>1478</v>
      </c>
      <c r="W89" s="251">
        <f t="shared" si="58"/>
        <v>1528</v>
      </c>
      <c r="X89" s="251">
        <f t="shared" si="58"/>
        <v>1738</v>
      </c>
      <c r="Y89" s="251">
        <f t="shared" si="58"/>
        <v>1618</v>
      </c>
      <c r="Z89" s="251">
        <f t="shared" si="58"/>
        <v>1558</v>
      </c>
      <c r="AA89" s="251">
        <f t="shared" si="58"/>
        <v>1608</v>
      </c>
      <c r="AB89" s="251">
        <f t="shared" si="58"/>
        <v>1478</v>
      </c>
      <c r="AC89" s="251">
        <f t="shared" si="58"/>
        <v>1478</v>
      </c>
      <c r="AD89" s="251">
        <f t="shared" si="58"/>
        <v>1658</v>
      </c>
      <c r="AE89" s="251">
        <f t="shared" si="58"/>
        <v>1558</v>
      </c>
      <c r="AF89" s="251">
        <f t="shared" si="58"/>
        <v>1598</v>
      </c>
      <c r="AG89" s="251">
        <f t="shared" si="58"/>
        <v>1668</v>
      </c>
      <c r="AH89" s="251">
        <f t="shared" si="58"/>
        <v>1478</v>
      </c>
      <c r="AI89" s="251">
        <f t="shared" si="58"/>
        <v>1478</v>
      </c>
      <c r="AJ89" s="251">
        <f t="shared" si="58"/>
        <v>1508</v>
      </c>
      <c r="AK89" s="251">
        <f t="shared" si="58"/>
        <v>1478</v>
      </c>
      <c r="AL89" s="251">
        <f t="shared" si="58"/>
        <v>1688</v>
      </c>
      <c r="AM89" s="251">
        <f t="shared" si="58"/>
        <v>1618</v>
      </c>
      <c r="AN89" s="251">
        <f t="shared" si="58"/>
        <v>1538</v>
      </c>
      <c r="AO89" s="251">
        <f t="shared" si="58"/>
        <v>1478</v>
      </c>
      <c r="AP89" s="251">
        <f t="shared" si="58"/>
        <v>1508</v>
      </c>
      <c r="AQ89" s="251">
        <f t="shared" si="58"/>
        <v>1478</v>
      </c>
      <c r="AR89" s="251">
        <f t="shared" si="58"/>
        <v>1478</v>
      </c>
      <c r="AS89" s="251">
        <f t="shared" si="58"/>
        <v>1478</v>
      </c>
      <c r="AT89" s="251">
        <f t="shared" si="58"/>
        <v>1478</v>
      </c>
      <c r="AU89" s="251">
        <f t="shared" si="58"/>
        <v>1478</v>
      </c>
      <c r="AV89" s="251">
        <f t="shared" si="58"/>
        <v>1478</v>
      </c>
      <c r="AW89" s="251">
        <f t="shared" si="58"/>
        <v>1478</v>
      </c>
      <c r="AX89" s="251">
        <f t="shared" si="58"/>
        <v>1478</v>
      </c>
      <c r="AY89" s="251">
        <f t="shared" si="58"/>
        <v>1478</v>
      </c>
      <c r="AZ89" s="251">
        <f t="shared" si="58"/>
        <v>1478</v>
      </c>
    </row>
    <row r="90" spans="1:52" ht="15.75" thickTop="1" x14ac:dyDescent="0.25"/>
  </sheetData>
  <autoFilter ref="A2:AS88" xr:uid="{8E67A9BF-F37C-4946-8F38-92360AF7E1C3}"/>
  <pageMargins left="0.7" right="0.7" top="0.75" bottom="0.75" header="0.3" footer="0.3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096E-40A6-47A5-87DC-AE98D709562C}">
  <dimension ref="A1"/>
  <sheetViews>
    <sheetView workbookViewId="0"/>
  </sheetViews>
  <sheetFormatPr defaultRowHeight="12.75" x14ac:dyDescent="0.2"/>
  <sheetData/>
  <customSheetViews>
    <customSheetView guid="{40817DC6-4291-4A72-AC70-E8710064089B}">
      <pageMargins left="0" right="0" top="0" bottom="0" header="0" footer="0"/>
    </customSheetView>
    <customSheetView guid="{55B393C6-D96A-4245-BC73-FC5790070AA2}">
      <pageMargins left="0" right="0" top="0" bottom="0" header="0" footer="0"/>
    </customSheetView>
    <customSheetView guid="{9C22FFE9-00CF-47D0-BD99-D84A00825140}">
      <pageMargins left="0" right="0" top="0" bottom="0" header="0" footer="0"/>
    </customSheetView>
  </customSheetView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3:D11"/>
  <sheetViews>
    <sheetView workbookViewId="0">
      <selection activeCell="H15" sqref="H15"/>
    </sheetView>
  </sheetViews>
  <sheetFormatPr defaultRowHeight="12.75" x14ac:dyDescent="0.2"/>
  <cols>
    <col min="1" max="1" width="2.42578125" customWidth="1"/>
    <col min="4" max="4" width="12.5703125" customWidth="1"/>
  </cols>
  <sheetData>
    <row r="3" spans="2:4" x14ac:dyDescent="0.2">
      <c r="B3" t="s">
        <v>255</v>
      </c>
      <c r="C3" t="s">
        <v>9</v>
      </c>
      <c r="D3" t="s">
        <v>11</v>
      </c>
    </row>
    <row r="4" spans="2:4" x14ac:dyDescent="0.2">
      <c r="B4" t="s">
        <v>261</v>
      </c>
      <c r="C4" t="s">
        <v>13</v>
      </c>
      <c r="D4" t="s">
        <v>1416</v>
      </c>
    </row>
    <row r="5" spans="2:4" x14ac:dyDescent="0.2">
      <c r="B5" t="s">
        <v>267</v>
      </c>
      <c r="D5" t="s">
        <v>15</v>
      </c>
    </row>
    <row r="6" spans="2:4" x14ac:dyDescent="0.2">
      <c r="D6" t="s">
        <v>18</v>
      </c>
    </row>
    <row r="7" spans="2:4" x14ac:dyDescent="0.2">
      <c r="D7" t="s">
        <v>31</v>
      </c>
    </row>
    <row r="8" spans="2:4" x14ac:dyDescent="0.2">
      <c r="D8" t="s">
        <v>1417</v>
      </c>
    </row>
    <row r="9" spans="2:4" x14ac:dyDescent="0.2">
      <c r="D9" t="s">
        <v>1418</v>
      </c>
    </row>
    <row r="10" spans="2:4" x14ac:dyDescent="0.2">
      <c r="D10" t="s">
        <v>1419</v>
      </c>
    </row>
    <row r="11" spans="2:4" x14ac:dyDescent="0.2">
      <c r="D11" t="s">
        <v>1420</v>
      </c>
    </row>
  </sheetData>
  <customSheetViews>
    <customSheetView guid="{40817DC6-4291-4A72-AC70-E8710064089B}" state="hidden">
      <selection activeCell="H15" sqref="H15"/>
      <pageMargins left="0" right="0" top="0" bottom="0" header="0" footer="0"/>
    </customSheetView>
    <customSheetView guid="{55B393C6-D96A-4245-BC73-FC5790070AA2}" state="hidden">
      <selection activeCell="H15" sqref="H15"/>
      <pageMargins left="0" right="0" top="0" bottom="0" header="0" footer="0"/>
    </customSheetView>
    <customSheetView guid="{C5333697-7BE7-4020-97A4-B735E526926D}" state="hidden">
      <selection activeCell="H15" sqref="H15"/>
      <pageMargins left="0" right="0" top="0" bottom="0" header="0" footer="0"/>
    </customSheetView>
    <customSheetView guid="{C7D8C3A9-FB79-4D22-935E-FEFA619A3CE5}" state="hidden">
      <selection activeCell="H15" sqref="H15"/>
      <pageMargins left="0" right="0" top="0" bottom="0" header="0" footer="0"/>
    </customSheetView>
    <customSheetView guid="{1DCC370E-2FC6-43E0-BC38-BCA3EE5D5128}" state="hidden">
      <selection activeCell="H15" sqref="H15"/>
      <pageMargins left="0" right="0" top="0" bottom="0" header="0" footer="0"/>
    </customSheetView>
    <customSheetView guid="{F0BD4916-1611-48FD-8208-19E7D9B71F1A}" state="hidden">
      <selection activeCell="H15" sqref="H15"/>
      <pageMargins left="0" right="0" top="0" bottom="0" header="0" footer="0"/>
    </customSheetView>
    <customSheetView guid="{3DB5A1E9-5856-4EA0-B7C8-5278BCF638C4}" state="hidden">
      <selection activeCell="H15" sqref="H15"/>
      <pageMargins left="0" right="0" top="0" bottom="0" header="0" footer="0"/>
    </customSheetView>
    <customSheetView guid="{BDCF2A7A-E9D7-4870-941D-0022D12BB670}" state="hidden">
      <selection activeCell="H15" sqref="H15"/>
      <pageMargins left="0" right="0" top="0" bottom="0" header="0" footer="0"/>
    </customSheetView>
    <customSheetView guid="{180A269B-7E32-4D24-945A-4A804FC4280D}" state="hidden">
      <selection activeCell="H15" sqref="H15"/>
      <pageMargins left="0" right="0" top="0" bottom="0" header="0" footer="0"/>
    </customSheetView>
    <customSheetView guid="{9C22FFE9-00CF-47D0-BD99-D84A00825140}" state="hidden">
      <selection activeCell="H15" sqref="H15"/>
      <pageMargins left="0" right="0" top="0" bottom="0" header="0" footer="0"/>
    </customSheetView>
  </customSheetView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8"/>
  <sheetViews>
    <sheetView zoomScale="85" zoomScaleNormal="85" zoomScaleSheetLayoutView="100" workbookViewId="0">
      <selection activeCell="I21" sqref="I21"/>
    </sheetView>
  </sheetViews>
  <sheetFormatPr defaultColWidth="9.140625" defaultRowHeight="12.75" outlineLevelCol="1" x14ac:dyDescent="0.2"/>
  <cols>
    <col min="1" max="1" width="1.85546875" style="3" customWidth="1"/>
    <col min="2" max="2" width="8.140625" style="4" customWidth="1"/>
    <col min="3" max="3" width="11.28515625" style="4" customWidth="1"/>
    <col min="4" max="4" width="10.140625" style="3" customWidth="1"/>
    <col min="5" max="5" width="10" style="3" customWidth="1"/>
    <col min="6" max="6" width="15.28515625" style="3" customWidth="1"/>
    <col min="7" max="7" width="10.7109375" style="3" customWidth="1"/>
    <col min="8" max="8" width="10.42578125" style="3" customWidth="1"/>
    <col min="9" max="9" width="9.42578125" style="3" bestFit="1" customWidth="1"/>
    <col min="10" max="10" width="11.42578125" style="3" customWidth="1"/>
    <col min="11" max="11" width="9.85546875" style="3" customWidth="1"/>
    <col min="12" max="12" width="11.85546875" style="3" customWidth="1"/>
    <col min="13" max="16" width="11.5703125" style="3" customWidth="1"/>
    <col min="17" max="17" width="10" style="3" customWidth="1"/>
    <col min="18" max="18" width="9.28515625" style="3" customWidth="1"/>
    <col min="19" max="19" width="10.140625" style="3" customWidth="1"/>
    <col min="20" max="20" width="11.5703125" style="3" customWidth="1"/>
    <col min="21" max="21" width="4.28515625" style="3" customWidth="1" outlineLevel="1"/>
    <col min="22" max="22" width="10.5703125" style="3" customWidth="1" outlineLevel="1"/>
    <col min="23" max="26" width="9.140625" style="3" customWidth="1" outlineLevel="1"/>
    <col min="27" max="27" width="9.85546875" style="3" customWidth="1" outlineLevel="1"/>
    <col min="28" max="28" width="9.140625" style="3" customWidth="1" outlineLevel="1"/>
    <col min="29" max="29" width="12.28515625" style="3" customWidth="1" outlineLevel="1"/>
    <col min="30" max="31" width="9.140625" style="3" customWidth="1" outlineLevel="1"/>
    <col min="32" max="32" width="12.28515625" style="3" customWidth="1" outlineLevel="1"/>
    <col min="33" max="34" width="9.140625" style="3" customWidth="1" outlineLevel="1"/>
    <col min="35" max="16384" width="9.140625" style="3"/>
  </cols>
  <sheetData>
    <row r="1" spans="2:34" ht="9.75" customHeight="1" x14ac:dyDescent="0.2">
      <c r="L1" s="119"/>
    </row>
    <row r="2" spans="2:34" ht="17.25" customHeight="1" x14ac:dyDescent="0.2">
      <c r="C2" s="152" t="s">
        <v>184</v>
      </c>
      <c r="G2" s="278">
        <f ca="1">G6/D6</f>
        <v>0.91965788115549962</v>
      </c>
      <c r="H2" s="141"/>
      <c r="I2" s="199"/>
      <c r="J2" s="119"/>
      <c r="K2" s="119"/>
    </row>
    <row r="3" spans="2:34" ht="9.75" customHeight="1" thickBot="1" x14ac:dyDescent="0.25"/>
    <row r="4" spans="2:34" ht="18" customHeight="1" thickBot="1" x14ac:dyDescent="0.25">
      <c r="C4" s="167" t="s">
        <v>185</v>
      </c>
      <c r="D4" s="169">
        <f ca="1">SUM(D8:D38)</f>
        <v>49647.109999999993</v>
      </c>
      <c r="E4" s="169"/>
      <c r="F4" s="169">
        <f ca="1">SUM(F8:F38)</f>
        <v>47755.11299999999</v>
      </c>
      <c r="G4" s="169">
        <f ca="1">SUM(G8:G38)</f>
        <v>45683.112999999998</v>
      </c>
      <c r="H4" s="169">
        <f t="shared" ref="H4:I4" ca="1" si="0">SUM(H8:H38)</f>
        <v>2525</v>
      </c>
      <c r="I4" s="169">
        <f t="shared" ca="1" si="0"/>
        <v>4472</v>
      </c>
      <c r="J4" s="169">
        <f>SUM(J8:J38)</f>
        <v>2072</v>
      </c>
      <c r="K4" s="169">
        <f ca="1">SUM(K8:K38)</f>
        <v>8593.25</v>
      </c>
      <c r="L4" s="146">
        <f ca="1">SUM(L8:L38)</f>
        <v>0</v>
      </c>
      <c r="M4" s="221">
        <f ca="1">IF(ISERROR(G4/D4),"",(G4/D4))</f>
        <v>0.92015654083389753</v>
      </c>
      <c r="N4" s="231">
        <f ca="1">IF(ISERROR((F4-J4+K4+L4)/D4),"",((F4-J4+K4+L4)/D4))</f>
        <v>1.0932431515147609</v>
      </c>
      <c r="O4" s="146">
        <f ca="1">SUM(O8:O38)</f>
        <v>68143.721966666664</v>
      </c>
      <c r="P4" s="197">
        <f t="shared" ref="P4:T4" ca="1" si="1">SUM(P8:P38)</f>
        <v>41.437421328074961</v>
      </c>
      <c r="Q4" s="146">
        <f ca="1">SUM(Q8:Q38)</f>
        <v>204432.16589999996</v>
      </c>
      <c r="R4" s="146">
        <f t="shared" ca="1" si="1"/>
        <v>124.31294868593456</v>
      </c>
      <c r="S4" s="146">
        <f t="shared" ca="1" si="1"/>
        <v>66.3931548272691</v>
      </c>
      <c r="T4" s="146">
        <f t="shared" ca="1" si="1"/>
        <v>2710.829481664764</v>
      </c>
      <c r="V4" s="147" t="s">
        <v>186</v>
      </c>
      <c r="X4" s="175">
        <v>54000</v>
      </c>
      <c r="Y4" s="6"/>
      <c r="Z4" s="6"/>
      <c r="AA4" s="175">
        <f>X4*0.965</f>
        <v>52110</v>
      </c>
      <c r="AB4" s="6"/>
      <c r="AC4" s="6"/>
      <c r="AD4" s="6"/>
      <c r="AE4" s="6"/>
      <c r="AF4" s="6"/>
      <c r="AG4" s="6"/>
      <c r="AH4" s="6"/>
    </row>
    <row r="5" spans="2:34" ht="18" customHeight="1" thickBot="1" x14ac:dyDescent="0.25">
      <c r="C5" s="168" t="s">
        <v>187</v>
      </c>
      <c r="D5" s="217">
        <f ca="1">IFERROR((AVERAGEIF(D8:D38,"&lt;&gt;0")),"")</f>
        <v>1654.9036666666664</v>
      </c>
      <c r="E5" s="217" t="str">
        <f t="shared" ref="E5:K5" si="2">IFERROR((AVERAGEIF(E8:E38,"&lt;&gt;0")),"")</f>
        <v/>
      </c>
      <c r="F5" s="217">
        <f t="shared" ca="1" si="2"/>
        <v>1591.8370999999997</v>
      </c>
      <c r="G5" s="217">
        <f t="shared" ref="G5" ca="1" si="3">IFERROR((AVERAGEIF(G8:G38,"&lt;&gt;0")),"")</f>
        <v>1522.7704333333334</v>
      </c>
      <c r="H5" s="217">
        <f t="shared" ca="1" si="2"/>
        <v>101</v>
      </c>
      <c r="I5" s="217">
        <f t="shared" ca="1" si="2"/>
        <v>154.20689655172413</v>
      </c>
      <c r="J5" s="217">
        <f t="shared" si="2"/>
        <v>69.066666666666663</v>
      </c>
      <c r="K5" s="217">
        <f t="shared" ca="1" si="2"/>
        <v>296.31896551724139</v>
      </c>
      <c r="L5" s="217" t="str">
        <f ca="1">IFERROR((AVERAGEIF(L8:L38,"&lt;&gt;0")),"")</f>
        <v/>
      </c>
      <c r="M5" s="220">
        <f ca="1">IF(ISERROR(G5/D5),"",(G5/D5))</f>
        <v>0.92015654083389764</v>
      </c>
      <c r="N5" s="231" t="str">
        <f ca="1">IF(ISERROR((F5-J5+K5+L5)/D5),"",((F5-J5+K5+L5)/D5))</f>
        <v/>
      </c>
      <c r="O5" s="217">
        <f t="shared" ref="O5:T5" ca="1" si="4">IFERROR((AVERAGEIF(O8:O38,"&lt;&gt;0")),"")</f>
        <v>2271.4573988888887</v>
      </c>
      <c r="P5" s="198">
        <f t="shared" ca="1" si="4"/>
        <v>1.3812473776024987</v>
      </c>
      <c r="Q5" s="217">
        <f t="shared" ca="1" si="4"/>
        <v>6814.4055299999991</v>
      </c>
      <c r="R5" s="198">
        <f t="shared" ca="1" si="4"/>
        <v>4.1437649561978187</v>
      </c>
      <c r="S5" s="198">
        <f t="shared" ca="1" si="4"/>
        <v>3.9054796957217119</v>
      </c>
      <c r="T5" s="217">
        <f t="shared" ca="1" si="4"/>
        <v>117.86215137672887</v>
      </c>
      <c r="V5" s="147" t="s">
        <v>188</v>
      </c>
      <c r="X5" s="149">
        <f>X4/$C$51</f>
        <v>1800</v>
      </c>
      <c r="AA5" s="149">
        <f>AA4/$C$51</f>
        <v>1737</v>
      </c>
      <c r="AD5" s="218">
        <f>AA4/X4</f>
        <v>0.96499999999999997</v>
      </c>
      <c r="AG5" s="218">
        <v>0.95499999999999996</v>
      </c>
    </row>
    <row r="6" spans="2:34" ht="15" customHeight="1" x14ac:dyDescent="0.2">
      <c r="D6" s="119">
        <f ca="1">D4+1061</f>
        <v>50708.109999999993</v>
      </c>
      <c r="E6" s="119"/>
      <c r="G6" s="119">
        <f ca="1">G4+951</f>
        <v>46634.112999999998</v>
      </c>
      <c r="R6" s="199"/>
      <c r="S6" s="199"/>
    </row>
    <row r="7" spans="2:34" s="120" customFormat="1" ht="49.5" customHeight="1" x14ac:dyDescent="0.2">
      <c r="B7" s="122" t="s">
        <v>209</v>
      </c>
      <c r="C7" s="122" t="s">
        <v>189</v>
      </c>
      <c r="D7" s="122" t="s">
        <v>1421</v>
      </c>
      <c r="E7" s="122" t="s">
        <v>191</v>
      </c>
      <c r="F7" s="122" t="s">
        <v>192</v>
      </c>
      <c r="G7" s="122" t="s">
        <v>1422</v>
      </c>
      <c r="H7" s="122" t="s">
        <v>193</v>
      </c>
      <c r="I7" s="122" t="s">
        <v>194</v>
      </c>
      <c r="J7" s="122" t="s">
        <v>195</v>
      </c>
      <c r="K7" s="122" t="s">
        <v>1423</v>
      </c>
      <c r="L7" s="122" t="s">
        <v>203</v>
      </c>
      <c r="M7" s="144" t="s">
        <v>1424</v>
      </c>
      <c r="N7" s="144" t="s">
        <v>1425</v>
      </c>
      <c r="O7" s="122" t="s">
        <v>1426</v>
      </c>
      <c r="P7" s="122" t="s">
        <v>197</v>
      </c>
      <c r="Q7" s="122" t="s">
        <v>198</v>
      </c>
      <c r="R7" s="122" t="s">
        <v>199</v>
      </c>
      <c r="S7" s="122" t="s">
        <v>200</v>
      </c>
      <c r="T7" s="122" t="s">
        <v>201</v>
      </c>
      <c r="V7" s="122" t="s">
        <v>189</v>
      </c>
      <c r="W7" s="122" t="s">
        <v>190</v>
      </c>
      <c r="X7" s="122" t="s">
        <v>204</v>
      </c>
      <c r="Y7" s="126" t="s">
        <v>205</v>
      </c>
      <c r="Z7" s="122" t="s">
        <v>206</v>
      </c>
      <c r="AA7" s="122" t="s">
        <v>204</v>
      </c>
      <c r="AB7" s="126" t="s">
        <v>205</v>
      </c>
      <c r="AC7" s="122" t="s">
        <v>1427</v>
      </c>
      <c r="AD7" s="122" t="s">
        <v>204</v>
      </c>
      <c r="AE7" s="126" t="s">
        <v>205</v>
      </c>
      <c r="AF7" s="122" t="s">
        <v>1428</v>
      </c>
      <c r="AG7" s="122" t="s">
        <v>204</v>
      </c>
      <c r="AH7" s="126" t="s">
        <v>205</v>
      </c>
    </row>
    <row r="8" spans="2:34" x14ac:dyDescent="0.2">
      <c r="B8" s="117" t="s">
        <v>227</v>
      </c>
      <c r="C8" s="117">
        <v>1</v>
      </c>
      <c r="D8" s="121">
        <f ca="1">IF(ISERROR(INDIRECT("'"&amp;C8&amp;"'!H19")),"",(INDIRECT("'"&amp;C8&amp;"'!H19")))</f>
        <v>1620.22</v>
      </c>
      <c r="E8" s="121"/>
      <c r="F8" s="121">
        <f ca="1">IF(ISERROR(INDIRECT("'"&amp;C8&amp;"'!K41")),"",(INDIRECT("'"&amp;C8&amp;"'!K41")))</f>
        <v>1656.79</v>
      </c>
      <c r="G8" s="121">
        <f ca="1">IF(ISERROR(F8-J8),"",(F8-J8))</f>
        <v>1615.79</v>
      </c>
      <c r="H8" s="121">
        <f t="shared" ref="H8:H35" ca="1" si="5">IF(ISERROR(INDIRECT("'"&amp;C8&amp;"'!K38")),"",(INDIRECT("'"&amp;C8&amp;"'!K38")))</f>
        <v>30</v>
      </c>
      <c r="I8" s="121">
        <f ca="1">IF(ISERROR(INDIRECT("'"&amp;C8&amp;"'!K39")),"",(INDIRECT("'"&amp;C8&amp;"'!K39")))</f>
        <v>75</v>
      </c>
      <c r="J8" s="121">
        <v>41</v>
      </c>
      <c r="K8" s="121">
        <f ca="1">IF(ISERROR(INDIRECT("'"&amp;C8&amp;"'!D54")),"",(INDIRECT("'"&amp;C8&amp;"'!D54")))</f>
        <v>339.75</v>
      </c>
      <c r="L8" s="121">
        <f t="shared" ref="L8:L38" ca="1" si="6">IF(ISERROR(INDIRECT("'"&amp;C8&amp;"'!J11")),"",(INDIRECT("'"&amp;C8&amp;"'!J11")))</f>
        <v>0</v>
      </c>
      <c r="M8" s="219">
        <f t="shared" ref="M8:M38" ca="1" si="7">IF(ISERROR((G8)/D8),"",(G8/D8))</f>
        <v>0.99726580340941351</v>
      </c>
      <c r="N8" s="219">
        <f ca="1">IF(ISERROR((F8-J8+L8+747-K8)/D8),"",((F8-J8+L8+747-K8)/D8))</f>
        <v>1.2486205577020404</v>
      </c>
      <c r="O8" s="121">
        <f t="shared" ref="O8:O38" ca="1" si="8">IF(ISERROR(INDIRECT("'"&amp;C8&amp;"'!M58")),"",(INDIRECT("'"&amp;C8&amp;"'!M58")))</f>
        <v>2288.1236666666668</v>
      </c>
      <c r="P8" s="196">
        <f t="shared" ref="P8:P38" ca="1" si="9">IF(ISERROR(O8/D8),"",(O8/D8))</f>
        <v>1.4122302321083968</v>
      </c>
      <c r="Q8" s="121">
        <f t="shared" ref="Q8:Q38" ca="1" si="10">IF(ISERROR(INDIRECT("'"&amp;C8&amp;"'!L58")),"",(INDIRECT("'"&amp;C8&amp;"'!L58")))</f>
        <v>6864.3710000000001</v>
      </c>
      <c r="R8" s="196">
        <f t="shared" ref="R8:R38" ca="1" si="11">IF(ISERROR(Q8/D8),"",(Q8/D8))</f>
        <v>4.2366906963251907</v>
      </c>
      <c r="S8" s="196">
        <f t="shared" ref="S8:S38" ca="1" si="12">IF(ISERROR(INDIRECT("'"&amp;C8&amp;"'!H59")),"",(INDIRECT("'"&amp;C8&amp;"'!H59")))</f>
        <v>0</v>
      </c>
      <c r="T8" s="121">
        <f t="shared" ref="T8:T38" ca="1" si="13">IF(ISERROR(INDIRECT("'"&amp;C8&amp;"'!C59")),"",(INDIRECT("'"&amp;C8&amp;"'!C59")))</f>
        <v>120.80458209378973</v>
      </c>
      <c r="V8" s="117">
        <v>1</v>
      </c>
      <c r="W8" s="121">
        <f t="shared" ref="W8:W38" ca="1" si="14">D8</f>
        <v>1620.22</v>
      </c>
      <c r="X8" s="125">
        <f>$X$5</f>
        <v>1800</v>
      </c>
      <c r="Y8" s="132">
        <f ca="1">IF(W8&lt;X8,W8,"")</f>
        <v>1620.22</v>
      </c>
      <c r="Z8" s="125">
        <f ca="1">G8</f>
        <v>1615.79</v>
      </c>
      <c r="AA8" s="125">
        <f>$AA$5</f>
        <v>1737</v>
      </c>
      <c r="AB8" s="132">
        <f ca="1">IF(Z8&lt;AA8,Z8,"")</f>
        <v>1615.79</v>
      </c>
      <c r="AC8" s="142">
        <f t="shared" ref="AC8:AC38" ca="1" si="15">N8</f>
        <v>1.2486205577020404</v>
      </c>
      <c r="AD8" s="191">
        <f>$AD$5</f>
        <v>0.96499999999999997</v>
      </c>
      <c r="AE8" s="191" t="str">
        <f ca="1">IF(AC8&gt;AD8,"",AC8)</f>
        <v/>
      </c>
      <c r="AF8" s="142">
        <f ca="1">M8</f>
        <v>0.99726580340941351</v>
      </c>
      <c r="AG8" s="191">
        <f>$AG$5</f>
        <v>0.95499999999999996</v>
      </c>
      <c r="AH8" s="191" t="str">
        <f ca="1">IF(AF8&gt;AG8,"",AF8)</f>
        <v/>
      </c>
    </row>
    <row r="9" spans="2:34" x14ac:dyDescent="0.2">
      <c r="B9" s="117" t="s">
        <v>1429</v>
      </c>
      <c r="C9" s="117">
        <v>2</v>
      </c>
      <c r="D9" s="121">
        <f t="shared" ref="D9:D38" ca="1" si="16">IF(ISERROR(INDIRECT("'"&amp;C9&amp;"'!H19")),"",(INDIRECT("'"&amp;C9&amp;"'!H19")))</f>
        <v>1460.49</v>
      </c>
      <c r="E9" s="121"/>
      <c r="F9" s="121">
        <f t="shared" ref="F9:F38" ca="1" si="17">IF(ISERROR(INDIRECT("'"&amp;C9&amp;"'!K41")),"",(INDIRECT("'"&amp;C9&amp;"'!K41")))</f>
        <v>1723.92</v>
      </c>
      <c r="G9" s="121">
        <f t="shared" ref="G9:G38" ca="1" si="18">IF(ISERROR(F9-J9),"",(F9-J9))</f>
        <v>1670.92</v>
      </c>
      <c r="H9" s="121">
        <f t="shared" ca="1" si="5"/>
        <v>120</v>
      </c>
      <c r="I9" s="121">
        <f t="shared" ref="I9:I38" ca="1" si="19">IF(ISERROR(INDIRECT("'"&amp;C9&amp;"'!K39")),"",(INDIRECT("'"&amp;C9&amp;"'!K39")))</f>
        <v>105</v>
      </c>
      <c r="J9" s="121">
        <v>53</v>
      </c>
      <c r="K9" s="121">
        <f t="shared" ref="K9:K37" ca="1" si="20">IF(ISERROR(INDIRECT("'"&amp;C9&amp;"'!D54")),"",(INDIRECT("'"&amp;C9&amp;"'!D54")))</f>
        <v>358</v>
      </c>
      <c r="L9" s="121">
        <f t="shared" ca="1" si="6"/>
        <v>0</v>
      </c>
      <c r="M9" s="219">
        <f t="shared" ca="1" si="7"/>
        <v>1.1440817807722066</v>
      </c>
      <c r="N9" s="219">
        <f t="shared" ref="N9:N38" ca="1" si="21">IF(ISERROR((F9-J9+L9+(K9-K8))/D9),"",((F9-J9+L9+(K9-K8))/D9))</f>
        <v>1.1565775869742347</v>
      </c>
      <c r="O9" s="121">
        <f t="shared" ca="1" si="8"/>
        <v>2239</v>
      </c>
      <c r="P9" s="196">
        <f t="shared" ca="1" si="9"/>
        <v>1.5330471280186786</v>
      </c>
      <c r="Q9" s="121">
        <f t="shared" ca="1" si="10"/>
        <v>6718</v>
      </c>
      <c r="R9" s="196">
        <f t="shared" ca="1" si="11"/>
        <v>4.599826085765736</v>
      </c>
      <c r="S9" s="196">
        <f t="shared" ca="1" si="12"/>
        <v>0</v>
      </c>
      <c r="T9" s="121">
        <f t="shared" ca="1" si="13"/>
        <v>133.564762511212</v>
      </c>
      <c r="V9" s="117">
        <v>2</v>
      </c>
      <c r="W9" s="121">
        <f t="shared" ca="1" si="14"/>
        <v>1460.49</v>
      </c>
      <c r="X9" s="125">
        <f t="shared" ref="X9:X38" si="22">$X$5</f>
        <v>1800</v>
      </c>
      <c r="Y9" s="132">
        <f t="shared" ref="Y9:Y38" ca="1" si="23">IF(W9&lt;X9,W9,"")</f>
        <v>1460.49</v>
      </c>
      <c r="Z9" s="125">
        <f t="shared" ref="Z9:Z38" ca="1" si="24">G9</f>
        <v>1670.92</v>
      </c>
      <c r="AA9" s="125">
        <f t="shared" ref="AA9:AA38" si="25">$AA$5</f>
        <v>1737</v>
      </c>
      <c r="AB9" s="132">
        <f t="shared" ref="AB9:AB38" ca="1" si="26">IF(Z9&lt;AA9,Z9,"")</f>
        <v>1670.92</v>
      </c>
      <c r="AC9" s="142">
        <f t="shared" ca="1" si="15"/>
        <v>1.1565775869742347</v>
      </c>
      <c r="AD9" s="191">
        <f t="shared" ref="AD9:AD38" si="27">$AD$5</f>
        <v>0.96499999999999997</v>
      </c>
      <c r="AE9" s="191" t="str">
        <f t="shared" ref="AE9:AE38" ca="1" si="28">IF(AC9&gt;AD9,"",AC9)</f>
        <v/>
      </c>
      <c r="AF9" s="142">
        <f t="shared" ref="AF9:AF38" ca="1" si="29">M9</f>
        <v>1.1440817807722066</v>
      </c>
      <c r="AG9" s="191">
        <f t="shared" ref="AG9:AG38" si="30">$AG$5</f>
        <v>0.95499999999999996</v>
      </c>
      <c r="AH9" s="191" t="str">
        <f t="shared" ref="AH9:AH38" ca="1" si="31">IF(AF9&gt;AG9,"",AF9)</f>
        <v/>
      </c>
    </row>
    <row r="10" spans="2:34" x14ac:dyDescent="0.2">
      <c r="B10" s="117" t="s">
        <v>1429</v>
      </c>
      <c r="C10" s="117">
        <v>3</v>
      </c>
      <c r="D10" s="121">
        <f t="shared" ca="1" si="16"/>
        <v>1700.82</v>
      </c>
      <c r="E10" s="121"/>
      <c r="F10" s="121">
        <f t="shared" ca="1" si="17"/>
        <v>1412.96</v>
      </c>
      <c r="G10" s="121">
        <f t="shared" ca="1" si="18"/>
        <v>1372.96</v>
      </c>
      <c r="H10" s="121">
        <f t="shared" ca="1" si="5"/>
        <v>120</v>
      </c>
      <c r="I10" s="121">
        <f t="shared" ca="1" si="19"/>
        <v>60</v>
      </c>
      <c r="J10" s="121">
        <v>40</v>
      </c>
      <c r="K10" s="121">
        <f t="shared" ca="1" si="20"/>
        <v>378.25</v>
      </c>
      <c r="L10" s="121">
        <f t="shared" ca="1" si="6"/>
        <v>0</v>
      </c>
      <c r="M10" s="219">
        <f t="shared" ca="1" si="7"/>
        <v>0.80723415764160822</v>
      </c>
      <c r="N10" s="219">
        <f t="shared" ca="1" si="21"/>
        <v>0.819140179442857</v>
      </c>
      <c r="O10" s="121">
        <f t="shared" ca="1" si="8"/>
        <v>2205.3966666666665</v>
      </c>
      <c r="P10" s="196">
        <f t="shared" ca="1" si="9"/>
        <v>1.2966667058634462</v>
      </c>
      <c r="Q10" s="121">
        <f t="shared" ca="1" si="10"/>
        <v>6616.19</v>
      </c>
      <c r="R10" s="196">
        <f t="shared" ca="1" si="11"/>
        <v>3.8900001175903385</v>
      </c>
      <c r="S10" s="196">
        <f t="shared" ca="1" si="12"/>
        <v>3.6941004927035195</v>
      </c>
      <c r="T10" s="121">
        <f t="shared" ca="1" si="13"/>
        <v>112.88672522665539</v>
      </c>
      <c r="V10" s="117">
        <v>3</v>
      </c>
      <c r="W10" s="121">
        <f t="shared" ca="1" si="14"/>
        <v>1700.82</v>
      </c>
      <c r="X10" s="125">
        <f t="shared" si="22"/>
        <v>1800</v>
      </c>
      <c r="Y10" s="132">
        <f t="shared" ca="1" si="23"/>
        <v>1700.82</v>
      </c>
      <c r="Z10" s="125">
        <f t="shared" ca="1" si="24"/>
        <v>1372.96</v>
      </c>
      <c r="AA10" s="125">
        <f t="shared" si="25"/>
        <v>1737</v>
      </c>
      <c r="AB10" s="132">
        <f t="shared" ca="1" si="26"/>
        <v>1372.96</v>
      </c>
      <c r="AC10" s="142">
        <f t="shared" ca="1" si="15"/>
        <v>0.819140179442857</v>
      </c>
      <c r="AD10" s="191">
        <f t="shared" si="27"/>
        <v>0.96499999999999997</v>
      </c>
      <c r="AE10" s="191">
        <f t="shared" ca="1" si="28"/>
        <v>0.819140179442857</v>
      </c>
      <c r="AF10" s="142">
        <f t="shared" ca="1" si="29"/>
        <v>0.80723415764160822</v>
      </c>
      <c r="AG10" s="191">
        <f t="shared" si="30"/>
        <v>0.95499999999999996</v>
      </c>
      <c r="AH10" s="191">
        <f t="shared" ca="1" si="31"/>
        <v>0.80723415764160822</v>
      </c>
    </row>
    <row r="11" spans="2:34" x14ac:dyDescent="0.2">
      <c r="B11" s="117" t="s">
        <v>1429</v>
      </c>
      <c r="C11" s="117">
        <v>4</v>
      </c>
      <c r="D11" s="121">
        <f t="shared" ca="1" si="16"/>
        <v>1640.6</v>
      </c>
      <c r="E11" s="121"/>
      <c r="F11" s="121">
        <f t="shared" ca="1" si="17"/>
        <v>1812.09</v>
      </c>
      <c r="G11" s="121">
        <f t="shared" ca="1" si="18"/>
        <v>1734.09</v>
      </c>
      <c r="H11" s="121">
        <f t="shared" ca="1" si="5"/>
        <v>120</v>
      </c>
      <c r="I11" s="121">
        <f t="shared" ca="1" si="19"/>
        <v>135</v>
      </c>
      <c r="J11" s="121">
        <v>78</v>
      </c>
      <c r="K11" s="121">
        <f t="shared" ca="1" si="20"/>
        <v>0</v>
      </c>
      <c r="L11" s="121">
        <f t="shared" ca="1" si="6"/>
        <v>0</v>
      </c>
      <c r="M11" s="219">
        <f t="shared" ca="1" si="7"/>
        <v>1.056985249299037</v>
      </c>
      <c r="N11" s="219">
        <f t="shared" ca="1" si="21"/>
        <v>0.82642935511398263</v>
      </c>
      <c r="O11" s="121">
        <f t="shared" ca="1" si="8"/>
        <v>2231.2166666666667</v>
      </c>
      <c r="P11" s="196">
        <f t="shared" ca="1" si="9"/>
        <v>1.3600004063553985</v>
      </c>
      <c r="Q11" s="121">
        <f t="shared" ca="1" si="10"/>
        <v>6693.65</v>
      </c>
      <c r="R11" s="196">
        <f t="shared" ca="1" si="11"/>
        <v>4.0800012190661956</v>
      </c>
      <c r="S11" s="196">
        <f t="shared" ca="1" si="12"/>
        <v>0</v>
      </c>
      <c r="T11" s="121">
        <f t="shared" ca="1" si="13"/>
        <v>0</v>
      </c>
      <c r="V11" s="117">
        <v>4</v>
      </c>
      <c r="W11" s="121">
        <f t="shared" ca="1" si="14"/>
        <v>1640.6</v>
      </c>
      <c r="X11" s="125">
        <f t="shared" si="22"/>
        <v>1800</v>
      </c>
      <c r="Y11" s="132">
        <f t="shared" ca="1" si="23"/>
        <v>1640.6</v>
      </c>
      <c r="Z11" s="125">
        <f t="shared" ca="1" si="24"/>
        <v>1734.09</v>
      </c>
      <c r="AA11" s="125">
        <f t="shared" si="25"/>
        <v>1737</v>
      </c>
      <c r="AB11" s="132">
        <f t="shared" ca="1" si="26"/>
        <v>1734.09</v>
      </c>
      <c r="AC11" s="142">
        <f t="shared" ca="1" si="15"/>
        <v>0.82642935511398263</v>
      </c>
      <c r="AD11" s="191">
        <f t="shared" si="27"/>
        <v>0.96499999999999997</v>
      </c>
      <c r="AE11" s="191">
        <f t="shared" ca="1" si="28"/>
        <v>0.82642935511398263</v>
      </c>
      <c r="AF11" s="142">
        <f t="shared" ca="1" si="29"/>
        <v>1.056985249299037</v>
      </c>
      <c r="AG11" s="191">
        <f t="shared" si="30"/>
        <v>0.95499999999999996</v>
      </c>
      <c r="AH11" s="191" t="str">
        <f t="shared" ca="1" si="31"/>
        <v/>
      </c>
    </row>
    <row r="12" spans="2:34" x14ac:dyDescent="0.2">
      <c r="B12" s="117" t="s">
        <v>1429</v>
      </c>
      <c r="C12" s="117">
        <v>5</v>
      </c>
      <c r="D12" s="121">
        <f t="shared" ca="1" si="16"/>
        <v>1750</v>
      </c>
      <c r="E12" s="121"/>
      <c r="F12" s="121">
        <f t="shared" ca="1" si="17"/>
        <v>1608.87</v>
      </c>
      <c r="G12" s="121">
        <f t="shared" ca="1" si="18"/>
        <v>1567.87</v>
      </c>
      <c r="H12" s="121">
        <f t="shared" ca="1" si="5"/>
        <v>30</v>
      </c>
      <c r="I12" s="121">
        <f t="shared" ca="1" si="19"/>
        <v>90</v>
      </c>
      <c r="J12" s="121">
        <v>41</v>
      </c>
      <c r="K12" s="121">
        <f t="shared" ca="1" si="20"/>
        <v>313</v>
      </c>
      <c r="L12" s="121">
        <f t="shared" ca="1" si="6"/>
        <v>0</v>
      </c>
      <c r="M12" s="219">
        <f t="shared" ca="1" si="7"/>
        <v>0.89592571428571421</v>
      </c>
      <c r="N12" s="219">
        <f t="shared" ca="1" si="21"/>
        <v>1.074782857142857</v>
      </c>
      <c r="O12" s="121">
        <f t="shared" ca="1" si="8"/>
        <v>2257.5</v>
      </c>
      <c r="P12" s="196">
        <f t="shared" ca="1" si="9"/>
        <v>1.29</v>
      </c>
      <c r="Q12" s="121">
        <f t="shared" ca="1" si="10"/>
        <v>6772.5</v>
      </c>
      <c r="R12" s="196">
        <f t="shared" ca="1" si="11"/>
        <v>3.87</v>
      </c>
      <c r="S12" s="196">
        <f t="shared" ca="1" si="12"/>
        <v>3.9097142857142857</v>
      </c>
      <c r="T12" s="121">
        <f t="shared" ca="1" si="13"/>
        <v>110.24</v>
      </c>
      <c r="V12" s="117">
        <v>5</v>
      </c>
      <c r="W12" s="121">
        <f t="shared" ca="1" si="14"/>
        <v>1750</v>
      </c>
      <c r="X12" s="125">
        <f t="shared" si="22"/>
        <v>1800</v>
      </c>
      <c r="Y12" s="132">
        <f t="shared" ca="1" si="23"/>
        <v>1750</v>
      </c>
      <c r="Z12" s="125">
        <f t="shared" ca="1" si="24"/>
        <v>1567.87</v>
      </c>
      <c r="AA12" s="125">
        <f t="shared" si="25"/>
        <v>1737</v>
      </c>
      <c r="AB12" s="132">
        <f t="shared" ca="1" si="26"/>
        <v>1567.87</v>
      </c>
      <c r="AC12" s="142">
        <f t="shared" ca="1" si="15"/>
        <v>1.074782857142857</v>
      </c>
      <c r="AD12" s="191">
        <f t="shared" si="27"/>
        <v>0.96499999999999997</v>
      </c>
      <c r="AE12" s="191" t="str">
        <f t="shared" ca="1" si="28"/>
        <v/>
      </c>
      <c r="AF12" s="142">
        <f t="shared" ca="1" si="29"/>
        <v>0.89592571428571421</v>
      </c>
      <c r="AG12" s="191">
        <f t="shared" si="30"/>
        <v>0.95499999999999996</v>
      </c>
      <c r="AH12" s="191">
        <f t="shared" ca="1" si="31"/>
        <v>0.89592571428571421</v>
      </c>
    </row>
    <row r="13" spans="2:34" x14ac:dyDescent="0.2">
      <c r="B13" s="117" t="s">
        <v>1429</v>
      </c>
      <c r="C13" s="117">
        <v>6</v>
      </c>
      <c r="D13" s="121">
        <f t="shared" ca="1" si="16"/>
        <v>1480.49</v>
      </c>
      <c r="E13" s="121"/>
      <c r="F13" s="121">
        <f t="shared" ca="1" si="17"/>
        <v>1693.76</v>
      </c>
      <c r="G13" s="121">
        <f t="shared" ca="1" si="18"/>
        <v>1578.76</v>
      </c>
      <c r="H13" s="121">
        <f t="shared" ca="1" si="5"/>
        <v>30</v>
      </c>
      <c r="I13" s="121">
        <f t="shared" ca="1" si="19"/>
        <v>180</v>
      </c>
      <c r="J13" s="121">
        <v>115</v>
      </c>
      <c r="K13" s="121">
        <f t="shared" ca="1" si="20"/>
        <v>367.5</v>
      </c>
      <c r="L13" s="121">
        <f t="shared" ca="1" si="6"/>
        <v>0</v>
      </c>
      <c r="M13" s="219">
        <f t="shared" ca="1" si="7"/>
        <v>1.0663766725881296</v>
      </c>
      <c r="N13" s="219">
        <f t="shared" ca="1" si="21"/>
        <v>1.1031888091104971</v>
      </c>
      <c r="O13" s="121">
        <f t="shared" ca="1" si="8"/>
        <v>2245.41</v>
      </c>
      <c r="P13" s="196">
        <f t="shared" ca="1" si="9"/>
        <v>1.5166667792420077</v>
      </c>
      <c r="Q13" s="121">
        <f t="shared" ca="1" si="10"/>
        <v>6736.23</v>
      </c>
      <c r="R13" s="196">
        <f t="shared" ca="1" si="11"/>
        <v>4.550000337726023</v>
      </c>
      <c r="S13" s="196">
        <f t="shared" ca="1" si="12"/>
        <v>4.2458915629284899</v>
      </c>
      <c r="T13" s="121">
        <f t="shared" ca="1" si="13"/>
        <v>129.68679288613905</v>
      </c>
      <c r="V13" s="117">
        <v>6</v>
      </c>
      <c r="W13" s="121">
        <f t="shared" ca="1" si="14"/>
        <v>1480.49</v>
      </c>
      <c r="X13" s="125">
        <f t="shared" si="22"/>
        <v>1800</v>
      </c>
      <c r="Y13" s="132">
        <f t="shared" ca="1" si="23"/>
        <v>1480.49</v>
      </c>
      <c r="Z13" s="125">
        <f t="shared" ca="1" si="24"/>
        <v>1578.76</v>
      </c>
      <c r="AA13" s="125">
        <f t="shared" si="25"/>
        <v>1737</v>
      </c>
      <c r="AB13" s="132">
        <f t="shared" ca="1" si="26"/>
        <v>1578.76</v>
      </c>
      <c r="AC13" s="142">
        <f t="shared" ca="1" si="15"/>
        <v>1.1031888091104971</v>
      </c>
      <c r="AD13" s="191">
        <f t="shared" si="27"/>
        <v>0.96499999999999997</v>
      </c>
      <c r="AE13" s="191" t="str">
        <f t="shared" ca="1" si="28"/>
        <v/>
      </c>
      <c r="AF13" s="142">
        <f t="shared" ca="1" si="29"/>
        <v>1.0663766725881296</v>
      </c>
      <c r="AG13" s="191">
        <f t="shared" si="30"/>
        <v>0.95499999999999996</v>
      </c>
      <c r="AH13" s="191" t="str">
        <f t="shared" ca="1" si="31"/>
        <v/>
      </c>
    </row>
    <row r="14" spans="2:34" x14ac:dyDescent="0.2">
      <c r="B14" s="117" t="s">
        <v>1429</v>
      </c>
      <c r="C14" s="117">
        <v>7</v>
      </c>
      <c r="D14" s="121">
        <f t="shared" ca="1" si="16"/>
        <v>1700.8200000000002</v>
      </c>
      <c r="E14" s="121"/>
      <c r="F14" s="121">
        <f t="shared" ca="1" si="17"/>
        <v>1343.24</v>
      </c>
      <c r="G14" s="121">
        <f t="shared" ca="1" si="18"/>
        <v>1279.24</v>
      </c>
      <c r="H14" s="121">
        <f t="shared" ca="1" si="5"/>
        <v>0</v>
      </c>
      <c r="I14" s="121">
        <f t="shared" ca="1" si="19"/>
        <v>0</v>
      </c>
      <c r="J14" s="121">
        <v>64</v>
      </c>
      <c r="K14" s="121">
        <f t="shared" ca="1" si="20"/>
        <v>458</v>
      </c>
      <c r="L14" s="121">
        <f t="shared" ca="1" si="6"/>
        <v>0</v>
      </c>
      <c r="M14" s="219">
        <f t="shared" ca="1" si="7"/>
        <v>0.75213132489034695</v>
      </c>
      <c r="N14" s="219">
        <f t="shared" ca="1" si="21"/>
        <v>0.80534095318728605</v>
      </c>
      <c r="O14" s="121">
        <f t="shared" ca="1" si="8"/>
        <v>2664.6180000000004</v>
      </c>
      <c r="P14" s="196">
        <f t="shared" ca="1" si="9"/>
        <v>1.5666666666666667</v>
      </c>
      <c r="Q14" s="121">
        <f t="shared" ca="1" si="10"/>
        <v>7993.8540000000012</v>
      </c>
      <c r="R14" s="196">
        <f t="shared" ca="1" si="11"/>
        <v>4.7</v>
      </c>
      <c r="S14" s="196">
        <f t="shared" ca="1" si="12"/>
        <v>3.9275173151773846</v>
      </c>
      <c r="T14" s="121">
        <f t="shared" ca="1" si="13"/>
        <v>115.07390552792181</v>
      </c>
      <c r="V14" s="117">
        <v>7</v>
      </c>
      <c r="W14" s="121">
        <f t="shared" ca="1" si="14"/>
        <v>1700.8200000000002</v>
      </c>
      <c r="X14" s="125">
        <f t="shared" si="22"/>
        <v>1800</v>
      </c>
      <c r="Y14" s="132">
        <f t="shared" ca="1" si="23"/>
        <v>1700.8200000000002</v>
      </c>
      <c r="Z14" s="125">
        <f t="shared" ca="1" si="24"/>
        <v>1279.24</v>
      </c>
      <c r="AA14" s="125">
        <f t="shared" si="25"/>
        <v>1737</v>
      </c>
      <c r="AB14" s="132">
        <f t="shared" ca="1" si="26"/>
        <v>1279.24</v>
      </c>
      <c r="AC14" s="142">
        <f t="shared" ca="1" si="15"/>
        <v>0.80534095318728605</v>
      </c>
      <c r="AD14" s="191">
        <f t="shared" si="27"/>
        <v>0.96499999999999997</v>
      </c>
      <c r="AE14" s="191">
        <f t="shared" ca="1" si="28"/>
        <v>0.80534095318728605</v>
      </c>
      <c r="AF14" s="142">
        <f t="shared" ca="1" si="29"/>
        <v>0.75213132489034695</v>
      </c>
      <c r="AG14" s="191">
        <f t="shared" si="30"/>
        <v>0.95499999999999996</v>
      </c>
      <c r="AH14" s="191">
        <f t="shared" ca="1" si="31"/>
        <v>0.75213132489034695</v>
      </c>
    </row>
    <row r="15" spans="2:34" x14ac:dyDescent="0.2">
      <c r="B15" s="117" t="s">
        <v>1429</v>
      </c>
      <c r="C15" s="117">
        <v>8</v>
      </c>
      <c r="D15" s="121">
        <f t="shared" ca="1" si="16"/>
        <v>1130.33</v>
      </c>
      <c r="E15" s="121"/>
      <c r="F15" s="121">
        <f t="shared" ca="1" si="17"/>
        <v>1159.7</v>
      </c>
      <c r="G15" s="121">
        <f t="shared" ca="1" si="18"/>
        <v>1085.7</v>
      </c>
      <c r="H15" s="121">
        <f t="shared" ca="1" si="5"/>
        <v>0</v>
      </c>
      <c r="I15" s="121">
        <f t="shared" ca="1" si="19"/>
        <v>120</v>
      </c>
      <c r="J15" s="121">
        <v>74</v>
      </c>
      <c r="K15" s="121">
        <f t="shared" ca="1" si="20"/>
        <v>344.5</v>
      </c>
      <c r="L15" s="121">
        <f t="shared" ca="1" si="6"/>
        <v>0</v>
      </c>
      <c r="M15" s="219">
        <f t="shared" ca="1" si="7"/>
        <v>0.96051595551741542</v>
      </c>
      <c r="N15" s="219">
        <f t="shared" ca="1" si="21"/>
        <v>0.8601028018366319</v>
      </c>
      <c r="O15" s="121">
        <f t="shared" ca="1" si="8"/>
        <v>2140.0914666666663</v>
      </c>
      <c r="P15" s="196">
        <f t="shared" ca="1" si="9"/>
        <v>1.8933333333333331</v>
      </c>
      <c r="Q15" s="121">
        <f t="shared" ca="1" si="10"/>
        <v>6420.2743999999993</v>
      </c>
      <c r="R15" s="196">
        <f t="shared" ca="1" si="11"/>
        <v>5.68</v>
      </c>
      <c r="S15" s="196">
        <f t="shared" ca="1" si="12"/>
        <v>0</v>
      </c>
      <c r="T15" s="121">
        <f t="shared" ca="1" si="13"/>
        <v>163.59824122159017</v>
      </c>
      <c r="V15" s="117">
        <v>8</v>
      </c>
      <c r="W15" s="121">
        <f t="shared" ca="1" si="14"/>
        <v>1130.33</v>
      </c>
      <c r="X15" s="125">
        <f t="shared" si="22"/>
        <v>1800</v>
      </c>
      <c r="Y15" s="132">
        <f t="shared" ca="1" si="23"/>
        <v>1130.33</v>
      </c>
      <c r="Z15" s="125">
        <f t="shared" ca="1" si="24"/>
        <v>1085.7</v>
      </c>
      <c r="AA15" s="125">
        <f t="shared" si="25"/>
        <v>1737</v>
      </c>
      <c r="AB15" s="132">
        <f t="shared" ca="1" si="26"/>
        <v>1085.7</v>
      </c>
      <c r="AC15" s="142">
        <f t="shared" ca="1" si="15"/>
        <v>0.8601028018366319</v>
      </c>
      <c r="AD15" s="191">
        <f t="shared" si="27"/>
        <v>0.96499999999999997</v>
      </c>
      <c r="AE15" s="191">
        <f t="shared" ca="1" si="28"/>
        <v>0.8601028018366319</v>
      </c>
      <c r="AF15" s="142">
        <f t="shared" ca="1" si="29"/>
        <v>0.96051595551741542</v>
      </c>
      <c r="AG15" s="191">
        <f t="shared" si="30"/>
        <v>0.95499999999999996</v>
      </c>
      <c r="AH15" s="191" t="str">
        <f t="shared" ca="1" si="31"/>
        <v/>
      </c>
    </row>
    <row r="16" spans="2:34" x14ac:dyDescent="0.2">
      <c r="B16" s="117" t="s">
        <v>1430</v>
      </c>
      <c r="C16" s="117">
        <v>9</v>
      </c>
      <c r="D16" s="121">
        <f t="shared" ca="1" si="16"/>
        <v>1660.5500000000002</v>
      </c>
      <c r="E16" s="121"/>
      <c r="F16" s="121">
        <f t="shared" ca="1" si="17"/>
        <v>1796.94</v>
      </c>
      <c r="G16" s="121">
        <f t="shared" ca="1" si="18"/>
        <v>1737.94</v>
      </c>
      <c r="H16" s="121">
        <f t="shared" ref="H16:H38" ca="1" si="32">IF(ISERROR(INDIRECT("'"&amp;C16&amp;"'!K38")),"",(INDIRECT("'"&amp;C16&amp;"'!K38")))</f>
        <v>5</v>
      </c>
      <c r="I16" s="121">
        <f t="shared" ca="1" si="19"/>
        <v>210</v>
      </c>
      <c r="J16" s="121">
        <v>59</v>
      </c>
      <c r="K16" s="121">
        <f t="shared" ca="1" si="20"/>
        <v>267.5</v>
      </c>
      <c r="L16" s="121">
        <f t="shared" ca="1" si="6"/>
        <v>0</v>
      </c>
      <c r="M16" s="219">
        <f t="shared" ca="1" si="7"/>
        <v>1.0466050404986298</v>
      </c>
      <c r="N16" s="219">
        <f t="shared" ca="1" si="21"/>
        <v>1.0002348619433319</v>
      </c>
      <c r="O16" s="121">
        <f t="shared" ca="1" si="8"/>
        <v>2363.5161666666668</v>
      </c>
      <c r="P16" s="196">
        <f t="shared" ca="1" si="9"/>
        <v>1.4233333333333333</v>
      </c>
      <c r="Q16" s="121">
        <f t="shared" ca="1" si="10"/>
        <v>7090.5484999999999</v>
      </c>
      <c r="R16" s="196">
        <f t="shared" ca="1" si="11"/>
        <v>4.2699999999999996</v>
      </c>
      <c r="S16" s="196">
        <f t="shared" ca="1" si="12"/>
        <v>0</v>
      </c>
      <c r="T16" s="121">
        <f t="shared" ca="1" si="13"/>
        <v>116.50959019601937</v>
      </c>
      <c r="V16" s="117">
        <v>9</v>
      </c>
      <c r="W16" s="121">
        <f t="shared" ca="1" si="14"/>
        <v>1660.5500000000002</v>
      </c>
      <c r="X16" s="125">
        <f t="shared" si="22"/>
        <v>1800</v>
      </c>
      <c r="Y16" s="132">
        <f t="shared" ca="1" si="23"/>
        <v>1660.5500000000002</v>
      </c>
      <c r="Z16" s="125">
        <f t="shared" ca="1" si="24"/>
        <v>1737.94</v>
      </c>
      <c r="AA16" s="125">
        <f t="shared" si="25"/>
        <v>1737</v>
      </c>
      <c r="AB16" s="132" t="str">
        <f t="shared" ca="1" si="26"/>
        <v/>
      </c>
      <c r="AC16" s="142">
        <f t="shared" ca="1" si="15"/>
        <v>1.0002348619433319</v>
      </c>
      <c r="AD16" s="191">
        <f t="shared" si="27"/>
        <v>0.96499999999999997</v>
      </c>
      <c r="AE16" s="191" t="str">
        <f t="shared" ca="1" si="28"/>
        <v/>
      </c>
      <c r="AF16" s="142">
        <f t="shared" ca="1" si="29"/>
        <v>1.0466050404986298</v>
      </c>
      <c r="AG16" s="191">
        <f t="shared" si="30"/>
        <v>0.95499999999999996</v>
      </c>
      <c r="AH16" s="191" t="str">
        <f t="shared" ca="1" si="31"/>
        <v/>
      </c>
    </row>
    <row r="17" spans="2:34" x14ac:dyDescent="0.2">
      <c r="B17" s="117" t="s">
        <v>1430</v>
      </c>
      <c r="C17" s="117">
        <v>10</v>
      </c>
      <c r="D17" s="121">
        <f t="shared" ca="1" si="16"/>
        <v>1760.49</v>
      </c>
      <c r="E17" s="121"/>
      <c r="F17" s="121">
        <f t="shared" ca="1" si="17"/>
        <v>1561.9099999999999</v>
      </c>
      <c r="G17" s="121">
        <f t="shared" ca="1" si="18"/>
        <v>1467.9099999999999</v>
      </c>
      <c r="H17" s="121">
        <f t="shared" ca="1" si="5"/>
        <v>120</v>
      </c>
      <c r="I17" s="121">
        <f t="shared" ca="1" si="19"/>
        <v>165</v>
      </c>
      <c r="J17" s="121">
        <v>94</v>
      </c>
      <c r="K17" s="121">
        <f t="shared" ca="1" si="20"/>
        <v>492.5</v>
      </c>
      <c r="L17" s="121">
        <f t="shared" ca="1" si="6"/>
        <v>0</v>
      </c>
      <c r="M17" s="219">
        <f t="shared" ca="1" si="7"/>
        <v>0.83380763310214756</v>
      </c>
      <c r="N17" s="219">
        <f t="shared" ca="1" si="21"/>
        <v>0.96161296002817387</v>
      </c>
      <c r="O17" s="121">
        <f t="shared" ca="1" si="8"/>
        <v>2271.0333333333333</v>
      </c>
      <c r="P17" s="196">
        <f t="shared" ca="1" si="9"/>
        <v>1.2900007005625327</v>
      </c>
      <c r="Q17" s="121">
        <f t="shared" ca="1" si="10"/>
        <v>6813.1</v>
      </c>
      <c r="R17" s="196">
        <f t="shared" ca="1" si="11"/>
        <v>3.8700021016875987</v>
      </c>
      <c r="S17" s="196">
        <f t="shared" ca="1" si="12"/>
        <v>3.6381916398275478</v>
      </c>
      <c r="T17" s="121">
        <f t="shared" ca="1" si="13"/>
        <v>108.24259155121585</v>
      </c>
      <c r="V17" s="117">
        <v>10</v>
      </c>
      <c r="W17" s="121">
        <f t="shared" ca="1" si="14"/>
        <v>1760.49</v>
      </c>
      <c r="X17" s="125">
        <f t="shared" si="22"/>
        <v>1800</v>
      </c>
      <c r="Y17" s="132">
        <f t="shared" ca="1" si="23"/>
        <v>1760.49</v>
      </c>
      <c r="Z17" s="125">
        <f t="shared" ca="1" si="24"/>
        <v>1467.9099999999999</v>
      </c>
      <c r="AA17" s="125">
        <f t="shared" si="25"/>
        <v>1737</v>
      </c>
      <c r="AB17" s="132">
        <f t="shared" ca="1" si="26"/>
        <v>1467.9099999999999</v>
      </c>
      <c r="AC17" s="142">
        <f t="shared" ca="1" si="15"/>
        <v>0.96161296002817387</v>
      </c>
      <c r="AD17" s="191">
        <f t="shared" si="27"/>
        <v>0.96499999999999997</v>
      </c>
      <c r="AE17" s="191">
        <f t="shared" ca="1" si="28"/>
        <v>0.96161296002817387</v>
      </c>
      <c r="AF17" s="142">
        <f t="shared" ca="1" si="29"/>
        <v>0.83380763310214756</v>
      </c>
      <c r="AG17" s="191">
        <f t="shared" si="30"/>
        <v>0.95499999999999996</v>
      </c>
      <c r="AH17" s="191">
        <f t="shared" ca="1" si="31"/>
        <v>0.83380763310214756</v>
      </c>
    </row>
    <row r="18" spans="2:34" x14ac:dyDescent="0.2">
      <c r="B18" s="117" t="s">
        <v>1430</v>
      </c>
      <c r="C18" s="117">
        <v>11</v>
      </c>
      <c r="D18" s="121">
        <f t="shared" ca="1" si="16"/>
        <v>1750.8200000000002</v>
      </c>
      <c r="E18" s="121"/>
      <c r="F18" s="121">
        <f t="shared" ca="1" si="17"/>
        <v>1734.5899999999997</v>
      </c>
      <c r="G18" s="121">
        <f t="shared" ca="1" si="18"/>
        <v>1636.5899999999997</v>
      </c>
      <c r="H18" s="121">
        <f t="shared" ca="1" si="5"/>
        <v>120</v>
      </c>
      <c r="I18" s="121">
        <f t="shared" ca="1" si="19"/>
        <v>210</v>
      </c>
      <c r="J18" s="121">
        <v>98</v>
      </c>
      <c r="K18" s="121">
        <f t="shared" ca="1" si="20"/>
        <v>284</v>
      </c>
      <c r="L18" s="121">
        <f t="shared" ca="1" si="6"/>
        <v>0</v>
      </c>
      <c r="M18" s="219">
        <f t="shared" ca="1" si="7"/>
        <v>0.93475628562616353</v>
      </c>
      <c r="N18" s="219">
        <f t="shared" ca="1" si="21"/>
        <v>0.81566922927542496</v>
      </c>
      <c r="O18" s="121">
        <f t="shared" ca="1" si="8"/>
        <v>2275.4</v>
      </c>
      <c r="P18" s="196">
        <f t="shared" ca="1" si="9"/>
        <v>1.2996196068128076</v>
      </c>
      <c r="Q18" s="121">
        <f t="shared" ca="1" si="10"/>
        <v>6826.2</v>
      </c>
      <c r="R18" s="196">
        <f t="shared" ca="1" si="11"/>
        <v>3.8988588204384227</v>
      </c>
      <c r="S18" s="196">
        <f t="shared" ca="1" si="12"/>
        <v>3.8033607109811398</v>
      </c>
      <c r="T18" s="121">
        <f t="shared" ca="1" si="13"/>
        <v>109.85709553237911</v>
      </c>
      <c r="V18" s="117">
        <v>11</v>
      </c>
      <c r="W18" s="121">
        <f t="shared" ca="1" si="14"/>
        <v>1750.8200000000002</v>
      </c>
      <c r="X18" s="125">
        <f t="shared" si="22"/>
        <v>1800</v>
      </c>
      <c r="Y18" s="132">
        <f t="shared" ca="1" si="23"/>
        <v>1750.8200000000002</v>
      </c>
      <c r="Z18" s="125">
        <f t="shared" ca="1" si="24"/>
        <v>1636.5899999999997</v>
      </c>
      <c r="AA18" s="125">
        <f t="shared" si="25"/>
        <v>1737</v>
      </c>
      <c r="AB18" s="132">
        <f t="shared" ca="1" si="26"/>
        <v>1636.5899999999997</v>
      </c>
      <c r="AC18" s="142">
        <f t="shared" ca="1" si="15"/>
        <v>0.81566922927542496</v>
      </c>
      <c r="AD18" s="191">
        <f t="shared" si="27"/>
        <v>0.96499999999999997</v>
      </c>
      <c r="AE18" s="191">
        <f t="shared" ca="1" si="28"/>
        <v>0.81566922927542496</v>
      </c>
      <c r="AF18" s="142">
        <f t="shared" ca="1" si="29"/>
        <v>0.93475628562616353</v>
      </c>
      <c r="AG18" s="191">
        <f t="shared" si="30"/>
        <v>0.95499999999999996</v>
      </c>
      <c r="AH18" s="191">
        <f t="shared" ca="1" si="31"/>
        <v>0.93475628562616353</v>
      </c>
    </row>
    <row r="19" spans="2:34" x14ac:dyDescent="0.2">
      <c r="B19" s="117" t="s">
        <v>1430</v>
      </c>
      <c r="C19" s="117">
        <v>12</v>
      </c>
      <c r="D19" s="121">
        <f t="shared" ca="1" si="16"/>
        <v>1620.6</v>
      </c>
      <c r="E19" s="121"/>
      <c r="F19" s="121">
        <f t="shared" ca="1" si="17"/>
        <v>1520.96</v>
      </c>
      <c r="G19" s="121">
        <f t="shared" ca="1" si="18"/>
        <v>1445.96</v>
      </c>
      <c r="H19" s="121">
        <f t="shared" ca="1" si="5"/>
        <v>60</v>
      </c>
      <c r="I19" s="121">
        <f t="shared" ca="1" si="19"/>
        <v>180</v>
      </c>
      <c r="J19" s="121">
        <v>75</v>
      </c>
      <c r="K19" s="121">
        <f t="shared" ca="1" si="20"/>
        <v>262</v>
      </c>
      <c r="L19" s="121">
        <f t="shared" ca="1" si="6"/>
        <v>0</v>
      </c>
      <c r="M19" s="219">
        <f t="shared" ca="1" si="7"/>
        <v>0.8922374429223745</v>
      </c>
      <c r="N19" s="219">
        <f t="shared" ca="1" si="21"/>
        <v>0.87866222386770343</v>
      </c>
      <c r="O19" s="121">
        <f t="shared" ca="1" si="8"/>
        <v>2333.3333333333335</v>
      </c>
      <c r="P19" s="196">
        <f t="shared" ca="1" si="9"/>
        <v>1.4397959603439057</v>
      </c>
      <c r="Q19" s="121">
        <f t="shared" ca="1" si="10"/>
        <v>7000</v>
      </c>
      <c r="R19" s="196">
        <f t="shared" ca="1" si="11"/>
        <v>4.3193878810317168</v>
      </c>
      <c r="S19" s="196">
        <f t="shared" ca="1" si="12"/>
        <v>3.8016783907194869</v>
      </c>
      <c r="T19" s="121">
        <f t="shared" ca="1" si="13"/>
        <v>117.87609527335556</v>
      </c>
      <c r="V19" s="117">
        <v>12</v>
      </c>
      <c r="W19" s="121">
        <f t="shared" ca="1" si="14"/>
        <v>1620.6</v>
      </c>
      <c r="X19" s="125">
        <f t="shared" si="22"/>
        <v>1800</v>
      </c>
      <c r="Y19" s="132">
        <f t="shared" ca="1" si="23"/>
        <v>1620.6</v>
      </c>
      <c r="Z19" s="125">
        <f t="shared" ca="1" si="24"/>
        <v>1445.96</v>
      </c>
      <c r="AA19" s="125">
        <f t="shared" si="25"/>
        <v>1737</v>
      </c>
      <c r="AB19" s="132">
        <f t="shared" ca="1" si="26"/>
        <v>1445.96</v>
      </c>
      <c r="AC19" s="142">
        <f t="shared" ca="1" si="15"/>
        <v>0.87866222386770343</v>
      </c>
      <c r="AD19" s="191">
        <f t="shared" si="27"/>
        <v>0.96499999999999997</v>
      </c>
      <c r="AE19" s="191">
        <f t="shared" ca="1" si="28"/>
        <v>0.87866222386770343</v>
      </c>
      <c r="AF19" s="142">
        <f t="shared" ca="1" si="29"/>
        <v>0.8922374429223745</v>
      </c>
      <c r="AG19" s="191">
        <f t="shared" si="30"/>
        <v>0.95499999999999996</v>
      </c>
      <c r="AH19" s="191">
        <f t="shared" ca="1" si="31"/>
        <v>0.8922374429223745</v>
      </c>
    </row>
    <row r="20" spans="2:34" x14ac:dyDescent="0.2">
      <c r="B20" s="117" t="s">
        <v>1430</v>
      </c>
      <c r="C20" s="117">
        <v>13</v>
      </c>
      <c r="D20" s="121">
        <f t="shared" ca="1" si="16"/>
        <v>1750.55</v>
      </c>
      <c r="E20" s="121"/>
      <c r="F20" s="121">
        <f t="shared" ca="1" si="17"/>
        <v>1555.2</v>
      </c>
      <c r="G20" s="121">
        <f t="shared" ca="1" si="18"/>
        <v>1492.2</v>
      </c>
      <c r="H20" s="121">
        <f t="shared" ca="1" si="5"/>
        <v>0</v>
      </c>
      <c r="I20" s="121">
        <f t="shared" ca="1" si="19"/>
        <v>150</v>
      </c>
      <c r="J20" s="121">
        <v>63</v>
      </c>
      <c r="K20" s="121">
        <f t="shared" ca="1" si="20"/>
        <v>490.5</v>
      </c>
      <c r="L20" s="121">
        <f t="shared" ca="1" si="6"/>
        <v>0</v>
      </c>
      <c r="M20" s="219">
        <f t="shared" ca="1" si="7"/>
        <v>0.85241781154494312</v>
      </c>
      <c r="N20" s="219">
        <f t="shared" ca="1" si="21"/>
        <v>0.98294821627488504</v>
      </c>
      <c r="O20" s="121">
        <f t="shared" ca="1" si="8"/>
        <v>2170.6833333333334</v>
      </c>
      <c r="P20" s="196">
        <f t="shared" ca="1" si="9"/>
        <v>1.2400007616653814</v>
      </c>
      <c r="Q20" s="121">
        <f t="shared" ca="1" si="10"/>
        <v>6512.05</v>
      </c>
      <c r="R20" s="196">
        <f t="shared" ca="1" si="11"/>
        <v>3.720002284996144</v>
      </c>
      <c r="S20" s="196">
        <f t="shared" ca="1" si="12"/>
        <v>3.5645939847476509</v>
      </c>
      <c r="T20" s="121">
        <f t="shared" ca="1" si="13"/>
        <v>109.65696495387164</v>
      </c>
      <c r="V20" s="117">
        <v>13</v>
      </c>
      <c r="W20" s="121">
        <f t="shared" ca="1" si="14"/>
        <v>1750.55</v>
      </c>
      <c r="X20" s="125">
        <f t="shared" si="22"/>
        <v>1800</v>
      </c>
      <c r="Y20" s="132">
        <f t="shared" ca="1" si="23"/>
        <v>1750.55</v>
      </c>
      <c r="Z20" s="125">
        <f t="shared" ca="1" si="24"/>
        <v>1492.2</v>
      </c>
      <c r="AA20" s="125">
        <f t="shared" si="25"/>
        <v>1737</v>
      </c>
      <c r="AB20" s="132">
        <f t="shared" ca="1" si="26"/>
        <v>1492.2</v>
      </c>
      <c r="AC20" s="142">
        <f t="shared" ca="1" si="15"/>
        <v>0.98294821627488504</v>
      </c>
      <c r="AD20" s="191">
        <f t="shared" si="27"/>
        <v>0.96499999999999997</v>
      </c>
      <c r="AE20" s="191" t="str">
        <f t="shared" ca="1" si="28"/>
        <v/>
      </c>
      <c r="AF20" s="142">
        <f t="shared" ca="1" si="29"/>
        <v>0.85241781154494312</v>
      </c>
      <c r="AG20" s="191">
        <f t="shared" si="30"/>
        <v>0.95499999999999996</v>
      </c>
      <c r="AH20" s="191">
        <f t="shared" ca="1" si="31"/>
        <v>0.85241781154494312</v>
      </c>
    </row>
    <row r="21" spans="2:34" x14ac:dyDescent="0.2">
      <c r="B21" s="117" t="s">
        <v>1430</v>
      </c>
      <c r="C21" s="117">
        <v>14</v>
      </c>
      <c r="D21" s="121">
        <f t="shared" ca="1" si="16"/>
        <v>1710.49</v>
      </c>
      <c r="E21" s="121"/>
      <c r="F21" s="121">
        <f t="shared" ca="1" si="17"/>
        <v>1755.01</v>
      </c>
      <c r="G21" s="121">
        <f t="shared" ca="1" si="18"/>
        <v>1682.01</v>
      </c>
      <c r="H21" s="121">
        <f t="shared" ca="1" si="5"/>
        <v>120</v>
      </c>
      <c r="I21" s="121">
        <f t="shared" ca="1" si="19"/>
        <v>195</v>
      </c>
      <c r="J21" s="121">
        <v>73</v>
      </c>
      <c r="K21" s="121">
        <f t="shared" ca="1" si="20"/>
        <v>286</v>
      </c>
      <c r="L21" s="121">
        <f t="shared" ca="1" si="6"/>
        <v>0</v>
      </c>
      <c r="M21" s="219">
        <f t="shared" ca="1" si="7"/>
        <v>0.98334980034960739</v>
      </c>
      <c r="N21" s="219">
        <f t="shared" ca="1" si="21"/>
        <v>0.8637934159217534</v>
      </c>
      <c r="O21" s="121">
        <f t="shared" ca="1" si="8"/>
        <v>2274.9533333333334</v>
      </c>
      <c r="P21" s="196">
        <f ca="1">IF(ISERROR(O21/D21),"",(O21/D21))</f>
        <v>1.3300009548920679</v>
      </c>
      <c r="Q21" s="121">
        <f t="shared" ca="1" si="10"/>
        <v>6824.86</v>
      </c>
      <c r="R21" s="196">
        <f t="shared" ca="1" si="11"/>
        <v>3.9900028646762036</v>
      </c>
      <c r="S21" s="196">
        <f t="shared" ca="1" si="12"/>
        <v>3.6328771287759647</v>
      </c>
      <c r="T21" s="121">
        <f t="shared" ca="1" si="13"/>
        <v>111.88606773497652</v>
      </c>
      <c r="V21" s="117">
        <v>14</v>
      </c>
      <c r="W21" s="121">
        <f t="shared" ca="1" si="14"/>
        <v>1710.49</v>
      </c>
      <c r="X21" s="125">
        <f t="shared" si="22"/>
        <v>1800</v>
      </c>
      <c r="Y21" s="132">
        <f t="shared" ca="1" si="23"/>
        <v>1710.49</v>
      </c>
      <c r="Z21" s="125">
        <f t="shared" ca="1" si="24"/>
        <v>1682.01</v>
      </c>
      <c r="AA21" s="125">
        <f t="shared" si="25"/>
        <v>1737</v>
      </c>
      <c r="AB21" s="132">
        <f t="shared" ca="1" si="26"/>
        <v>1682.01</v>
      </c>
      <c r="AC21" s="142">
        <f t="shared" ca="1" si="15"/>
        <v>0.8637934159217534</v>
      </c>
      <c r="AD21" s="191">
        <f t="shared" si="27"/>
        <v>0.96499999999999997</v>
      </c>
      <c r="AE21" s="191">
        <f t="shared" ca="1" si="28"/>
        <v>0.8637934159217534</v>
      </c>
      <c r="AF21" s="142">
        <f t="shared" ca="1" si="29"/>
        <v>0.98334980034960739</v>
      </c>
      <c r="AG21" s="191">
        <f t="shared" si="30"/>
        <v>0.95499999999999996</v>
      </c>
      <c r="AH21" s="191" t="str">
        <f t="shared" ca="1" si="31"/>
        <v/>
      </c>
    </row>
    <row r="22" spans="2:34" x14ac:dyDescent="0.2">
      <c r="B22" s="117" t="s">
        <v>1430</v>
      </c>
      <c r="C22" s="117">
        <v>15</v>
      </c>
      <c r="D22" s="121">
        <f t="shared" ca="1" si="16"/>
        <v>1680.82</v>
      </c>
      <c r="E22" s="121"/>
      <c r="F22" s="121">
        <f t="shared" ca="1" si="17"/>
        <v>1666.61</v>
      </c>
      <c r="G22" s="121">
        <f t="shared" ca="1" si="18"/>
        <v>1575.61</v>
      </c>
      <c r="H22" s="121">
        <f t="shared" ca="1" si="5"/>
        <v>120</v>
      </c>
      <c r="I22" s="121">
        <f t="shared" ca="1" si="19"/>
        <v>150</v>
      </c>
      <c r="J22" s="121">
        <v>91</v>
      </c>
      <c r="K22" s="121">
        <f t="shared" ca="1" si="20"/>
        <v>224</v>
      </c>
      <c r="L22" s="121">
        <f t="shared" ca="1" si="6"/>
        <v>0</v>
      </c>
      <c r="M22" s="219">
        <f t="shared" ca="1" si="7"/>
        <v>0.93740555205197462</v>
      </c>
      <c r="N22" s="219">
        <f t="shared" ca="1" si="21"/>
        <v>0.90051879439797244</v>
      </c>
      <c r="O22" s="121">
        <f t="shared" ca="1" si="8"/>
        <v>2291.5166666666669</v>
      </c>
      <c r="P22" s="196">
        <f t="shared" ca="1" si="9"/>
        <v>1.3633325797329083</v>
      </c>
      <c r="Q22" s="121">
        <f t="shared" ca="1" si="10"/>
        <v>6874.55</v>
      </c>
      <c r="R22" s="196">
        <f t="shared" ca="1" si="11"/>
        <v>4.0899977391987248</v>
      </c>
      <c r="S22" s="196">
        <f t="shared" ca="1" si="12"/>
        <v>0</v>
      </c>
      <c r="T22" s="121">
        <f t="shared" ca="1" si="13"/>
        <v>0</v>
      </c>
      <c r="V22" s="117">
        <v>15</v>
      </c>
      <c r="W22" s="121">
        <f t="shared" ca="1" si="14"/>
        <v>1680.82</v>
      </c>
      <c r="X22" s="125">
        <f t="shared" si="22"/>
        <v>1800</v>
      </c>
      <c r="Y22" s="132">
        <f t="shared" ca="1" si="23"/>
        <v>1680.82</v>
      </c>
      <c r="Z22" s="125">
        <f t="shared" ca="1" si="24"/>
        <v>1575.61</v>
      </c>
      <c r="AA22" s="125">
        <f t="shared" si="25"/>
        <v>1737</v>
      </c>
      <c r="AB22" s="132">
        <f t="shared" ca="1" si="26"/>
        <v>1575.61</v>
      </c>
      <c r="AC22" s="142">
        <f t="shared" ca="1" si="15"/>
        <v>0.90051879439797244</v>
      </c>
      <c r="AD22" s="191">
        <f t="shared" si="27"/>
        <v>0.96499999999999997</v>
      </c>
      <c r="AE22" s="191">
        <f t="shared" ca="1" si="28"/>
        <v>0.90051879439797244</v>
      </c>
      <c r="AF22" s="142">
        <f t="shared" ca="1" si="29"/>
        <v>0.93740555205197462</v>
      </c>
      <c r="AG22" s="191">
        <f t="shared" si="30"/>
        <v>0.95499999999999996</v>
      </c>
      <c r="AH22" s="191">
        <f t="shared" ca="1" si="31"/>
        <v>0.93740555205197462</v>
      </c>
    </row>
    <row r="23" spans="2:34" x14ac:dyDescent="0.2">
      <c r="B23" s="117" t="s">
        <v>1431</v>
      </c>
      <c r="C23" s="117">
        <v>16</v>
      </c>
      <c r="D23" s="121">
        <f t="shared" ca="1" si="16"/>
        <v>1660.6</v>
      </c>
      <c r="E23" s="121"/>
      <c r="F23" s="121">
        <f t="shared" ca="1" si="17"/>
        <v>1684.94</v>
      </c>
      <c r="G23" s="121">
        <f t="shared" ca="1" si="18"/>
        <v>1614.94</v>
      </c>
      <c r="H23" s="121">
        <f t="shared" ca="1" si="5"/>
        <v>120</v>
      </c>
      <c r="I23" s="121">
        <f t="shared" ca="1" si="19"/>
        <v>180</v>
      </c>
      <c r="J23" s="121">
        <v>70</v>
      </c>
      <c r="K23" s="121">
        <f t="shared" ca="1" si="20"/>
        <v>149.75</v>
      </c>
      <c r="L23" s="121">
        <f t="shared" ca="1" si="6"/>
        <v>0</v>
      </c>
      <c r="M23" s="219">
        <f t="shared" ca="1" si="7"/>
        <v>0.97250391424786231</v>
      </c>
      <c r="N23" s="219">
        <f t="shared" ca="1" si="21"/>
        <v>0.92779115982175131</v>
      </c>
      <c r="O23" s="121">
        <f t="shared" ca="1" si="8"/>
        <v>2252.88</v>
      </c>
      <c r="P23" s="196">
        <f t="shared" ca="1" si="9"/>
        <v>1.3566662652053476</v>
      </c>
      <c r="Q23" s="121">
        <f t="shared" ca="1" si="10"/>
        <v>6758.64</v>
      </c>
      <c r="R23" s="196">
        <f t="shared" ca="1" si="11"/>
        <v>4.0699987956160424</v>
      </c>
      <c r="S23" s="196">
        <f t="shared" ca="1" si="12"/>
        <v>0</v>
      </c>
      <c r="T23" s="121">
        <f t="shared" ca="1" si="13"/>
        <v>0</v>
      </c>
      <c r="V23" s="117">
        <v>16</v>
      </c>
      <c r="W23" s="121">
        <f t="shared" ca="1" si="14"/>
        <v>1660.6</v>
      </c>
      <c r="X23" s="125">
        <f t="shared" si="22"/>
        <v>1800</v>
      </c>
      <c r="Y23" s="132">
        <f t="shared" ca="1" si="23"/>
        <v>1660.6</v>
      </c>
      <c r="Z23" s="125">
        <f t="shared" ca="1" si="24"/>
        <v>1614.94</v>
      </c>
      <c r="AA23" s="125">
        <f t="shared" si="25"/>
        <v>1737</v>
      </c>
      <c r="AB23" s="132">
        <f t="shared" ca="1" si="26"/>
        <v>1614.94</v>
      </c>
      <c r="AC23" s="142">
        <f t="shared" ca="1" si="15"/>
        <v>0.92779115982175131</v>
      </c>
      <c r="AD23" s="191">
        <f t="shared" si="27"/>
        <v>0.96499999999999997</v>
      </c>
      <c r="AE23" s="191">
        <f t="shared" ca="1" si="28"/>
        <v>0.92779115982175131</v>
      </c>
      <c r="AF23" s="142">
        <f t="shared" ca="1" si="29"/>
        <v>0.97250391424786231</v>
      </c>
      <c r="AG23" s="191">
        <f t="shared" si="30"/>
        <v>0.95499999999999996</v>
      </c>
      <c r="AH23" s="191" t="str">
        <f t="shared" ca="1" si="31"/>
        <v/>
      </c>
    </row>
    <row r="24" spans="2:34" x14ac:dyDescent="0.2">
      <c r="B24" s="117" t="s">
        <v>1431</v>
      </c>
      <c r="C24" s="117">
        <v>17</v>
      </c>
      <c r="D24" s="121">
        <f t="shared" ca="1" si="16"/>
        <v>1710.5500000000002</v>
      </c>
      <c r="E24" s="121"/>
      <c r="F24" s="121">
        <f t="shared" ca="1" si="17"/>
        <v>1474.7249999999999</v>
      </c>
      <c r="G24" s="121">
        <f t="shared" ca="1" si="18"/>
        <v>1409.7249999999999</v>
      </c>
      <c r="H24" s="121">
        <f t="shared" ca="1" si="5"/>
        <v>90</v>
      </c>
      <c r="I24" s="121">
        <f t="shared" ca="1" si="19"/>
        <v>195</v>
      </c>
      <c r="J24" s="121">
        <v>65</v>
      </c>
      <c r="K24" s="121">
        <f t="shared" ca="1" si="20"/>
        <v>204</v>
      </c>
      <c r="L24" s="121">
        <f t="shared" ca="1" si="6"/>
        <v>0</v>
      </c>
      <c r="M24" s="219">
        <f t="shared" ca="1" si="7"/>
        <v>0.82413551196983414</v>
      </c>
      <c r="N24" s="219">
        <f t="shared" ca="1" si="21"/>
        <v>0.85585045745520427</v>
      </c>
      <c r="O24" s="121">
        <f t="shared" ca="1" si="8"/>
        <v>2246.5233333333331</v>
      </c>
      <c r="P24" s="196">
        <f t="shared" ca="1" si="9"/>
        <v>1.3133339179406232</v>
      </c>
      <c r="Q24" s="121">
        <f t="shared" ca="1" si="10"/>
        <v>6739.57</v>
      </c>
      <c r="R24" s="196">
        <f t="shared" ca="1" si="11"/>
        <v>3.9400017538218695</v>
      </c>
      <c r="S24" s="196">
        <f t="shared" ca="1" si="12"/>
        <v>0</v>
      </c>
      <c r="T24" s="121">
        <f t="shared" ca="1" si="13"/>
        <v>0</v>
      </c>
      <c r="V24" s="117">
        <v>17</v>
      </c>
      <c r="W24" s="121">
        <f t="shared" ca="1" si="14"/>
        <v>1710.5500000000002</v>
      </c>
      <c r="X24" s="125">
        <f t="shared" si="22"/>
        <v>1800</v>
      </c>
      <c r="Y24" s="132">
        <f t="shared" ca="1" si="23"/>
        <v>1710.5500000000002</v>
      </c>
      <c r="Z24" s="125">
        <f t="shared" ca="1" si="24"/>
        <v>1409.7249999999999</v>
      </c>
      <c r="AA24" s="125">
        <f t="shared" si="25"/>
        <v>1737</v>
      </c>
      <c r="AB24" s="132">
        <f t="shared" ca="1" si="26"/>
        <v>1409.7249999999999</v>
      </c>
      <c r="AC24" s="142">
        <f t="shared" ca="1" si="15"/>
        <v>0.85585045745520427</v>
      </c>
      <c r="AD24" s="191">
        <f t="shared" si="27"/>
        <v>0.96499999999999997</v>
      </c>
      <c r="AE24" s="191">
        <f t="shared" ca="1" si="28"/>
        <v>0.85585045745520427</v>
      </c>
      <c r="AF24" s="142">
        <f t="shared" ca="1" si="29"/>
        <v>0.82413551196983414</v>
      </c>
      <c r="AG24" s="191">
        <f t="shared" si="30"/>
        <v>0.95499999999999996</v>
      </c>
      <c r="AH24" s="191">
        <f t="shared" ca="1" si="31"/>
        <v>0.82413551196983414</v>
      </c>
    </row>
    <row r="25" spans="2:34" x14ac:dyDescent="0.2">
      <c r="B25" s="117" t="s">
        <v>1431</v>
      </c>
      <c r="C25" s="117">
        <v>18</v>
      </c>
      <c r="D25" s="121">
        <f t="shared" ca="1" si="16"/>
        <v>1700.49</v>
      </c>
      <c r="E25" s="121"/>
      <c r="F25" s="121">
        <f t="shared" ca="1" si="17"/>
        <v>1431.23</v>
      </c>
      <c r="G25" s="121">
        <f t="shared" ca="1" si="18"/>
        <v>1369.23</v>
      </c>
      <c r="H25" s="121">
        <f t="shared" ca="1" si="5"/>
        <v>0</v>
      </c>
      <c r="I25" s="121">
        <f t="shared" ca="1" si="19"/>
        <v>135</v>
      </c>
      <c r="J25" s="121">
        <v>62</v>
      </c>
      <c r="K25" s="121">
        <f t="shared" ca="1" si="20"/>
        <v>252.5</v>
      </c>
      <c r="L25" s="121">
        <f t="shared" ca="1" si="6"/>
        <v>0</v>
      </c>
      <c r="M25" s="219">
        <f t="shared" ca="1" si="7"/>
        <v>0.80519732547677436</v>
      </c>
      <c r="N25" s="219">
        <f t="shared" ca="1" si="21"/>
        <v>0.83371851642761796</v>
      </c>
      <c r="O25" s="121">
        <f t="shared" ca="1" si="8"/>
        <v>2289.9933333333333</v>
      </c>
      <c r="P25" s="196">
        <f t="shared" ca="1" si="9"/>
        <v>1.346666745075439</v>
      </c>
      <c r="Q25" s="121">
        <f t="shared" ca="1" si="10"/>
        <v>6869.98</v>
      </c>
      <c r="R25" s="196">
        <f t="shared" ca="1" si="11"/>
        <v>4.0400002352263167</v>
      </c>
      <c r="S25" s="196">
        <f t="shared" ca="1" si="12"/>
        <v>3.8835864956571342</v>
      </c>
      <c r="T25" s="121">
        <f t="shared" ca="1" si="13"/>
        <v>113.40260748372528</v>
      </c>
      <c r="V25" s="117">
        <v>18</v>
      </c>
      <c r="W25" s="121">
        <f t="shared" ca="1" si="14"/>
        <v>1700.49</v>
      </c>
      <c r="X25" s="125">
        <f t="shared" si="22"/>
        <v>1800</v>
      </c>
      <c r="Y25" s="132">
        <f t="shared" ca="1" si="23"/>
        <v>1700.49</v>
      </c>
      <c r="Z25" s="125">
        <f t="shared" ca="1" si="24"/>
        <v>1369.23</v>
      </c>
      <c r="AA25" s="125">
        <f t="shared" si="25"/>
        <v>1737</v>
      </c>
      <c r="AB25" s="132">
        <f t="shared" ca="1" si="26"/>
        <v>1369.23</v>
      </c>
      <c r="AC25" s="142">
        <f t="shared" ca="1" si="15"/>
        <v>0.83371851642761796</v>
      </c>
      <c r="AD25" s="191">
        <f t="shared" si="27"/>
        <v>0.96499999999999997</v>
      </c>
      <c r="AE25" s="191">
        <f t="shared" ca="1" si="28"/>
        <v>0.83371851642761796</v>
      </c>
      <c r="AF25" s="142">
        <f t="shared" ca="1" si="29"/>
        <v>0.80519732547677436</v>
      </c>
      <c r="AG25" s="191">
        <f t="shared" si="30"/>
        <v>0.95499999999999996</v>
      </c>
      <c r="AH25" s="191">
        <f t="shared" ca="1" si="31"/>
        <v>0.80519732547677436</v>
      </c>
    </row>
    <row r="26" spans="2:34" x14ac:dyDescent="0.2">
      <c r="B26" s="117" t="s">
        <v>1431</v>
      </c>
      <c r="C26" s="117">
        <v>19</v>
      </c>
      <c r="D26" s="121">
        <f t="shared" ca="1" si="16"/>
        <v>1620.82</v>
      </c>
      <c r="E26" s="121"/>
      <c r="F26" s="121">
        <f t="shared" ca="1" si="17"/>
        <v>1619.42</v>
      </c>
      <c r="G26" s="121">
        <f t="shared" ca="1" si="18"/>
        <v>1551.42</v>
      </c>
      <c r="H26" s="121">
        <f t="shared" ca="1" si="5"/>
        <v>90</v>
      </c>
      <c r="I26" s="121">
        <f t="shared" ca="1" si="19"/>
        <v>180</v>
      </c>
      <c r="J26" s="121">
        <v>68</v>
      </c>
      <c r="K26" s="121">
        <f t="shared" ca="1" si="20"/>
        <v>310.5</v>
      </c>
      <c r="L26" s="121">
        <f t="shared" ca="1" si="6"/>
        <v>0</v>
      </c>
      <c r="M26" s="219">
        <f t="shared" ca="1" si="7"/>
        <v>0.9571821670512457</v>
      </c>
      <c r="N26" s="219">
        <f t="shared" ca="1" si="21"/>
        <v>0.9929665231179281</v>
      </c>
      <c r="O26" s="121">
        <f t="shared" ca="1" si="8"/>
        <v>2312.37</v>
      </c>
      <c r="P26" s="196">
        <f t="shared" ca="1" si="9"/>
        <v>1.4266667489295541</v>
      </c>
      <c r="Q26" s="121">
        <f t="shared" ca="1" si="10"/>
        <v>6937.11</v>
      </c>
      <c r="R26" s="196">
        <f t="shared" ca="1" si="11"/>
        <v>4.2800002467886626</v>
      </c>
      <c r="S26" s="196">
        <f t="shared" ca="1" si="12"/>
        <v>3.8949420663614713</v>
      </c>
      <c r="T26" s="121">
        <f t="shared" ca="1" si="13"/>
        <v>119.01383250453475</v>
      </c>
      <c r="V26" s="117">
        <v>19</v>
      </c>
      <c r="W26" s="121">
        <f t="shared" ca="1" si="14"/>
        <v>1620.82</v>
      </c>
      <c r="X26" s="125">
        <f t="shared" si="22"/>
        <v>1800</v>
      </c>
      <c r="Y26" s="132">
        <f t="shared" ca="1" si="23"/>
        <v>1620.82</v>
      </c>
      <c r="Z26" s="125">
        <f t="shared" ca="1" si="24"/>
        <v>1551.42</v>
      </c>
      <c r="AA26" s="125">
        <f t="shared" si="25"/>
        <v>1737</v>
      </c>
      <c r="AB26" s="132">
        <f t="shared" ca="1" si="26"/>
        <v>1551.42</v>
      </c>
      <c r="AC26" s="142">
        <f t="shared" ca="1" si="15"/>
        <v>0.9929665231179281</v>
      </c>
      <c r="AD26" s="191">
        <f t="shared" si="27"/>
        <v>0.96499999999999997</v>
      </c>
      <c r="AE26" s="191" t="str">
        <f t="shared" ca="1" si="28"/>
        <v/>
      </c>
      <c r="AF26" s="142">
        <f t="shared" ca="1" si="29"/>
        <v>0.9571821670512457</v>
      </c>
      <c r="AG26" s="191">
        <f t="shared" si="30"/>
        <v>0.95499999999999996</v>
      </c>
      <c r="AH26" s="191" t="str">
        <f t="shared" ca="1" si="31"/>
        <v/>
      </c>
    </row>
    <row r="27" spans="2:34" x14ac:dyDescent="0.2">
      <c r="B27" s="117" t="s">
        <v>1431</v>
      </c>
      <c r="C27" s="117">
        <v>20</v>
      </c>
      <c r="D27" s="121">
        <f t="shared" ca="1" si="16"/>
        <v>1630.6</v>
      </c>
      <c r="E27" s="121"/>
      <c r="F27" s="121">
        <f t="shared" ca="1" si="17"/>
        <v>1498.1999999999998</v>
      </c>
      <c r="G27" s="121">
        <f t="shared" ca="1" si="18"/>
        <v>1410.1999999999998</v>
      </c>
      <c r="H27" s="121">
        <f t="shared" ca="1" si="5"/>
        <v>30</v>
      </c>
      <c r="I27" s="121">
        <f t="shared" ca="1" si="19"/>
        <v>150</v>
      </c>
      <c r="J27" s="121">
        <v>88</v>
      </c>
      <c r="K27" s="121">
        <f t="shared" ca="1" si="20"/>
        <v>298</v>
      </c>
      <c r="L27" s="121">
        <f t="shared" ca="1" si="6"/>
        <v>0</v>
      </c>
      <c r="M27" s="219">
        <f t="shared" ca="1" si="7"/>
        <v>0.86483503005028817</v>
      </c>
      <c r="N27" s="219">
        <f t="shared" ca="1" si="21"/>
        <v>0.85716914019379364</v>
      </c>
      <c r="O27" s="121">
        <f t="shared" ca="1" si="8"/>
        <v>2306.9966666666664</v>
      </c>
      <c r="P27" s="196">
        <f t="shared" ca="1" si="9"/>
        <v>1.4148145876773375</v>
      </c>
      <c r="Q27" s="121">
        <f t="shared" ca="1" si="10"/>
        <v>6920.99</v>
      </c>
      <c r="R27" s="196">
        <f t="shared" ca="1" si="11"/>
        <v>4.2444437630320131</v>
      </c>
      <c r="S27" s="196">
        <f t="shared" ca="1" si="12"/>
        <v>4.1426468784496508</v>
      </c>
      <c r="T27" s="121">
        <f t="shared" ca="1" si="13"/>
        <v>116.00024530847541</v>
      </c>
      <c r="V27" s="117">
        <v>20</v>
      </c>
      <c r="W27" s="121">
        <f t="shared" ca="1" si="14"/>
        <v>1630.6</v>
      </c>
      <c r="X27" s="125">
        <f t="shared" si="22"/>
        <v>1800</v>
      </c>
      <c r="Y27" s="132">
        <f t="shared" ca="1" si="23"/>
        <v>1630.6</v>
      </c>
      <c r="Z27" s="125">
        <f t="shared" ca="1" si="24"/>
        <v>1410.1999999999998</v>
      </c>
      <c r="AA27" s="125">
        <f t="shared" si="25"/>
        <v>1737</v>
      </c>
      <c r="AB27" s="132">
        <f t="shared" ca="1" si="26"/>
        <v>1410.1999999999998</v>
      </c>
      <c r="AC27" s="142">
        <f t="shared" ca="1" si="15"/>
        <v>0.85716914019379364</v>
      </c>
      <c r="AD27" s="191">
        <f t="shared" si="27"/>
        <v>0.96499999999999997</v>
      </c>
      <c r="AE27" s="191">
        <f t="shared" ca="1" si="28"/>
        <v>0.85716914019379364</v>
      </c>
      <c r="AF27" s="142">
        <f t="shared" ca="1" si="29"/>
        <v>0.86483503005028817</v>
      </c>
      <c r="AG27" s="191">
        <f t="shared" si="30"/>
        <v>0.95499999999999996</v>
      </c>
      <c r="AH27" s="191">
        <f t="shared" ca="1" si="31"/>
        <v>0.86483503005028817</v>
      </c>
    </row>
    <row r="28" spans="2:34" x14ac:dyDescent="0.2">
      <c r="B28" s="117" t="s">
        <v>1431</v>
      </c>
      <c r="C28" s="117">
        <v>21</v>
      </c>
      <c r="D28" s="121">
        <f t="shared" ca="1" si="16"/>
        <v>1610.5500000000002</v>
      </c>
      <c r="E28" s="121"/>
      <c r="F28" s="121">
        <f t="shared" ca="1" si="17"/>
        <v>1677.22</v>
      </c>
      <c r="G28" s="121">
        <f t="shared" ca="1" si="18"/>
        <v>1605.22</v>
      </c>
      <c r="H28" s="121">
        <f t="shared" ca="1" si="5"/>
        <v>90</v>
      </c>
      <c r="I28" s="121">
        <f t="shared" ca="1" si="19"/>
        <v>210</v>
      </c>
      <c r="J28" s="121">
        <v>72</v>
      </c>
      <c r="K28" s="121">
        <f t="shared" ca="1" si="20"/>
        <v>234</v>
      </c>
      <c r="L28" s="121">
        <f t="shared" ca="1" si="6"/>
        <v>0</v>
      </c>
      <c r="M28" s="219">
        <f t="shared" ca="1" si="7"/>
        <v>0.99669057154388241</v>
      </c>
      <c r="N28" s="219">
        <f t="shared" ca="1" si="21"/>
        <v>0.95695259383440434</v>
      </c>
      <c r="O28" s="121">
        <f t="shared" ca="1" si="8"/>
        <v>2244.0333333333333</v>
      </c>
      <c r="P28" s="196">
        <f t="shared" ca="1" si="9"/>
        <v>1.3933335403019671</v>
      </c>
      <c r="Q28" s="121">
        <f t="shared" ca="1" si="10"/>
        <v>6732.1</v>
      </c>
      <c r="R28" s="196">
        <f t="shared" ca="1" si="11"/>
        <v>4.1800006209059015</v>
      </c>
      <c r="S28" s="196">
        <f t="shared" ca="1" si="12"/>
        <v>0</v>
      </c>
      <c r="T28" s="121">
        <f t="shared" ca="1" si="13"/>
        <v>118.8227624103567</v>
      </c>
      <c r="V28" s="117">
        <v>21</v>
      </c>
      <c r="W28" s="121">
        <f t="shared" ca="1" si="14"/>
        <v>1610.5500000000002</v>
      </c>
      <c r="X28" s="125">
        <f t="shared" si="22"/>
        <v>1800</v>
      </c>
      <c r="Y28" s="132">
        <f t="shared" ca="1" si="23"/>
        <v>1610.5500000000002</v>
      </c>
      <c r="Z28" s="125">
        <f t="shared" ca="1" si="24"/>
        <v>1605.22</v>
      </c>
      <c r="AA28" s="125">
        <f t="shared" si="25"/>
        <v>1737</v>
      </c>
      <c r="AB28" s="132">
        <f t="shared" ca="1" si="26"/>
        <v>1605.22</v>
      </c>
      <c r="AC28" s="142">
        <f t="shared" ca="1" si="15"/>
        <v>0.95695259383440434</v>
      </c>
      <c r="AD28" s="191">
        <f t="shared" si="27"/>
        <v>0.96499999999999997</v>
      </c>
      <c r="AE28" s="191">
        <f t="shared" ca="1" si="28"/>
        <v>0.95695259383440434</v>
      </c>
      <c r="AF28" s="142">
        <f t="shared" ca="1" si="29"/>
        <v>0.99669057154388241</v>
      </c>
      <c r="AG28" s="191">
        <f t="shared" si="30"/>
        <v>0.95499999999999996</v>
      </c>
      <c r="AH28" s="191" t="str">
        <f t="shared" ca="1" si="31"/>
        <v/>
      </c>
    </row>
    <row r="29" spans="2:34" x14ac:dyDescent="0.2">
      <c r="B29" s="117" t="s">
        <v>1431</v>
      </c>
      <c r="C29" s="117">
        <v>22</v>
      </c>
      <c r="D29" s="121">
        <f t="shared" ca="1" si="16"/>
        <v>1680.49</v>
      </c>
      <c r="E29" s="121"/>
      <c r="F29" s="121">
        <f t="shared" ca="1" si="17"/>
        <v>1552.2</v>
      </c>
      <c r="G29" s="121">
        <f t="shared" ca="1" si="18"/>
        <v>1487.2</v>
      </c>
      <c r="H29" s="121">
        <f t="shared" ca="1" si="5"/>
        <v>120</v>
      </c>
      <c r="I29" s="121">
        <f t="shared" ca="1" si="19"/>
        <v>165</v>
      </c>
      <c r="J29" s="121">
        <v>65</v>
      </c>
      <c r="K29" s="121">
        <f t="shared" ca="1" si="20"/>
        <v>204.5</v>
      </c>
      <c r="L29" s="121">
        <f t="shared" ca="1" si="6"/>
        <v>0</v>
      </c>
      <c r="M29" s="219">
        <f t="shared" ca="1" si="7"/>
        <v>0.88497997607840573</v>
      </c>
      <c r="N29" s="219">
        <f t="shared" ca="1" si="21"/>
        <v>0.86742557230331629</v>
      </c>
      <c r="O29" s="121">
        <f t="shared" ca="1" si="8"/>
        <v>2287.5286666666666</v>
      </c>
      <c r="P29" s="196">
        <f t="shared" ca="1" si="9"/>
        <v>1.3612271817545278</v>
      </c>
      <c r="Q29" s="121">
        <f t="shared" ca="1" si="10"/>
        <v>6862.5860000000002</v>
      </c>
      <c r="R29" s="196">
        <f t="shared" ca="1" si="11"/>
        <v>4.083681545263584</v>
      </c>
      <c r="S29" s="196">
        <f t="shared" ca="1" si="12"/>
        <v>0</v>
      </c>
      <c r="T29" s="121">
        <f t="shared" ca="1" si="13"/>
        <v>113.28243548012782</v>
      </c>
      <c r="V29" s="117">
        <v>22</v>
      </c>
      <c r="W29" s="121">
        <f t="shared" ca="1" si="14"/>
        <v>1680.49</v>
      </c>
      <c r="X29" s="125">
        <f t="shared" si="22"/>
        <v>1800</v>
      </c>
      <c r="Y29" s="132">
        <f t="shared" ca="1" si="23"/>
        <v>1680.49</v>
      </c>
      <c r="Z29" s="125">
        <f t="shared" ca="1" si="24"/>
        <v>1487.2</v>
      </c>
      <c r="AA29" s="125">
        <f t="shared" si="25"/>
        <v>1737</v>
      </c>
      <c r="AB29" s="132">
        <f t="shared" ca="1" si="26"/>
        <v>1487.2</v>
      </c>
      <c r="AC29" s="142">
        <f t="shared" ca="1" si="15"/>
        <v>0.86742557230331629</v>
      </c>
      <c r="AD29" s="191">
        <f t="shared" si="27"/>
        <v>0.96499999999999997</v>
      </c>
      <c r="AE29" s="191">
        <f t="shared" ca="1" si="28"/>
        <v>0.86742557230331629</v>
      </c>
      <c r="AF29" s="142">
        <f t="shared" ca="1" si="29"/>
        <v>0.88497997607840573</v>
      </c>
      <c r="AG29" s="191">
        <f t="shared" si="30"/>
        <v>0.95499999999999996</v>
      </c>
      <c r="AH29" s="191">
        <f t="shared" ca="1" si="31"/>
        <v>0.88497997607840573</v>
      </c>
    </row>
    <row r="30" spans="2:34" x14ac:dyDescent="0.2">
      <c r="B30" s="117" t="s">
        <v>1432</v>
      </c>
      <c r="C30" s="117">
        <v>23</v>
      </c>
      <c r="D30" s="121">
        <f t="shared" ca="1" si="16"/>
        <v>1760.8200000000002</v>
      </c>
      <c r="E30" s="121"/>
      <c r="F30" s="121">
        <f t="shared" ca="1" si="17"/>
        <v>1507.511</v>
      </c>
      <c r="G30" s="121">
        <f t="shared" ca="1" si="18"/>
        <v>1436.511</v>
      </c>
      <c r="H30" s="121">
        <f t="shared" ca="1" si="5"/>
        <v>120</v>
      </c>
      <c r="I30" s="121">
        <f t="shared" ca="1" si="19"/>
        <v>165</v>
      </c>
      <c r="J30" s="121">
        <v>71</v>
      </c>
      <c r="K30" s="121">
        <f t="shared" ca="1" si="20"/>
        <v>256</v>
      </c>
      <c r="L30" s="121">
        <f t="shared" ca="1" si="6"/>
        <v>0</v>
      </c>
      <c r="M30" s="219">
        <f t="shared" ca="1" si="7"/>
        <v>0.81581933417385077</v>
      </c>
      <c r="N30" s="219">
        <f t="shared" ca="1" si="21"/>
        <v>0.84506707102372747</v>
      </c>
      <c r="O30" s="121">
        <f t="shared" ca="1" si="8"/>
        <v>2287.5286666666666</v>
      </c>
      <c r="P30" s="196">
        <f t="shared" ca="1" si="9"/>
        <v>1.2991269219265265</v>
      </c>
      <c r="Q30" s="121">
        <f t="shared" ca="1" si="10"/>
        <v>6862.5860000000002</v>
      </c>
      <c r="R30" s="196">
        <f t="shared" ca="1" si="11"/>
        <v>3.8973807657795798</v>
      </c>
      <c r="S30" s="196">
        <f t="shared" ca="1" si="12"/>
        <v>3.6091139355527533</v>
      </c>
      <c r="T30" s="121">
        <f t="shared" ca="1" si="13"/>
        <v>108.29613475539804</v>
      </c>
      <c r="V30" s="117">
        <v>23</v>
      </c>
      <c r="W30" s="121">
        <f t="shared" ca="1" si="14"/>
        <v>1760.8200000000002</v>
      </c>
      <c r="X30" s="125">
        <f t="shared" si="22"/>
        <v>1800</v>
      </c>
      <c r="Y30" s="132">
        <f t="shared" ca="1" si="23"/>
        <v>1760.8200000000002</v>
      </c>
      <c r="Z30" s="125">
        <f t="shared" ca="1" si="24"/>
        <v>1436.511</v>
      </c>
      <c r="AA30" s="125">
        <f t="shared" si="25"/>
        <v>1737</v>
      </c>
      <c r="AB30" s="132">
        <f t="shared" ca="1" si="26"/>
        <v>1436.511</v>
      </c>
      <c r="AC30" s="142">
        <f t="shared" ca="1" si="15"/>
        <v>0.84506707102372747</v>
      </c>
      <c r="AD30" s="191">
        <f t="shared" si="27"/>
        <v>0.96499999999999997</v>
      </c>
      <c r="AE30" s="191">
        <f t="shared" ca="1" si="28"/>
        <v>0.84506707102372747</v>
      </c>
      <c r="AF30" s="142">
        <f t="shared" ca="1" si="29"/>
        <v>0.81581933417385077</v>
      </c>
      <c r="AG30" s="191">
        <f t="shared" si="30"/>
        <v>0.95499999999999996</v>
      </c>
      <c r="AH30" s="191">
        <f t="shared" ca="1" si="31"/>
        <v>0.81581933417385077</v>
      </c>
    </row>
    <row r="31" spans="2:34" x14ac:dyDescent="0.2">
      <c r="B31" s="117" t="s">
        <v>1432</v>
      </c>
      <c r="C31" s="117">
        <v>24</v>
      </c>
      <c r="D31" s="121">
        <f t="shared" ca="1" si="16"/>
        <v>1720.6</v>
      </c>
      <c r="E31" s="121"/>
      <c r="F31" s="121">
        <f t="shared" ca="1" si="17"/>
        <v>1566.527</v>
      </c>
      <c r="G31" s="121">
        <f t="shared" ca="1" si="18"/>
        <v>1486.527</v>
      </c>
      <c r="H31" s="121">
        <f t="shared" ca="1" si="5"/>
        <v>120</v>
      </c>
      <c r="I31" s="121">
        <f t="shared" ca="1" si="19"/>
        <v>165</v>
      </c>
      <c r="J31" s="121">
        <v>80</v>
      </c>
      <c r="K31" s="121">
        <f t="shared" ca="1" si="20"/>
        <v>233</v>
      </c>
      <c r="L31" s="121">
        <f t="shared" ca="1" si="6"/>
        <v>0</v>
      </c>
      <c r="M31" s="219">
        <f t="shared" ca="1" si="7"/>
        <v>0.86395850284784381</v>
      </c>
      <c r="N31" s="219">
        <f t="shared" ca="1" si="21"/>
        <v>0.850591072881553</v>
      </c>
      <c r="O31" s="121">
        <f t="shared" ca="1" si="8"/>
        <v>2248</v>
      </c>
      <c r="P31" s="196">
        <f t="shared" ca="1" si="9"/>
        <v>1.3065209810531211</v>
      </c>
      <c r="Q31" s="121">
        <f t="shared" ca="1" si="10"/>
        <v>6744</v>
      </c>
      <c r="R31" s="196">
        <f t="shared" ca="1" si="11"/>
        <v>3.919562943159363</v>
      </c>
      <c r="S31" s="196">
        <f t="shared" ca="1" si="12"/>
        <v>4.1462280599790775</v>
      </c>
      <c r="T31" s="121">
        <f t="shared" ca="1" si="13"/>
        <v>111.0717191677322</v>
      </c>
      <c r="V31" s="117">
        <v>24</v>
      </c>
      <c r="W31" s="121">
        <f t="shared" ca="1" si="14"/>
        <v>1720.6</v>
      </c>
      <c r="X31" s="125">
        <f t="shared" si="22"/>
        <v>1800</v>
      </c>
      <c r="Y31" s="132">
        <f t="shared" ca="1" si="23"/>
        <v>1720.6</v>
      </c>
      <c r="Z31" s="125">
        <f t="shared" ca="1" si="24"/>
        <v>1486.527</v>
      </c>
      <c r="AA31" s="125">
        <f t="shared" si="25"/>
        <v>1737</v>
      </c>
      <c r="AB31" s="132">
        <f t="shared" ca="1" si="26"/>
        <v>1486.527</v>
      </c>
      <c r="AC31" s="142">
        <f t="shared" ca="1" si="15"/>
        <v>0.850591072881553</v>
      </c>
      <c r="AD31" s="191">
        <f t="shared" si="27"/>
        <v>0.96499999999999997</v>
      </c>
      <c r="AE31" s="191">
        <f t="shared" ca="1" si="28"/>
        <v>0.850591072881553</v>
      </c>
      <c r="AF31" s="142">
        <f t="shared" ca="1" si="29"/>
        <v>0.86395850284784381</v>
      </c>
      <c r="AG31" s="191">
        <f t="shared" si="30"/>
        <v>0.95499999999999996</v>
      </c>
      <c r="AH31" s="191">
        <f t="shared" ca="1" si="31"/>
        <v>0.86395850284784381</v>
      </c>
    </row>
    <row r="32" spans="2:34" x14ac:dyDescent="0.2">
      <c r="B32" s="117" t="s">
        <v>1432</v>
      </c>
      <c r="C32" s="117">
        <v>25</v>
      </c>
      <c r="D32" s="121">
        <f t="shared" ca="1" si="16"/>
        <v>1870.55</v>
      </c>
      <c r="E32" s="121"/>
      <c r="F32" s="121">
        <f t="shared" ca="1" si="17"/>
        <v>1641</v>
      </c>
      <c r="G32" s="121">
        <f t="shared" ca="1" si="18"/>
        <v>1589</v>
      </c>
      <c r="H32" s="121">
        <f t="shared" ca="1" si="5"/>
        <v>120</v>
      </c>
      <c r="I32" s="121">
        <f t="shared" ca="1" si="19"/>
        <v>122</v>
      </c>
      <c r="J32" s="121">
        <v>52</v>
      </c>
      <c r="K32" s="121">
        <f t="shared" ca="1" si="20"/>
        <v>324</v>
      </c>
      <c r="L32" s="121">
        <f t="shared" ca="1" si="6"/>
        <v>0</v>
      </c>
      <c r="M32" s="219">
        <f t="shared" ca="1" si="7"/>
        <v>0.84948277244660664</v>
      </c>
      <c r="N32" s="219">
        <f t="shared" ca="1" si="21"/>
        <v>0.89813156558231544</v>
      </c>
      <c r="O32" s="121">
        <f t="shared" ca="1" si="8"/>
        <v>2248.8679999999999</v>
      </c>
      <c r="P32" s="196">
        <f t="shared" ca="1" si="9"/>
        <v>1.2022496057309346</v>
      </c>
      <c r="Q32" s="121">
        <f t="shared" ca="1" si="10"/>
        <v>6746.6040000000003</v>
      </c>
      <c r="R32" s="196">
        <f t="shared" ca="1" si="11"/>
        <v>3.6067488171928046</v>
      </c>
      <c r="S32" s="196">
        <f t="shared" ca="1" si="12"/>
        <v>0</v>
      </c>
      <c r="T32" s="121">
        <f t="shared" ca="1" si="13"/>
        <v>0</v>
      </c>
      <c r="V32" s="117">
        <v>25</v>
      </c>
      <c r="W32" s="121">
        <f t="shared" ca="1" si="14"/>
        <v>1870.55</v>
      </c>
      <c r="X32" s="125">
        <f t="shared" si="22"/>
        <v>1800</v>
      </c>
      <c r="Y32" s="132" t="str">
        <f t="shared" ca="1" si="23"/>
        <v/>
      </c>
      <c r="Z32" s="125">
        <f t="shared" ca="1" si="24"/>
        <v>1589</v>
      </c>
      <c r="AA32" s="125">
        <f t="shared" si="25"/>
        <v>1737</v>
      </c>
      <c r="AB32" s="132">
        <f t="shared" ca="1" si="26"/>
        <v>1589</v>
      </c>
      <c r="AC32" s="142">
        <f t="shared" ca="1" si="15"/>
        <v>0.89813156558231544</v>
      </c>
      <c r="AD32" s="191">
        <f t="shared" si="27"/>
        <v>0.96499999999999997</v>
      </c>
      <c r="AE32" s="191">
        <f t="shared" ca="1" si="28"/>
        <v>0.89813156558231544</v>
      </c>
      <c r="AF32" s="142">
        <f t="shared" ca="1" si="29"/>
        <v>0.84948277244660664</v>
      </c>
      <c r="AG32" s="191">
        <f t="shared" si="30"/>
        <v>0.95499999999999996</v>
      </c>
      <c r="AH32" s="191">
        <f t="shared" ca="1" si="31"/>
        <v>0.84948277244660664</v>
      </c>
    </row>
    <row r="33" spans="2:35" x14ac:dyDescent="0.2">
      <c r="B33" s="117" t="s">
        <v>1432</v>
      </c>
      <c r="C33" s="117">
        <v>26</v>
      </c>
      <c r="D33" s="121">
        <f t="shared" ca="1" si="16"/>
        <v>1670.49</v>
      </c>
      <c r="E33" s="121"/>
      <c r="F33" s="121">
        <f t="shared" ca="1" si="17"/>
        <v>1660.8</v>
      </c>
      <c r="G33" s="121">
        <f t="shared" ca="1" si="18"/>
        <v>1598.8</v>
      </c>
      <c r="H33" s="121">
        <f t="shared" ca="1" si="5"/>
        <v>0</v>
      </c>
      <c r="I33" s="121">
        <f t="shared" ca="1" si="19"/>
        <v>150</v>
      </c>
      <c r="J33" s="121">
        <v>62</v>
      </c>
      <c r="K33" s="121">
        <f t="shared" ca="1" si="20"/>
        <v>261</v>
      </c>
      <c r="L33" s="121">
        <f t="shared" ca="1" si="6"/>
        <v>0</v>
      </c>
      <c r="M33" s="219">
        <f t="shared" ca="1" si="7"/>
        <v>0.95708444827565564</v>
      </c>
      <c r="N33" s="219">
        <f t="shared" ca="1" si="21"/>
        <v>0.91937096301085308</v>
      </c>
      <c r="O33" s="121">
        <f t="shared" ca="1" si="8"/>
        <v>2237.5673333333334</v>
      </c>
      <c r="P33" s="196">
        <f t="shared" ca="1" si="9"/>
        <v>1.3394676611852412</v>
      </c>
      <c r="Q33" s="121">
        <f t="shared" ca="1" si="10"/>
        <v>6712.7020000000002</v>
      </c>
      <c r="R33" s="196">
        <f t="shared" ca="1" si="11"/>
        <v>4.0184029835557231</v>
      </c>
      <c r="S33" s="196">
        <f t="shared" ca="1" si="12"/>
        <v>0</v>
      </c>
      <c r="T33" s="121">
        <f t="shared" ca="1" si="13"/>
        <v>0</v>
      </c>
      <c r="V33" s="117">
        <v>26</v>
      </c>
      <c r="W33" s="121">
        <f t="shared" ca="1" si="14"/>
        <v>1670.49</v>
      </c>
      <c r="X33" s="125">
        <f t="shared" si="22"/>
        <v>1800</v>
      </c>
      <c r="Y33" s="132">
        <f t="shared" ca="1" si="23"/>
        <v>1670.49</v>
      </c>
      <c r="Z33" s="125">
        <f t="shared" ca="1" si="24"/>
        <v>1598.8</v>
      </c>
      <c r="AA33" s="125">
        <f t="shared" si="25"/>
        <v>1737</v>
      </c>
      <c r="AB33" s="132">
        <f t="shared" ca="1" si="26"/>
        <v>1598.8</v>
      </c>
      <c r="AC33" s="142">
        <f t="shared" ca="1" si="15"/>
        <v>0.91937096301085308</v>
      </c>
      <c r="AD33" s="191">
        <f t="shared" si="27"/>
        <v>0.96499999999999997</v>
      </c>
      <c r="AE33" s="191">
        <f t="shared" ca="1" si="28"/>
        <v>0.91937096301085308</v>
      </c>
      <c r="AF33" s="142">
        <f t="shared" ca="1" si="29"/>
        <v>0.95708444827565564</v>
      </c>
      <c r="AG33" s="191">
        <f t="shared" si="30"/>
        <v>0.95499999999999996</v>
      </c>
      <c r="AH33" s="191" t="str">
        <f t="shared" ca="1" si="31"/>
        <v/>
      </c>
    </row>
    <row r="34" spans="2:35" x14ac:dyDescent="0.2">
      <c r="B34" s="117" t="s">
        <v>1432</v>
      </c>
      <c r="C34" s="117">
        <v>27</v>
      </c>
      <c r="D34" s="121">
        <f t="shared" ca="1" si="16"/>
        <v>1660.82</v>
      </c>
      <c r="E34" s="121"/>
      <c r="F34" s="121">
        <f t="shared" ca="1" si="17"/>
        <v>1592.6299999999999</v>
      </c>
      <c r="G34" s="121">
        <f t="shared" ca="1" si="18"/>
        <v>1532.6299999999999</v>
      </c>
      <c r="H34" s="121">
        <f t="shared" ca="1" si="5"/>
        <v>30</v>
      </c>
      <c r="I34" s="121">
        <f t="shared" ca="1" si="19"/>
        <v>120</v>
      </c>
      <c r="J34" s="121">
        <v>60</v>
      </c>
      <c r="K34" s="121">
        <f t="shared" ca="1" si="20"/>
        <v>340.5</v>
      </c>
      <c r="L34" s="121">
        <f t="shared" ca="1" si="6"/>
        <v>0</v>
      </c>
      <c r="M34" s="219">
        <f t="shared" ca="1" si="7"/>
        <v>0.92281523584735248</v>
      </c>
      <c r="N34" s="219">
        <f t="shared" ca="1" si="21"/>
        <v>0.97068315651304771</v>
      </c>
      <c r="O34" s="121">
        <f t="shared" ca="1" si="8"/>
        <v>2285.2666666666669</v>
      </c>
      <c r="P34" s="196">
        <f t="shared" ca="1" si="9"/>
        <v>1.3759869622636209</v>
      </c>
      <c r="Q34" s="121">
        <f t="shared" ca="1" si="10"/>
        <v>6855.8</v>
      </c>
      <c r="R34" s="196">
        <f t="shared" ca="1" si="11"/>
        <v>4.1279608867908628</v>
      </c>
      <c r="S34" s="196">
        <f t="shared" ca="1" si="12"/>
        <v>3.9715321347286281</v>
      </c>
      <c r="T34" s="121">
        <f t="shared" ca="1" si="13"/>
        <v>115.70188220276731</v>
      </c>
      <c r="V34" s="117">
        <v>27</v>
      </c>
      <c r="W34" s="121">
        <f t="shared" ca="1" si="14"/>
        <v>1660.82</v>
      </c>
      <c r="X34" s="125">
        <f t="shared" si="22"/>
        <v>1800</v>
      </c>
      <c r="Y34" s="132">
        <f t="shared" ca="1" si="23"/>
        <v>1660.82</v>
      </c>
      <c r="Z34" s="125">
        <f t="shared" ca="1" si="24"/>
        <v>1532.6299999999999</v>
      </c>
      <c r="AA34" s="125">
        <f t="shared" si="25"/>
        <v>1737</v>
      </c>
      <c r="AB34" s="132">
        <f t="shared" ca="1" si="26"/>
        <v>1532.6299999999999</v>
      </c>
      <c r="AC34" s="142">
        <f t="shared" ca="1" si="15"/>
        <v>0.97068315651304771</v>
      </c>
      <c r="AD34" s="191">
        <f t="shared" si="27"/>
        <v>0.96499999999999997</v>
      </c>
      <c r="AE34" s="191" t="str">
        <f t="shared" ca="1" si="28"/>
        <v/>
      </c>
      <c r="AF34" s="142">
        <f t="shared" ca="1" si="29"/>
        <v>0.92281523584735248</v>
      </c>
      <c r="AG34" s="191">
        <f t="shared" si="30"/>
        <v>0.95499999999999996</v>
      </c>
      <c r="AH34" s="191">
        <f t="shared" ca="1" si="31"/>
        <v>0.92281523584735248</v>
      </c>
    </row>
    <row r="35" spans="2:35" x14ac:dyDescent="0.2">
      <c r="B35" s="117" t="s">
        <v>1432</v>
      </c>
      <c r="C35" s="117">
        <v>28</v>
      </c>
      <c r="D35" s="121">
        <f t="shared" ca="1" si="16"/>
        <v>1670.6</v>
      </c>
      <c r="E35" s="121"/>
      <c r="F35" s="121">
        <f t="shared" ca="1" si="17"/>
        <v>1681.5</v>
      </c>
      <c r="G35" s="121">
        <f t="shared" ca="1" si="18"/>
        <v>1625.5</v>
      </c>
      <c r="H35" s="121">
        <f t="shared" ca="1" si="5"/>
        <v>210</v>
      </c>
      <c r="I35" s="121">
        <f t="shared" ca="1" si="19"/>
        <v>195</v>
      </c>
      <c r="J35" s="121">
        <v>56</v>
      </c>
      <c r="K35" s="121">
        <f t="shared" ca="1" si="20"/>
        <v>206.5</v>
      </c>
      <c r="L35" s="121">
        <f t="shared" ca="1" si="6"/>
        <v>0</v>
      </c>
      <c r="M35" s="219">
        <f t="shared" ca="1" si="7"/>
        <v>0.97300371124147023</v>
      </c>
      <c r="N35" s="219">
        <f t="shared" ca="1" si="21"/>
        <v>0.89279300849994014</v>
      </c>
      <c r="O35" s="121">
        <f t="shared" ca="1" si="8"/>
        <v>2266.4466666666667</v>
      </c>
      <c r="P35" s="196">
        <f t="shared" ca="1" si="9"/>
        <v>1.3566662676084442</v>
      </c>
      <c r="Q35" s="121">
        <f t="shared" ca="1" si="10"/>
        <v>6799.34</v>
      </c>
      <c r="R35" s="196">
        <f t="shared" ca="1" si="11"/>
        <v>4.0699988028253324</v>
      </c>
      <c r="S35" s="196">
        <f t="shared" ca="1" si="12"/>
        <v>4.3631030767388967</v>
      </c>
      <c r="T35" s="121">
        <f t="shared" ca="1" si="13"/>
        <v>114.71926254040466</v>
      </c>
      <c r="V35" s="117">
        <v>28</v>
      </c>
      <c r="W35" s="121">
        <f t="shared" ca="1" si="14"/>
        <v>1670.6</v>
      </c>
      <c r="X35" s="125">
        <f t="shared" si="22"/>
        <v>1800</v>
      </c>
      <c r="Y35" s="132">
        <f t="shared" ca="1" si="23"/>
        <v>1670.6</v>
      </c>
      <c r="Z35" s="125">
        <f t="shared" ca="1" si="24"/>
        <v>1625.5</v>
      </c>
      <c r="AA35" s="125">
        <f t="shared" si="25"/>
        <v>1737</v>
      </c>
      <c r="AB35" s="132">
        <f t="shared" ca="1" si="26"/>
        <v>1625.5</v>
      </c>
      <c r="AC35" s="142">
        <f t="shared" ca="1" si="15"/>
        <v>0.89279300849994014</v>
      </c>
      <c r="AD35" s="191">
        <f t="shared" si="27"/>
        <v>0.96499999999999997</v>
      </c>
      <c r="AE35" s="191">
        <f t="shared" ca="1" si="28"/>
        <v>0.89279300849994014</v>
      </c>
      <c r="AF35" s="142">
        <f t="shared" ca="1" si="29"/>
        <v>0.97300371124147023</v>
      </c>
      <c r="AG35" s="191">
        <f t="shared" si="30"/>
        <v>0.95499999999999996</v>
      </c>
      <c r="AH35" s="191" t="str">
        <f t="shared" ca="1" si="31"/>
        <v/>
      </c>
    </row>
    <row r="36" spans="2:35" x14ac:dyDescent="0.2">
      <c r="B36" s="117" t="s">
        <v>1432</v>
      </c>
      <c r="C36" s="117">
        <v>29</v>
      </c>
      <c r="D36" s="121">
        <f t="shared" ca="1" si="16"/>
        <v>1700.5500000000002</v>
      </c>
      <c r="E36" s="121"/>
      <c r="F36" s="121">
        <f t="shared" ca="1" si="17"/>
        <v>1563.1000000000001</v>
      </c>
      <c r="G36" s="121">
        <f t="shared" ca="1" si="18"/>
        <v>1488.1000000000001</v>
      </c>
      <c r="H36" s="121">
        <f t="shared" ca="1" si="32"/>
        <v>240</v>
      </c>
      <c r="I36" s="121">
        <f t="shared" ca="1" si="19"/>
        <v>150</v>
      </c>
      <c r="J36" s="121">
        <v>75</v>
      </c>
      <c r="K36" s="121">
        <f t="shared" ca="1" si="20"/>
        <v>202.5</v>
      </c>
      <c r="L36" s="121">
        <f t="shared" ca="1" si="6"/>
        <v>0</v>
      </c>
      <c r="M36" s="219">
        <f t="shared" ca="1" si="7"/>
        <v>0.87506983034900476</v>
      </c>
      <c r="N36" s="219">
        <f t="shared" ca="1" si="21"/>
        <v>0.8727176501720032</v>
      </c>
      <c r="O36" s="121">
        <f t="shared" ca="1" si="8"/>
        <v>2188.04</v>
      </c>
      <c r="P36" s="196">
        <f t="shared" ca="1" si="9"/>
        <v>1.2866660786216222</v>
      </c>
      <c r="Q36" s="121">
        <f t="shared" ca="1" si="10"/>
        <v>6564.12</v>
      </c>
      <c r="R36" s="196">
        <f t="shared" ca="1" si="11"/>
        <v>3.8599982358648668</v>
      </c>
      <c r="S36" s="196">
        <f t="shared" ca="1" si="12"/>
        <v>0</v>
      </c>
      <c r="T36" s="121">
        <f t="shared" ca="1" si="13"/>
        <v>0</v>
      </c>
      <c r="V36" s="117">
        <v>29</v>
      </c>
      <c r="W36" s="121">
        <f t="shared" ca="1" si="14"/>
        <v>1700.5500000000002</v>
      </c>
      <c r="X36" s="125">
        <f t="shared" si="22"/>
        <v>1800</v>
      </c>
      <c r="Y36" s="132">
        <f t="shared" ca="1" si="23"/>
        <v>1700.5500000000002</v>
      </c>
      <c r="Z36" s="125">
        <f t="shared" ca="1" si="24"/>
        <v>1488.1000000000001</v>
      </c>
      <c r="AA36" s="125">
        <f t="shared" si="25"/>
        <v>1737</v>
      </c>
      <c r="AB36" s="132">
        <f t="shared" ca="1" si="26"/>
        <v>1488.1000000000001</v>
      </c>
      <c r="AC36" s="142">
        <f t="shared" ca="1" si="15"/>
        <v>0.8727176501720032</v>
      </c>
      <c r="AD36" s="191">
        <f t="shared" si="27"/>
        <v>0.96499999999999997</v>
      </c>
      <c r="AE36" s="191">
        <f t="shared" ca="1" si="28"/>
        <v>0.8727176501720032</v>
      </c>
      <c r="AF36" s="142">
        <f t="shared" ca="1" si="29"/>
        <v>0.87506983034900476</v>
      </c>
      <c r="AG36" s="191">
        <f t="shared" si="30"/>
        <v>0.95499999999999996</v>
      </c>
      <c r="AH36" s="191">
        <f t="shared" ca="1" si="31"/>
        <v>0.87506983034900476</v>
      </c>
    </row>
    <row r="37" spans="2:35" x14ac:dyDescent="0.2">
      <c r="B37" s="117" t="s">
        <v>1433</v>
      </c>
      <c r="C37" s="117">
        <v>30</v>
      </c>
      <c r="D37" s="121">
        <f t="shared" ca="1" si="16"/>
        <v>1560.49</v>
      </c>
      <c r="E37" s="121"/>
      <c r="F37" s="121">
        <f t="shared" ca="1" si="17"/>
        <v>1601.56</v>
      </c>
      <c r="G37" s="121">
        <f t="shared" ca="1" si="18"/>
        <v>1534.56</v>
      </c>
      <c r="H37" s="121">
        <f t="shared" ca="1" si="32"/>
        <v>150</v>
      </c>
      <c r="I37" s="121">
        <f t="shared" ca="1" si="19"/>
        <v>165</v>
      </c>
      <c r="J37" s="121">
        <v>67</v>
      </c>
      <c r="K37" s="121">
        <f t="shared" ca="1" si="20"/>
        <v>251</v>
      </c>
      <c r="L37" s="121">
        <f t="shared" ca="1" si="6"/>
        <v>0</v>
      </c>
      <c r="M37" s="219">
        <f t="shared" ca="1" si="7"/>
        <v>0.98338342443719595</v>
      </c>
      <c r="N37" s="219">
        <f t="shared" ca="1" si="21"/>
        <v>1.0144634057251247</v>
      </c>
      <c r="O37" s="121">
        <f t="shared" ca="1" si="8"/>
        <v>2189.8866666666668</v>
      </c>
      <c r="P37" s="196">
        <f t="shared" ca="1" si="9"/>
        <v>1.4033327138697889</v>
      </c>
      <c r="Q37" s="121">
        <f t="shared" ca="1" si="10"/>
        <v>6569.66</v>
      </c>
      <c r="R37" s="196">
        <f t="shared" ca="1" si="11"/>
        <v>4.2099981416093666</v>
      </c>
      <c r="S37" s="196">
        <f t="shared" ca="1" si="12"/>
        <v>4.1640766682260058</v>
      </c>
      <c r="T37" s="121">
        <f t="shared" ca="1" si="13"/>
        <v>120.63518510211536</v>
      </c>
      <c r="V37" s="117">
        <v>30</v>
      </c>
      <c r="W37" s="121">
        <f t="shared" ca="1" si="14"/>
        <v>1560.49</v>
      </c>
      <c r="X37" s="125">
        <f t="shared" si="22"/>
        <v>1800</v>
      </c>
      <c r="Y37" s="132">
        <f t="shared" ca="1" si="23"/>
        <v>1560.49</v>
      </c>
      <c r="Z37" s="125">
        <f t="shared" ca="1" si="24"/>
        <v>1534.56</v>
      </c>
      <c r="AA37" s="125">
        <f t="shared" si="25"/>
        <v>1737</v>
      </c>
      <c r="AB37" s="132">
        <f t="shared" ca="1" si="26"/>
        <v>1534.56</v>
      </c>
      <c r="AC37" s="142">
        <f t="shared" ca="1" si="15"/>
        <v>1.0144634057251247</v>
      </c>
      <c r="AD37" s="191">
        <f t="shared" si="27"/>
        <v>0.96499999999999997</v>
      </c>
      <c r="AE37" s="191" t="str">
        <f t="shared" ca="1" si="28"/>
        <v/>
      </c>
      <c r="AF37" s="142">
        <f t="shared" ca="1" si="29"/>
        <v>0.98338342443719595</v>
      </c>
      <c r="AG37" s="191">
        <f t="shared" si="30"/>
        <v>0.95499999999999996</v>
      </c>
      <c r="AH37" s="191" t="str">
        <f t="shared" ca="1" si="31"/>
        <v/>
      </c>
    </row>
    <row r="38" spans="2:35" x14ac:dyDescent="0.2">
      <c r="B38" s="117" t="s">
        <v>1433</v>
      </c>
      <c r="C38" s="117">
        <v>31</v>
      </c>
      <c r="D38" s="121">
        <f t="shared" ca="1" si="16"/>
        <v>0</v>
      </c>
      <c r="E38" s="121"/>
      <c r="F38" s="121">
        <f t="shared" ca="1" si="17"/>
        <v>0</v>
      </c>
      <c r="G38" s="121">
        <f t="shared" ca="1" si="18"/>
        <v>0</v>
      </c>
      <c r="H38" s="121">
        <f t="shared" ca="1" si="32"/>
        <v>0</v>
      </c>
      <c r="I38" s="121">
        <f t="shared" ca="1" si="19"/>
        <v>0</v>
      </c>
      <c r="J38" s="121"/>
      <c r="K38" s="121"/>
      <c r="L38" s="121">
        <f t="shared" ca="1" si="6"/>
        <v>0</v>
      </c>
      <c r="M38" s="219" t="str">
        <f t="shared" ca="1" si="7"/>
        <v/>
      </c>
      <c r="N38" s="219" t="str">
        <f t="shared" ca="1" si="21"/>
        <v/>
      </c>
      <c r="O38" s="121">
        <f t="shared" ca="1" si="8"/>
        <v>0</v>
      </c>
      <c r="P38" s="196" t="str">
        <f t="shared" ca="1" si="9"/>
        <v/>
      </c>
      <c r="Q38" s="121">
        <f t="shared" ca="1" si="10"/>
        <v>0</v>
      </c>
      <c r="R38" s="196" t="str">
        <f t="shared" ca="1" si="11"/>
        <v/>
      </c>
      <c r="S38" s="196" t="str">
        <f t="shared" ca="1" si="12"/>
        <v/>
      </c>
      <c r="T38" s="121" t="str">
        <f t="shared" ca="1" si="13"/>
        <v/>
      </c>
      <c r="V38" s="117">
        <v>31</v>
      </c>
      <c r="W38" s="121">
        <f t="shared" ca="1" si="14"/>
        <v>0</v>
      </c>
      <c r="X38" s="125">
        <f t="shared" si="22"/>
        <v>1800</v>
      </c>
      <c r="Y38" s="132">
        <f t="shared" ca="1" si="23"/>
        <v>0</v>
      </c>
      <c r="Z38" s="125">
        <f t="shared" ca="1" si="24"/>
        <v>0</v>
      </c>
      <c r="AA38" s="125">
        <f t="shared" si="25"/>
        <v>1737</v>
      </c>
      <c r="AB38" s="132">
        <f t="shared" ca="1" si="26"/>
        <v>0</v>
      </c>
      <c r="AC38" s="142" t="str">
        <f t="shared" ca="1" si="15"/>
        <v/>
      </c>
      <c r="AD38" s="191">
        <f t="shared" si="27"/>
        <v>0.96499999999999997</v>
      </c>
      <c r="AE38" s="191" t="str">
        <f t="shared" ca="1" si="28"/>
        <v/>
      </c>
      <c r="AF38" s="142" t="str">
        <f t="shared" ca="1" si="29"/>
        <v/>
      </c>
      <c r="AG38" s="191">
        <f t="shared" si="30"/>
        <v>0.95499999999999996</v>
      </c>
      <c r="AH38" s="191" t="str">
        <f t="shared" ca="1" si="31"/>
        <v/>
      </c>
    </row>
    <row r="39" spans="2:35" x14ac:dyDescent="0.2">
      <c r="D39" s="119"/>
      <c r="E39" s="119"/>
    </row>
    <row r="41" spans="2:35" ht="18" x14ac:dyDescent="0.2">
      <c r="B41" s="152" t="s">
        <v>208</v>
      </c>
      <c r="C41" s="119"/>
      <c r="D41" s="119"/>
    </row>
    <row r="42" spans="2:35" x14ac:dyDescent="0.2">
      <c r="C42" s="119"/>
      <c r="D42" s="119"/>
    </row>
    <row r="43" spans="2:35" x14ac:dyDescent="0.2">
      <c r="C43" s="119"/>
      <c r="D43" s="119"/>
    </row>
    <row r="44" spans="2:35" s="4" customFormat="1" ht="38.25" x14ac:dyDescent="0.2">
      <c r="B44" s="143" t="s">
        <v>209</v>
      </c>
      <c r="C44" s="151" t="s">
        <v>210</v>
      </c>
      <c r="D44" s="144" t="s">
        <v>211</v>
      </c>
      <c r="E44" s="144" t="s">
        <v>212</v>
      </c>
      <c r="F44" s="144" t="s">
        <v>213</v>
      </c>
      <c r="G44" s="144" t="s">
        <v>214</v>
      </c>
      <c r="H44" s="144" t="s">
        <v>215</v>
      </c>
      <c r="I44" s="144" t="s">
        <v>216</v>
      </c>
      <c r="J44" s="144" t="s">
        <v>217</v>
      </c>
      <c r="K44" s="144" t="s">
        <v>1434</v>
      </c>
      <c r="L44" s="144" t="s">
        <v>1428</v>
      </c>
      <c r="M44" s="144" t="s">
        <v>218</v>
      </c>
      <c r="N44" s="144" t="s">
        <v>1427</v>
      </c>
      <c r="O44" s="144" t="s">
        <v>220</v>
      </c>
      <c r="P44" s="144" t="s">
        <v>221</v>
      </c>
      <c r="S44" s="130"/>
      <c r="T44" s="130"/>
      <c r="V44" s="122" t="s">
        <v>209</v>
      </c>
      <c r="W44" s="122" t="s">
        <v>190</v>
      </c>
      <c r="X44" s="122" t="s">
        <v>204</v>
      </c>
      <c r="Y44" s="126" t="s">
        <v>205</v>
      </c>
      <c r="Z44" s="122" t="s">
        <v>206</v>
      </c>
      <c r="AA44" s="122" t="s">
        <v>204</v>
      </c>
      <c r="AB44" s="126" t="s">
        <v>205</v>
      </c>
      <c r="AC44" s="122" t="s">
        <v>1427</v>
      </c>
      <c r="AD44" s="122" t="s">
        <v>204</v>
      </c>
      <c r="AE44" s="126" t="s">
        <v>205</v>
      </c>
      <c r="AF44" s="122" t="s">
        <v>1428</v>
      </c>
      <c r="AG44" s="122" t="s">
        <v>204</v>
      </c>
      <c r="AH44" s="126" t="s">
        <v>205</v>
      </c>
      <c r="AI44" s="183"/>
    </row>
    <row r="45" spans="2:35" x14ac:dyDescent="0.2">
      <c r="B45" s="228" t="s">
        <v>1429</v>
      </c>
      <c r="C45" s="230">
        <v>3</v>
      </c>
      <c r="D45" s="177">
        <f>SUMIFS($E$8:$E$38,$B$8:$B$38,B45)</f>
        <v>0</v>
      </c>
      <c r="E45" s="177">
        <f ca="1">SUMIFS($D$8:$D$38,$B$8:$B$38,B45)</f>
        <v>10863.55</v>
      </c>
      <c r="F45" s="178">
        <f>C45*$X$5</f>
        <v>5400</v>
      </c>
      <c r="G45" s="177">
        <f ca="1">SUMIFS($G$8:$G$38,$B$8:$B$38,B45)</f>
        <v>10289.540000000001</v>
      </c>
      <c r="H45" s="177">
        <f ca="1">SUMIFS($H$8:$H$38,$B$8:$B$38,B45)</f>
        <v>420</v>
      </c>
      <c r="I45" s="177">
        <f ca="1">SUMIFS($I$8:$I$38,$B$8:$B$38,B45)</f>
        <v>690</v>
      </c>
      <c r="J45" s="177">
        <f ca="1">SUMIFS($L$8:$L$38,$B$8:$B$38,B45)</f>
        <v>0</v>
      </c>
      <c r="K45" s="121">
        <f>SUMIFS($J$8:$J$38,$B$8:$B$38,B45)</f>
        <v>465</v>
      </c>
      <c r="L45" s="191">
        <f ca="1">IF(ISERROR(SUM(G8:G10)/E45),"",(SUM(G8:G10)/E45))</f>
        <v>0.42892700820634144</v>
      </c>
      <c r="M45" s="226">
        <f ca="1">IF(ISERROR(K10-K8),"",(K10-K8))</f>
        <v>38.5</v>
      </c>
      <c r="N45" s="191">
        <f ca="1">IF(ISERROR((M45+G45+J45)/(E45)),"",((M45+G45+J45)/(E45)))</f>
        <v>0.95070580059004672</v>
      </c>
      <c r="O45" s="191">
        <f ca="1">IF(ISERROR((G45+M45-K45)/(E45)),"",((G45+M45-K45)/(E45)))</f>
        <v>0.90790211302935053</v>
      </c>
      <c r="P45" s="191">
        <f ca="1">IF(ISERROR(N45-O45),"",(N45-O45))</f>
        <v>4.2803687560696191E-2</v>
      </c>
      <c r="S45" s="119"/>
      <c r="T45" s="119"/>
      <c r="V45" s="117" t="str">
        <f>B45</f>
        <v>WK 49</v>
      </c>
      <c r="W45" s="125">
        <f t="shared" ref="W45:X49" ca="1" si="33">E45</f>
        <v>10863.55</v>
      </c>
      <c r="X45" s="125">
        <f t="shared" si="33"/>
        <v>5400</v>
      </c>
      <c r="Y45" s="132" t="str">
        <f t="shared" ref="Y45:Y49" ca="1" si="34">IF(W45&lt;X45,W45,"")</f>
        <v/>
      </c>
      <c r="Z45" s="125">
        <f ca="1">G45</f>
        <v>10289.540000000001</v>
      </c>
      <c r="AA45" s="132">
        <f>X45*0.965</f>
        <v>5211</v>
      </c>
      <c r="AB45" s="132" t="str">
        <f ca="1">IF(Z45&lt;AA45,Z45,"")</f>
        <v/>
      </c>
      <c r="AC45" s="190">
        <f ca="1">N45</f>
        <v>0.95070580059004672</v>
      </c>
      <c r="AD45" s="142">
        <v>0.96499999999999997</v>
      </c>
      <c r="AE45" s="191">
        <f ca="1">IF(AC45&lt;AD45,AC45,"")</f>
        <v>0.95070580059004672</v>
      </c>
      <c r="AF45" s="191">
        <f ca="1">L45</f>
        <v>0.42892700820634144</v>
      </c>
      <c r="AG45" s="142">
        <v>0.96499999999999997</v>
      </c>
      <c r="AH45" s="191">
        <f ca="1">IF(AF45&lt;AG45,AF45,"")</f>
        <v>0.42892700820634144</v>
      </c>
      <c r="AI45" s="184"/>
    </row>
    <row r="46" spans="2:35" x14ac:dyDescent="0.2">
      <c r="B46" s="228" t="s">
        <v>1430</v>
      </c>
      <c r="C46" s="230">
        <v>7</v>
      </c>
      <c r="D46" s="177">
        <f>SUMIFS($E$8:$E$38,$B$8:$B$38,B46)</f>
        <v>0</v>
      </c>
      <c r="E46" s="177">
        <f ca="1">SUMIFS($D$8:$D$38,$B$8:$B$38,B46)</f>
        <v>11934.32</v>
      </c>
      <c r="F46" s="181">
        <f>C46*$X$5</f>
        <v>12600</v>
      </c>
      <c r="G46" s="177">
        <f ca="1">SUMIFS($G$8:$G$38,$B$8:$B$38,B46)</f>
        <v>11038.22</v>
      </c>
      <c r="H46" s="177">
        <f ca="1">SUMIFS($H$8:$H$38,$B$8:$B$38,B46)</f>
        <v>545</v>
      </c>
      <c r="I46" s="177">
        <f ca="1">SUMIFS($I$8:$I$38,$B$8:$B$38,B46)</f>
        <v>1260</v>
      </c>
      <c r="J46" s="177">
        <f ca="1">SUMIFS($L$8:$L$38,$B$8:$B$38,B46)</f>
        <v>0</v>
      </c>
      <c r="K46" s="121">
        <f>SUMIFS($J$8:$J$38,$B$8:$B$38,B46)</f>
        <v>553</v>
      </c>
      <c r="L46" s="191">
        <f ca="1">IF(ISERROR(SUM(G11:G17)/E46),"",(SUM(G11:G17)/E46))</f>
        <v>0.87575245175259253</v>
      </c>
      <c r="M46" s="226">
        <f t="shared" ref="M46:M49" ca="1" si="35">IF(ISERROR(K11-K9),"",(K11-K9))</f>
        <v>-358</v>
      </c>
      <c r="N46" s="191">
        <f ca="1">IF(ISERROR((M46+G46+J46)/(E46)),"",((M46+G46+J46)/(E46)))</f>
        <v>0.8949165096964049</v>
      </c>
      <c r="O46" s="191">
        <f ca="1">IF(ISERROR((G46+M46-K46)/(E46)),"",((G46+M46-K46)/(E46)))</f>
        <v>0.84857955878508362</v>
      </c>
      <c r="P46" s="191">
        <f t="shared" ref="P46:P49" ca="1" si="36">IF(ISERROR(N46-O46),"",(N46-O46))</f>
        <v>4.6336950911321284E-2</v>
      </c>
      <c r="V46" s="117" t="str">
        <f>B46</f>
        <v>WK 50</v>
      </c>
      <c r="W46" s="125">
        <f t="shared" ca="1" si="33"/>
        <v>11934.32</v>
      </c>
      <c r="X46" s="125">
        <f t="shared" si="33"/>
        <v>12600</v>
      </c>
      <c r="Y46" s="132">
        <f t="shared" ca="1" si="34"/>
        <v>11934.32</v>
      </c>
      <c r="Z46" s="125">
        <f ca="1">G46</f>
        <v>11038.22</v>
      </c>
      <c r="AA46" s="132">
        <f t="shared" ref="AA46:AA49" si="37">X46*0.965</f>
        <v>12159</v>
      </c>
      <c r="AB46" s="132">
        <f t="shared" ref="AB46:AB49" ca="1" si="38">IF(Z46&lt;AA46,Z46,"")</f>
        <v>11038.22</v>
      </c>
      <c r="AC46" s="190">
        <f ca="1">N46</f>
        <v>0.8949165096964049</v>
      </c>
      <c r="AD46" s="142">
        <v>0.96499999999999997</v>
      </c>
      <c r="AE46" s="191">
        <f t="shared" ref="AE46:AE49" ca="1" si="39">IF(AC46&lt;AD46,AC46,"")</f>
        <v>0.8949165096964049</v>
      </c>
      <c r="AF46" s="191">
        <f ca="1">L46</f>
        <v>0.87575245175259253</v>
      </c>
      <c r="AG46" s="142">
        <v>0.96499999999999997</v>
      </c>
      <c r="AH46" s="191">
        <f t="shared" ref="AH46:AH49" ca="1" si="40">IF(AF46&lt;AG46,AF46,"")</f>
        <v>0.87575245175259253</v>
      </c>
      <c r="AI46" s="184"/>
    </row>
    <row r="47" spans="2:35" x14ac:dyDescent="0.2">
      <c r="B47" s="228" t="s">
        <v>1431</v>
      </c>
      <c r="C47" s="230">
        <v>7</v>
      </c>
      <c r="D47" s="177">
        <f>SUMIFS($E$8:$E$38,$B$8:$B$38,B47)</f>
        <v>0</v>
      </c>
      <c r="E47" s="177">
        <f ca="1">SUMIFS($D$8:$D$38,$B$8:$B$38,B47)</f>
        <v>11614.1</v>
      </c>
      <c r="F47" s="181">
        <f>C47*$X$5</f>
        <v>12600</v>
      </c>
      <c r="G47" s="177">
        <f ca="1">SUMIFS($G$8:$G$38,$B$8:$B$38,B47)</f>
        <v>10447.935000000001</v>
      </c>
      <c r="H47" s="177">
        <f ca="1">SUMIFS($H$8:$H$38,$B$8:$B$38,B47)</f>
        <v>540</v>
      </c>
      <c r="I47" s="177">
        <f ca="1">SUMIFS($I$8:$I$38,$B$8:$B$38,B47)</f>
        <v>1215</v>
      </c>
      <c r="J47" s="177">
        <f ca="1">SUMIFS($L$8:$L$38,$B$8:$B$38,B47)</f>
        <v>0</v>
      </c>
      <c r="K47" s="121">
        <f>SUMIFS($J$8:$J$38,$B$8:$B$38,B47)</f>
        <v>490</v>
      </c>
      <c r="L47" s="191">
        <f ca="1">IF(ISERROR(SUM(G18:G24)/E47),"",(SUM(G18:G24)/E47))</f>
        <v>0.93481500934209272</v>
      </c>
      <c r="M47" s="226">
        <f t="shared" ca="1" si="35"/>
        <v>-65.25</v>
      </c>
      <c r="N47" s="191">
        <f ca="1">IF(ISERROR((M47+G47+J47)/(E47)),"",((M47+G47+J47)/(E47)))</f>
        <v>0.89397241284300988</v>
      </c>
      <c r="O47" s="191">
        <f ca="1">IF(ISERROR((G47+M47-K47)/(E47)),"",((G47+M47-K47)/(E47)))</f>
        <v>0.85178231632240131</v>
      </c>
      <c r="P47" s="191">
        <f t="shared" ca="1" si="36"/>
        <v>4.2190096520608567E-2</v>
      </c>
      <c r="V47" s="117" t="str">
        <f>B47</f>
        <v>WK 51</v>
      </c>
      <c r="W47" s="125">
        <f t="shared" ca="1" si="33"/>
        <v>11614.1</v>
      </c>
      <c r="X47" s="125">
        <f t="shared" si="33"/>
        <v>12600</v>
      </c>
      <c r="Y47" s="132">
        <f ca="1">IF(W47&lt;X47,W47,"")</f>
        <v>11614.1</v>
      </c>
      <c r="Z47" s="125">
        <f ca="1">G47</f>
        <v>10447.935000000001</v>
      </c>
      <c r="AA47" s="132">
        <f t="shared" si="37"/>
        <v>12159</v>
      </c>
      <c r="AB47" s="132">
        <f t="shared" ca="1" si="38"/>
        <v>10447.935000000001</v>
      </c>
      <c r="AC47" s="190">
        <f ca="1">N47</f>
        <v>0.89397241284300988</v>
      </c>
      <c r="AD47" s="142">
        <v>0.96499999999999997</v>
      </c>
      <c r="AE47" s="191">
        <f t="shared" ca="1" si="39"/>
        <v>0.89397241284300988</v>
      </c>
      <c r="AF47" s="191">
        <f ca="1">L47</f>
        <v>0.93481500934209272</v>
      </c>
      <c r="AG47" s="142">
        <v>0.96499999999999997</v>
      </c>
      <c r="AH47" s="191">
        <f t="shared" ca="1" si="40"/>
        <v>0.93481500934209272</v>
      </c>
      <c r="AI47" s="184"/>
    </row>
    <row r="48" spans="2:35" x14ac:dyDescent="0.2">
      <c r="B48" s="228" t="s">
        <v>1432</v>
      </c>
      <c r="C48" s="230">
        <v>7</v>
      </c>
      <c r="D48" s="177">
        <f>SUMIFS($E$8:$E$38,$B$8:$B$38,B48)</f>
        <v>0</v>
      </c>
      <c r="E48" s="177">
        <f ca="1">SUMIFS($D$8:$D$38,$B$8:$B$38,B48)</f>
        <v>12054.43</v>
      </c>
      <c r="F48" s="181">
        <f>C48*$X$5</f>
        <v>12600</v>
      </c>
      <c r="G48" s="177">
        <f ca="1">SUMIFS($G$8:$G$38,$B$8:$B$38,B48)</f>
        <v>10757.068000000001</v>
      </c>
      <c r="H48" s="177">
        <f ca="1">SUMIFS($H$8:$H$38,$B$8:$B$38,B48)</f>
        <v>840</v>
      </c>
      <c r="I48" s="177">
        <f ca="1">SUMIFS($I$8:$I$38,$B$8:$B$38,B48)</f>
        <v>1067</v>
      </c>
      <c r="J48" s="177">
        <f ca="1">SUMIFS($L$8:$L$38,$B$8:$B$38,B48)</f>
        <v>0</v>
      </c>
      <c r="K48" s="121">
        <f>SUMIFS($J$8:$J$38,$B$8:$B$38,B48)</f>
        <v>456</v>
      </c>
      <c r="L48" s="191">
        <f ca="1">IF(ISERROR(SUM(G25:G31)/E48),"",(SUM(G25:G31)/E48))</f>
        <v>0.85829923107106687</v>
      </c>
      <c r="M48" s="226">
        <f t="shared" ca="1" si="35"/>
        <v>367.5</v>
      </c>
      <c r="N48" s="191">
        <f t="shared" ref="N48:N49" ca="1" si="41">IF(ISERROR((M48+G48+J48)/(E48)),"",((M48+G48+J48)/(E48)))</f>
        <v>0.92286138788810423</v>
      </c>
      <c r="O48" s="191">
        <f ca="1">IF(ISERROR((G48+M48-K48)/(E48)),"",((G48+M48-K48)/(E48)))</f>
        <v>0.88503297128109759</v>
      </c>
      <c r="P48" s="191">
        <f t="shared" ca="1" si="36"/>
        <v>3.7828416607006643E-2</v>
      </c>
      <c r="V48" s="117" t="str">
        <f>B48</f>
        <v>WK 52</v>
      </c>
      <c r="W48" s="125">
        <f t="shared" ca="1" si="33"/>
        <v>12054.43</v>
      </c>
      <c r="X48" s="125">
        <f t="shared" si="33"/>
        <v>12600</v>
      </c>
      <c r="Y48" s="132">
        <f t="shared" ca="1" si="34"/>
        <v>12054.43</v>
      </c>
      <c r="Z48" s="125">
        <f ca="1">G48</f>
        <v>10757.068000000001</v>
      </c>
      <c r="AA48" s="132">
        <f t="shared" si="37"/>
        <v>12159</v>
      </c>
      <c r="AB48" s="132">
        <f t="shared" ca="1" si="38"/>
        <v>10757.068000000001</v>
      </c>
      <c r="AC48" s="190">
        <f ca="1">N48</f>
        <v>0.92286138788810423</v>
      </c>
      <c r="AD48" s="142">
        <v>0.96499999999999997</v>
      </c>
      <c r="AE48" s="191">
        <f t="shared" ca="1" si="39"/>
        <v>0.92286138788810423</v>
      </c>
      <c r="AF48" s="191">
        <f ca="1">L48</f>
        <v>0.85829923107106687</v>
      </c>
      <c r="AG48" s="142">
        <v>0.96499999999999997</v>
      </c>
      <c r="AH48" s="191">
        <f t="shared" ca="1" si="40"/>
        <v>0.85829923107106687</v>
      </c>
      <c r="AI48" s="184"/>
    </row>
    <row r="49" spans="2:35" x14ac:dyDescent="0.2">
      <c r="B49" s="228" t="s">
        <v>1433</v>
      </c>
      <c r="C49" s="230">
        <v>6</v>
      </c>
      <c r="D49" s="177">
        <f>SUMIFS($E$8:$E$38,$B$8:$B$38,B49)</f>
        <v>0</v>
      </c>
      <c r="E49" s="177">
        <f ca="1">SUMIFS($D$8:$D$38,$B$8:$B$38,B49)</f>
        <v>1560.49</v>
      </c>
      <c r="F49" s="181">
        <f>C49*$X$5</f>
        <v>10800</v>
      </c>
      <c r="G49" s="177">
        <f ca="1">SUMIFS($G$8:$G$38,$B$8:$B$38,B49)</f>
        <v>1534.56</v>
      </c>
      <c r="H49" s="177">
        <f ca="1">SUMIFS($H$8:$H$38,$B$8:$B$38,B49)</f>
        <v>150</v>
      </c>
      <c r="I49" s="177">
        <f ca="1">SUMIFS($I$8:$I$38,$B$8:$B$38,B49)</f>
        <v>165</v>
      </c>
      <c r="J49" s="177">
        <f ca="1">SUMIFS($L$8:$L$38,$B$8:$B$38,B49)</f>
        <v>0</v>
      </c>
      <c r="K49" s="121">
        <f>SUMIFS($J$8:$J$38,$B$8:$B$38,B49)</f>
        <v>67</v>
      </c>
      <c r="L49" s="191">
        <f ca="1">IF(ISERROR(SUM(G32:G38)/E49),"",(SUM(G32:G38)/E49))</f>
        <v>6.003620657613955</v>
      </c>
      <c r="M49" s="226">
        <f t="shared" ca="1" si="35"/>
        <v>145</v>
      </c>
      <c r="N49" s="191">
        <f t="shared" ca="1" si="41"/>
        <v>1.0763029561227562</v>
      </c>
      <c r="O49" s="191">
        <f ca="1">IF(ISERROR((G49+M49-K49)/(E49)),"",((G49+M49-K49)/(E49)))</f>
        <v>1.0333677242404629</v>
      </c>
      <c r="P49" s="191">
        <f t="shared" ca="1" si="36"/>
        <v>4.2935231882293312E-2</v>
      </c>
      <c r="V49" s="117" t="str">
        <f>B49</f>
        <v>WK 1</v>
      </c>
      <c r="W49" s="125">
        <f t="shared" ca="1" si="33"/>
        <v>1560.49</v>
      </c>
      <c r="X49" s="125">
        <f t="shared" si="33"/>
        <v>10800</v>
      </c>
      <c r="Y49" s="132">
        <f t="shared" ca="1" si="34"/>
        <v>1560.49</v>
      </c>
      <c r="Z49" s="125">
        <f ca="1">G49</f>
        <v>1534.56</v>
      </c>
      <c r="AA49" s="132">
        <f t="shared" si="37"/>
        <v>10422</v>
      </c>
      <c r="AB49" s="132">
        <f t="shared" ca="1" si="38"/>
        <v>1534.56</v>
      </c>
      <c r="AC49" s="190">
        <f ca="1">N49</f>
        <v>1.0763029561227562</v>
      </c>
      <c r="AD49" s="142">
        <v>0.96499999999999997</v>
      </c>
      <c r="AE49" s="191" t="str">
        <f t="shared" ca="1" si="39"/>
        <v/>
      </c>
      <c r="AF49" s="191">
        <f ca="1">L49</f>
        <v>6.003620657613955</v>
      </c>
      <c r="AG49" s="142">
        <v>0.96499999999999997</v>
      </c>
      <c r="AH49" s="191" t="str">
        <f t="shared" ca="1" si="40"/>
        <v/>
      </c>
      <c r="AI49" s="184"/>
    </row>
    <row r="50" spans="2:35" ht="7.5" customHeight="1" x14ac:dyDescent="0.2">
      <c r="C50" s="5"/>
      <c r="D50" s="5"/>
      <c r="E50" s="6"/>
      <c r="F50" s="6"/>
      <c r="G50" s="6"/>
      <c r="H50" s="6"/>
      <c r="I50" s="6"/>
      <c r="N50" s="195"/>
      <c r="O50" s="195"/>
      <c r="P50" s="195"/>
      <c r="AI50" s="184"/>
    </row>
    <row r="51" spans="2:35" ht="25.5" x14ac:dyDescent="0.2">
      <c r="B51" s="229" t="s">
        <v>1435</v>
      </c>
      <c r="C51" s="227">
        <f t="shared" ref="C51:E51" si="42">SUM(C45:C49)</f>
        <v>30</v>
      </c>
      <c r="D51" s="132">
        <f t="shared" si="42"/>
        <v>0</v>
      </c>
      <c r="E51" s="132">
        <f t="shared" ca="1" si="42"/>
        <v>48026.89</v>
      </c>
      <c r="F51" s="132">
        <f>SUM(F45:F49)</f>
        <v>54000</v>
      </c>
      <c r="G51" s="132">
        <f ca="1">SUM(G45:G49)</f>
        <v>44067.323000000004</v>
      </c>
      <c r="H51" s="132">
        <f ca="1">SUM(H45:H49)</f>
        <v>2495</v>
      </c>
      <c r="I51" s="132">
        <f t="shared" ref="I51:K51" ca="1" si="43">SUM(I45:I49)</f>
        <v>4397</v>
      </c>
      <c r="J51" s="132">
        <f t="shared" ca="1" si="43"/>
        <v>0</v>
      </c>
      <c r="K51" s="132">
        <f t="shared" si="43"/>
        <v>2031</v>
      </c>
      <c r="L51" s="142">
        <f ca="1">SUM(G8:G38)/E51</f>
        <v>0.95119865142215121</v>
      </c>
      <c r="M51" s="227">
        <f ca="1">SUM(M45:M49)</f>
        <v>127.75</v>
      </c>
      <c r="N51" s="191">
        <f ca="1">IF(ISERROR((M51+G51+J51-K51)/(E51)),"",((M51+G51+J51-K51)/(E51)))</f>
        <v>0.8779263658338069</v>
      </c>
      <c r="O51" s="191">
        <f ca="1">IF(ISERROR((G51+M51-K51)/(E51)),"",((G51+M51-K51)/(E51)))</f>
        <v>0.8779263658338069</v>
      </c>
      <c r="P51" s="191">
        <f t="shared" ref="P51" ca="1" si="44">IF(ISERROR(N51-O51),"",(N51-O51))</f>
        <v>0</v>
      </c>
    </row>
    <row r="52" spans="2:35" x14ac:dyDescent="0.2">
      <c r="D52" s="4"/>
      <c r="E52" s="119"/>
      <c r="F52" s="119"/>
    </row>
    <row r="53" spans="2:35" x14ac:dyDescent="0.2">
      <c r="D53" s="4"/>
    </row>
    <row r="54" spans="2:35" ht="18" x14ac:dyDescent="0.2">
      <c r="B54" s="152" t="s">
        <v>1436</v>
      </c>
      <c r="D54" s="4"/>
      <c r="F54" s="184"/>
      <c r="G54" s="184"/>
      <c r="H54" s="184"/>
      <c r="I54" s="184"/>
      <c r="J54" s="184"/>
    </row>
    <row r="55" spans="2:35" x14ac:dyDescent="0.2">
      <c r="D55" s="222"/>
      <c r="E55" s="222"/>
      <c r="F55" s="185"/>
      <c r="G55" s="184"/>
      <c r="H55" s="184"/>
      <c r="I55" s="184"/>
      <c r="J55" s="184"/>
    </row>
    <row r="56" spans="2:35" x14ac:dyDescent="0.2">
      <c r="B56" s="4" t="s">
        <v>1437</v>
      </c>
      <c r="C56" s="4" t="str">
        <f>B47</f>
        <v>WK 51</v>
      </c>
      <c r="D56" s="4"/>
      <c r="F56" s="184"/>
      <c r="G56" s="184"/>
      <c r="H56" s="184"/>
      <c r="I56" s="184"/>
      <c r="J56" s="184"/>
    </row>
    <row r="57" spans="2:35" x14ac:dyDescent="0.2">
      <c r="D57" s="223"/>
      <c r="E57" s="222"/>
      <c r="F57" s="185"/>
      <c r="G57" s="184"/>
      <c r="H57" s="184"/>
      <c r="I57" s="184"/>
      <c r="J57" s="184"/>
    </row>
    <row r="58" spans="2:35" ht="25.5" x14ac:dyDescent="0.2">
      <c r="B58" s="143" t="s">
        <v>1438</v>
      </c>
      <c r="C58" s="143" t="s">
        <v>212</v>
      </c>
      <c r="D58" s="143" t="s">
        <v>1418</v>
      </c>
      <c r="E58" s="225" t="s">
        <v>1439</v>
      </c>
      <c r="F58" s="225" t="s">
        <v>1440</v>
      </c>
      <c r="H58" s="184"/>
      <c r="I58" s="184"/>
      <c r="J58" s="184"/>
      <c r="V58" s="122" t="s">
        <v>1438</v>
      </c>
      <c r="W58" s="122" t="s">
        <v>190</v>
      </c>
      <c r="X58" s="122" t="s">
        <v>204</v>
      </c>
      <c r="Y58" s="126" t="s">
        <v>205</v>
      </c>
      <c r="Z58" s="122" t="s">
        <v>206</v>
      </c>
      <c r="AA58" s="122" t="s">
        <v>204</v>
      </c>
      <c r="AB58" s="126" t="s">
        <v>205</v>
      </c>
      <c r="AC58" s="122" t="s">
        <v>1427</v>
      </c>
      <c r="AD58" s="122" t="s">
        <v>204</v>
      </c>
      <c r="AE58" s="126" t="s">
        <v>205</v>
      </c>
      <c r="AF58" s="122" t="s">
        <v>1428</v>
      </c>
      <c r="AG58" s="122" t="s">
        <v>204</v>
      </c>
      <c r="AH58" s="126" t="s">
        <v>205</v>
      </c>
    </row>
    <row r="59" spans="2:35" x14ac:dyDescent="0.2">
      <c r="B59" s="117">
        <v>28</v>
      </c>
      <c r="C59" s="121">
        <f t="shared" ref="C59:C65" ca="1" si="45">SUMIFS($D$8:$D$38,$C$8:$C$38,B59)</f>
        <v>1670.6</v>
      </c>
      <c r="D59" s="121">
        <f t="shared" ref="D59:D65" ca="1" si="46">SUMIFS($G$8:$G$38,$C$8:$C$38,B59)</f>
        <v>1625.5</v>
      </c>
      <c r="E59" s="224">
        <f t="shared" ref="E59:E65" ca="1" si="47">SUMIFS($M$8:$M$38,$C$8:$C$38,B59)</f>
        <v>0.97300371124147023</v>
      </c>
      <c r="F59" s="224">
        <f t="shared" ref="F59:F65" ca="1" si="48">SUMIFS($N$8:$N$38,$C$8:$C$38,B59)</f>
        <v>0.89279300849994014</v>
      </c>
      <c r="I59" s="184"/>
      <c r="J59" s="184"/>
      <c r="V59" s="117">
        <f t="shared" ref="V59:W65" si="49">B59</f>
        <v>28</v>
      </c>
      <c r="W59" s="125">
        <f t="shared" ca="1" si="49"/>
        <v>1670.6</v>
      </c>
      <c r="X59" s="125">
        <f>$X$5</f>
        <v>1800</v>
      </c>
      <c r="Y59" s="132">
        <f t="shared" ref="Y59:Y63" ca="1" si="50">IF(W59&lt;X59,W59,"")</f>
        <v>1670.6</v>
      </c>
      <c r="Z59" s="125">
        <f t="shared" ref="Z59:Z65" ca="1" si="51">D59</f>
        <v>1625.5</v>
      </c>
      <c r="AA59" s="132">
        <f>AA5</f>
        <v>1737</v>
      </c>
      <c r="AB59" s="132">
        <f ca="1">IF(Z59&lt;AA59,Z59,"")</f>
        <v>1625.5</v>
      </c>
      <c r="AC59" s="191">
        <f t="shared" ref="AC59:AC65" ca="1" si="52">F59</f>
        <v>0.89279300849994014</v>
      </c>
      <c r="AD59" s="142">
        <v>0.96499999999999997</v>
      </c>
      <c r="AE59" s="191">
        <f ca="1">IF(AC59&lt;AD59,AC59,"")</f>
        <v>0.89279300849994014</v>
      </c>
      <c r="AF59" s="191">
        <f t="shared" ref="AF59:AF65" ca="1" si="53">E59</f>
        <v>0.97300371124147023</v>
      </c>
      <c r="AG59" s="191">
        <f t="shared" ref="AG59:AG65" si="54">$AG$5</f>
        <v>0.95499999999999996</v>
      </c>
      <c r="AH59" s="191" t="str">
        <f ca="1">IF(AF59&lt;AG59,AF59,"")</f>
        <v/>
      </c>
    </row>
    <row r="60" spans="2:35" x14ac:dyDescent="0.2">
      <c r="B60" s="117">
        <v>29</v>
      </c>
      <c r="C60" s="121">
        <f t="shared" ca="1" si="45"/>
        <v>1700.5500000000002</v>
      </c>
      <c r="D60" s="121">
        <f t="shared" ca="1" si="46"/>
        <v>1488.1000000000001</v>
      </c>
      <c r="E60" s="224">
        <f t="shared" ca="1" si="47"/>
        <v>0.87506983034900476</v>
      </c>
      <c r="F60" s="219">
        <f t="shared" ca="1" si="48"/>
        <v>0.8727176501720032</v>
      </c>
      <c r="I60" s="184"/>
      <c r="J60" s="184"/>
      <c r="V60" s="117">
        <f t="shared" si="49"/>
        <v>29</v>
      </c>
      <c r="W60" s="125">
        <f t="shared" ca="1" si="49"/>
        <v>1700.5500000000002</v>
      </c>
      <c r="X60" s="125">
        <f t="shared" ref="X60:X65" si="55">$X$5</f>
        <v>1800</v>
      </c>
      <c r="Y60" s="132">
        <f t="shared" ca="1" si="50"/>
        <v>1700.5500000000002</v>
      </c>
      <c r="Z60" s="125">
        <f t="shared" ca="1" si="51"/>
        <v>1488.1000000000001</v>
      </c>
      <c r="AA60" s="132">
        <f t="shared" ref="AA60:AA63" si="56">X60*0.965</f>
        <v>1737</v>
      </c>
      <c r="AB60" s="132">
        <f t="shared" ref="AB60:AB63" ca="1" si="57">IF(Z60&lt;AA60,Z60,"")</f>
        <v>1488.1000000000001</v>
      </c>
      <c r="AC60" s="191">
        <f t="shared" ca="1" si="52"/>
        <v>0.8727176501720032</v>
      </c>
      <c r="AD60" s="142">
        <v>0.96499999999999997</v>
      </c>
      <c r="AE60" s="191">
        <f t="shared" ref="AE60:AE63" ca="1" si="58">IF(AC60&lt;AD60,AC60,"")</f>
        <v>0.8727176501720032</v>
      </c>
      <c r="AF60" s="191">
        <f t="shared" ca="1" si="53"/>
        <v>0.87506983034900476</v>
      </c>
      <c r="AG60" s="191">
        <f t="shared" si="54"/>
        <v>0.95499999999999996</v>
      </c>
      <c r="AH60" s="191">
        <f t="shared" ref="AH60:AH63" ca="1" si="59">IF(AF60&lt;AG60,AF60,"")</f>
        <v>0.87506983034900476</v>
      </c>
    </row>
    <row r="61" spans="2:35" x14ac:dyDescent="0.2">
      <c r="B61" s="117">
        <v>30</v>
      </c>
      <c r="C61" s="121">
        <f t="shared" ca="1" si="45"/>
        <v>1560.49</v>
      </c>
      <c r="D61" s="121">
        <f t="shared" ca="1" si="46"/>
        <v>1534.56</v>
      </c>
      <c r="E61" s="219">
        <f t="shared" ca="1" si="47"/>
        <v>0.98338342443719595</v>
      </c>
      <c r="F61" s="219">
        <f t="shared" ca="1" si="48"/>
        <v>1.0144634057251247</v>
      </c>
      <c r="I61" s="184"/>
      <c r="J61" s="184"/>
      <c r="V61" s="117">
        <f t="shared" si="49"/>
        <v>30</v>
      </c>
      <c r="W61" s="125">
        <f t="shared" ca="1" si="49"/>
        <v>1560.49</v>
      </c>
      <c r="X61" s="125">
        <f t="shared" si="55"/>
        <v>1800</v>
      </c>
      <c r="Y61" s="132">
        <f t="shared" ca="1" si="50"/>
        <v>1560.49</v>
      </c>
      <c r="Z61" s="125">
        <f t="shared" ca="1" si="51"/>
        <v>1534.56</v>
      </c>
      <c r="AA61" s="132">
        <f t="shared" si="56"/>
        <v>1737</v>
      </c>
      <c r="AB61" s="132">
        <f t="shared" ca="1" si="57"/>
        <v>1534.56</v>
      </c>
      <c r="AC61" s="191">
        <f t="shared" ca="1" si="52"/>
        <v>1.0144634057251247</v>
      </c>
      <c r="AD61" s="142">
        <v>0.96499999999999997</v>
      </c>
      <c r="AE61" s="191" t="str">
        <f t="shared" ca="1" si="58"/>
        <v/>
      </c>
      <c r="AF61" s="191">
        <f t="shared" ca="1" si="53"/>
        <v>0.98338342443719595</v>
      </c>
      <c r="AG61" s="191">
        <f t="shared" si="54"/>
        <v>0.95499999999999996</v>
      </c>
      <c r="AH61" s="191" t="str">
        <f t="shared" ca="1" si="59"/>
        <v/>
      </c>
    </row>
    <row r="62" spans="2:35" x14ac:dyDescent="0.2">
      <c r="B62" s="117">
        <v>24</v>
      </c>
      <c r="C62" s="121">
        <f t="shared" ca="1" si="45"/>
        <v>1720.6</v>
      </c>
      <c r="D62" s="121">
        <f t="shared" ca="1" si="46"/>
        <v>1486.527</v>
      </c>
      <c r="E62" s="219">
        <f t="shared" ca="1" si="47"/>
        <v>0.86395850284784381</v>
      </c>
      <c r="F62" s="219">
        <f t="shared" ca="1" si="48"/>
        <v>0.850591072881553</v>
      </c>
      <c r="V62" s="117">
        <f t="shared" si="49"/>
        <v>24</v>
      </c>
      <c r="W62" s="125">
        <f t="shared" ca="1" si="49"/>
        <v>1720.6</v>
      </c>
      <c r="X62" s="125">
        <f t="shared" si="55"/>
        <v>1800</v>
      </c>
      <c r="Y62" s="132">
        <f t="shared" ca="1" si="50"/>
        <v>1720.6</v>
      </c>
      <c r="Z62" s="125">
        <f t="shared" ca="1" si="51"/>
        <v>1486.527</v>
      </c>
      <c r="AA62" s="132">
        <f t="shared" si="56"/>
        <v>1737</v>
      </c>
      <c r="AB62" s="132">
        <f t="shared" ca="1" si="57"/>
        <v>1486.527</v>
      </c>
      <c r="AC62" s="191">
        <f t="shared" ca="1" si="52"/>
        <v>0.850591072881553</v>
      </c>
      <c r="AD62" s="142">
        <v>0.96499999999999997</v>
      </c>
      <c r="AE62" s="191">
        <f t="shared" ca="1" si="58"/>
        <v>0.850591072881553</v>
      </c>
      <c r="AF62" s="191">
        <f t="shared" ca="1" si="53"/>
        <v>0.86395850284784381</v>
      </c>
      <c r="AG62" s="191">
        <f t="shared" si="54"/>
        <v>0.95499999999999996</v>
      </c>
      <c r="AH62" s="191">
        <f t="shared" ca="1" si="59"/>
        <v>0.86395850284784381</v>
      </c>
    </row>
    <row r="63" spans="2:35" x14ac:dyDescent="0.2">
      <c r="B63" s="117">
        <v>25</v>
      </c>
      <c r="C63" s="121">
        <f t="shared" ca="1" si="45"/>
        <v>1870.55</v>
      </c>
      <c r="D63" s="121">
        <f t="shared" ca="1" si="46"/>
        <v>1589</v>
      </c>
      <c r="E63" s="219">
        <f t="shared" ca="1" si="47"/>
        <v>0.84948277244660664</v>
      </c>
      <c r="F63" s="219">
        <f t="shared" ca="1" si="48"/>
        <v>0.89813156558231544</v>
      </c>
      <c r="V63" s="117">
        <f t="shared" si="49"/>
        <v>25</v>
      </c>
      <c r="W63" s="125">
        <f t="shared" ca="1" si="49"/>
        <v>1870.55</v>
      </c>
      <c r="X63" s="125">
        <f t="shared" si="55"/>
        <v>1800</v>
      </c>
      <c r="Y63" s="132" t="str">
        <f t="shared" ca="1" si="50"/>
        <v/>
      </c>
      <c r="Z63" s="125">
        <f t="shared" ca="1" si="51"/>
        <v>1589</v>
      </c>
      <c r="AA63" s="132">
        <f t="shared" si="56"/>
        <v>1737</v>
      </c>
      <c r="AB63" s="132">
        <f t="shared" ca="1" si="57"/>
        <v>1589</v>
      </c>
      <c r="AC63" s="191">
        <f t="shared" ca="1" si="52"/>
        <v>0.89813156558231544</v>
      </c>
      <c r="AD63" s="142">
        <v>0.96499999999999997</v>
      </c>
      <c r="AE63" s="191">
        <f t="shared" ca="1" si="58"/>
        <v>0.89813156558231544</v>
      </c>
      <c r="AF63" s="191">
        <f t="shared" ca="1" si="53"/>
        <v>0.84948277244660664</v>
      </c>
      <c r="AG63" s="191">
        <f t="shared" si="54"/>
        <v>0.95499999999999996</v>
      </c>
      <c r="AH63" s="191">
        <f t="shared" ca="1" si="59"/>
        <v>0.84948277244660664</v>
      </c>
    </row>
    <row r="64" spans="2:35" x14ac:dyDescent="0.2">
      <c r="B64" s="117">
        <v>26</v>
      </c>
      <c r="C64" s="121">
        <f t="shared" ca="1" si="45"/>
        <v>1670.49</v>
      </c>
      <c r="D64" s="121">
        <f t="shared" ca="1" si="46"/>
        <v>1598.8</v>
      </c>
      <c r="E64" s="219">
        <f t="shared" ca="1" si="47"/>
        <v>0.95708444827565564</v>
      </c>
      <c r="F64" s="224">
        <f t="shared" ca="1" si="48"/>
        <v>0.91937096301085308</v>
      </c>
      <c r="V64" s="117">
        <f t="shared" si="49"/>
        <v>26</v>
      </c>
      <c r="W64" s="125">
        <f t="shared" ca="1" si="49"/>
        <v>1670.49</v>
      </c>
      <c r="X64" s="125">
        <f t="shared" si="55"/>
        <v>1800</v>
      </c>
      <c r="Y64" s="132">
        <f t="shared" ref="Y64:Y65" ca="1" si="60">IF(W64&lt;X64,W64,"")</f>
        <v>1670.49</v>
      </c>
      <c r="Z64" s="125">
        <f t="shared" ca="1" si="51"/>
        <v>1598.8</v>
      </c>
      <c r="AA64" s="132">
        <f t="shared" ref="AA64:AA65" si="61">X64*0.965</f>
        <v>1737</v>
      </c>
      <c r="AB64" s="132">
        <f t="shared" ref="AB64:AB65" ca="1" si="62">IF(Z64&lt;AA64,Z64,"")</f>
        <v>1598.8</v>
      </c>
      <c r="AC64" s="191">
        <f t="shared" ca="1" si="52"/>
        <v>0.91937096301085308</v>
      </c>
      <c r="AD64" s="142">
        <v>0.96499999999999997</v>
      </c>
      <c r="AE64" s="191">
        <f t="shared" ref="AE64:AE65" ca="1" si="63">IF(AC64&lt;AD64,AC64,"")</f>
        <v>0.91937096301085308</v>
      </c>
      <c r="AF64" s="191">
        <f t="shared" ca="1" si="53"/>
        <v>0.95708444827565564</v>
      </c>
      <c r="AG64" s="191">
        <f t="shared" si="54"/>
        <v>0.95499999999999996</v>
      </c>
      <c r="AH64" s="191" t="str">
        <f t="shared" ref="AH64:AH65" ca="1" si="64">IF(AF64&lt;AG64,AF64,"")</f>
        <v/>
      </c>
    </row>
    <row r="65" spans="2:34" x14ac:dyDescent="0.2">
      <c r="B65" s="117">
        <v>27</v>
      </c>
      <c r="C65" s="121">
        <f t="shared" ca="1" si="45"/>
        <v>1660.82</v>
      </c>
      <c r="D65" s="121">
        <f t="shared" ca="1" si="46"/>
        <v>1532.6299999999999</v>
      </c>
      <c r="E65" s="219">
        <f t="shared" ca="1" si="47"/>
        <v>0.92281523584735248</v>
      </c>
      <c r="F65" s="224">
        <f t="shared" ca="1" si="48"/>
        <v>0.97068315651304771</v>
      </c>
      <c r="V65" s="117">
        <f t="shared" si="49"/>
        <v>27</v>
      </c>
      <c r="W65" s="125">
        <f t="shared" ca="1" si="49"/>
        <v>1660.82</v>
      </c>
      <c r="X65" s="125">
        <f t="shared" si="55"/>
        <v>1800</v>
      </c>
      <c r="Y65" s="132">
        <f t="shared" ca="1" si="60"/>
        <v>1660.82</v>
      </c>
      <c r="Z65" s="125">
        <f t="shared" ca="1" si="51"/>
        <v>1532.6299999999999</v>
      </c>
      <c r="AA65" s="132">
        <f t="shared" si="61"/>
        <v>1737</v>
      </c>
      <c r="AB65" s="132">
        <f t="shared" ca="1" si="62"/>
        <v>1532.6299999999999</v>
      </c>
      <c r="AC65" s="191">
        <f t="shared" ca="1" si="52"/>
        <v>0.97068315651304771</v>
      </c>
      <c r="AD65" s="142">
        <v>0.96499999999999997</v>
      </c>
      <c r="AE65" s="191" t="str">
        <f t="shared" ca="1" si="63"/>
        <v/>
      </c>
      <c r="AF65" s="191">
        <f t="shared" ca="1" si="53"/>
        <v>0.92281523584735248</v>
      </c>
      <c r="AG65" s="191">
        <f t="shared" si="54"/>
        <v>0.95499999999999996</v>
      </c>
      <c r="AH65" s="191">
        <f t="shared" ca="1" si="64"/>
        <v>0.92281523584735248</v>
      </c>
    </row>
    <row r="66" spans="2:34" x14ac:dyDescent="0.2">
      <c r="C66" s="3"/>
    </row>
    <row r="67" spans="2:34" x14ac:dyDescent="0.2">
      <c r="C67" s="119">
        <f ca="1">SUM(C59:C65)</f>
        <v>11854.099999999999</v>
      </c>
      <c r="D67" s="119">
        <f ca="1">SUM(D59:D65)</f>
        <v>10855.116999999998</v>
      </c>
      <c r="F67" s="278">
        <f ca="1">D67/C67</f>
        <v>0.91572679494858311</v>
      </c>
    </row>
    <row r="68" spans="2:34" x14ac:dyDescent="0.2">
      <c r="C68" s="279">
        <f ca="1">C67-50</f>
        <v>11804.099999999999</v>
      </c>
      <c r="F68" s="278">
        <f ca="1">D67/C68</f>
        <v>0.91960564549605639</v>
      </c>
    </row>
  </sheetData>
  <customSheetViews>
    <customSheetView guid="{40817DC6-4291-4A72-AC70-E8710064089B}" scale="85" topLeftCell="A6">
      <selection activeCell="J29" sqref="J29"/>
      <pageMargins left="0" right="0" top="0" bottom="0" header="0" footer="0"/>
      <pageSetup paperSize="9" orientation="portrait" r:id="rId1"/>
    </customSheetView>
    <customSheetView guid="{55B393C6-D96A-4245-BC73-FC5790070AA2}" scale="85" topLeftCell="A6">
      <selection activeCell="J29" sqref="J29"/>
      <pageMargins left="0" right="0" top="0" bottom="0" header="0" footer="0"/>
      <pageSetup paperSize="9" orientation="portrait" r:id="rId2"/>
    </customSheetView>
    <customSheetView guid="{C5333697-7BE7-4020-97A4-B735E526926D}" scale="85">
      <selection activeCell="E11" sqref="E11"/>
      <pageMargins left="0" right="0" top="0" bottom="0" header="0" footer="0"/>
      <pageSetup paperSize="9" orientation="portrait" r:id="rId3"/>
    </customSheetView>
    <customSheetView guid="{C7D8C3A9-FB79-4D22-935E-FEFA619A3CE5}" showPageBreaks="1">
      <selection activeCell="B1" sqref="B1:B1048576"/>
      <pageMargins left="0" right="0" top="0" bottom="0" header="0" footer="0"/>
      <pageSetup orientation="portrait" horizontalDpi="300" verticalDpi="300" r:id="rId4"/>
    </customSheetView>
    <customSheetView guid="{1DCC370E-2FC6-43E0-BC38-BCA3EE5D5128}">
      <selection activeCell="P10" sqref="P10"/>
      <pageMargins left="0" right="0" top="0" bottom="0" header="0" footer="0"/>
    </customSheetView>
    <customSheetView guid="{F0BD4916-1611-48FD-8208-19E7D9B71F1A}">
      <selection activeCell="A4" sqref="A4:XFD4"/>
      <pageMargins left="0" right="0" top="0" bottom="0" header="0" footer="0"/>
      <pageSetup orientation="portrait" horizontalDpi="300" verticalDpi="300" r:id="rId5"/>
    </customSheetView>
    <customSheetView guid="{180A269B-7E32-4D24-945A-4A804FC4280D}" hiddenRows="1" topLeftCell="A4">
      <selection activeCell="A6" sqref="A6:XFD25"/>
      <pageMargins left="0" right="0" top="0" bottom="0" header="0" footer="0"/>
    </customSheetView>
    <customSheetView guid="{9C22FFE9-00CF-47D0-BD99-D84A00825140}" scale="85" showPageBreaks="1" topLeftCell="A6">
      <selection activeCell="J29" sqref="J29"/>
      <pageMargins left="0" right="0" top="0" bottom="0" header="0" footer="0"/>
      <pageSetup paperSize="9" orientation="portrait" r:id="rId6"/>
    </customSheetView>
  </customSheetViews>
  <pageMargins left="0.7" right="0.7" top="0.75" bottom="0.75" header="0.3" footer="0.3"/>
  <pageSetup paperSize="9" orientation="portrait" r:id="rId7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9D4E-4686-45BF-854C-D4533CF08052}">
  <sheetPr>
    <pageSetUpPr fitToPage="1"/>
  </sheetPr>
  <dimension ref="A3:AO22"/>
  <sheetViews>
    <sheetView showGridLines="0" zoomScale="71" zoomScaleNormal="71" workbookViewId="0">
      <pane xSplit="4" ySplit="4" topLeftCell="E5" activePane="bottomRight" state="frozen"/>
      <selection pane="topRight" activeCell="H7" sqref="H7"/>
      <selection pane="bottomLeft" activeCell="H7" sqref="H7"/>
      <selection pane="bottomRight" activeCell="H7" sqref="H7"/>
    </sheetView>
  </sheetViews>
  <sheetFormatPr defaultColWidth="9.140625" defaultRowHeight="15" outlineLevelCol="1" x14ac:dyDescent="0.25"/>
  <cols>
    <col min="1" max="1" width="22" style="256" hidden="1" customWidth="1" outlineLevel="1"/>
    <col min="2" max="2" width="10.28515625" style="256" bestFit="1" customWidth="1" collapsed="1"/>
    <col min="3" max="3" width="11.5703125" style="263" customWidth="1"/>
    <col min="4" max="4" width="12.28515625" style="256" bestFit="1" customWidth="1"/>
    <col min="5" max="6" width="9.140625" style="256"/>
    <col min="7" max="7" width="0" style="256" hidden="1" customWidth="1"/>
    <col min="8" max="9" width="9.140625" style="256"/>
    <col min="10" max="10" width="5.7109375" style="256" hidden="1" customWidth="1"/>
    <col min="11" max="12" width="9.140625" style="256"/>
    <col min="13" max="13" width="9.140625" style="256" hidden="1" customWidth="1"/>
    <col min="14" max="15" width="9.140625" style="256"/>
    <col min="16" max="16" width="0" style="256" hidden="1" customWidth="1"/>
    <col min="17" max="18" width="9.140625" style="256"/>
    <col min="19" max="19" width="0" style="256" hidden="1" customWidth="1"/>
    <col min="20" max="21" width="9.140625" style="256"/>
    <col min="22" max="22" width="0" style="256" hidden="1" customWidth="1"/>
    <col min="23" max="24" width="9.140625" style="256"/>
    <col min="25" max="25" width="0" style="256" hidden="1" customWidth="1"/>
    <col min="26" max="27" width="9.140625" style="256"/>
    <col min="28" max="28" width="0" style="256" hidden="1" customWidth="1"/>
    <col min="29" max="30" width="9.140625" style="256"/>
    <col min="31" max="31" width="0" style="256" hidden="1" customWidth="1"/>
    <col min="32" max="16384" width="9.140625" style="256"/>
  </cols>
  <sheetData>
    <row r="3" spans="1:41" s="252" customFormat="1" ht="18.75" customHeight="1" x14ac:dyDescent="0.25">
      <c r="C3" s="253"/>
      <c r="E3" s="252">
        <v>21</v>
      </c>
      <c r="H3" s="252">
        <v>22</v>
      </c>
      <c r="K3" s="252">
        <v>23</v>
      </c>
      <c r="N3" s="252">
        <v>24</v>
      </c>
      <c r="Q3" s="252">
        <v>25</v>
      </c>
      <c r="T3" s="252">
        <v>26</v>
      </c>
      <c r="W3" s="252">
        <v>27</v>
      </c>
      <c r="Z3" s="252">
        <v>28</v>
      </c>
      <c r="AC3" s="252">
        <v>29</v>
      </c>
      <c r="AF3" s="252">
        <v>30</v>
      </c>
      <c r="AH3" s="252">
        <v>31</v>
      </c>
      <c r="AJ3" s="252">
        <v>32</v>
      </c>
      <c r="AL3" s="252">
        <v>33</v>
      </c>
      <c r="AN3" s="252">
        <v>34</v>
      </c>
    </row>
    <row r="4" spans="1:41" x14ac:dyDescent="0.25">
      <c r="A4" s="254" t="s">
        <v>1441</v>
      </c>
      <c r="B4" s="254" t="s">
        <v>1398</v>
      </c>
      <c r="C4" s="255" t="s">
        <v>1399</v>
      </c>
      <c r="D4" s="254" t="s">
        <v>1400</v>
      </c>
      <c r="E4" s="482">
        <v>44075</v>
      </c>
      <c r="F4" s="482"/>
      <c r="G4" s="292"/>
      <c r="H4" s="482">
        <f>E4+1</f>
        <v>44076</v>
      </c>
      <c r="I4" s="482"/>
      <c r="J4" s="292"/>
      <c r="K4" s="482">
        <f>H4+1</f>
        <v>44077</v>
      </c>
      <c r="L4" s="482"/>
      <c r="M4" s="292"/>
      <c r="N4" s="482">
        <f>K4+1</f>
        <v>44078</v>
      </c>
      <c r="O4" s="482"/>
      <c r="P4" s="292"/>
      <c r="Q4" s="482">
        <f>N4+1</f>
        <v>44079</v>
      </c>
      <c r="R4" s="482"/>
      <c r="S4" s="292"/>
      <c r="T4" s="482">
        <f>Q4+1</f>
        <v>44080</v>
      </c>
      <c r="U4" s="482"/>
      <c r="V4" s="292"/>
      <c r="W4" s="482">
        <f>T4+1</f>
        <v>44081</v>
      </c>
      <c r="X4" s="482"/>
      <c r="Y4" s="292"/>
      <c r="Z4" s="482">
        <f>W4+1</f>
        <v>44082</v>
      </c>
      <c r="AA4" s="482"/>
      <c r="AB4" s="292"/>
      <c r="AC4" s="482">
        <f>Z4+1</f>
        <v>44083</v>
      </c>
      <c r="AD4" s="482"/>
      <c r="AE4" s="292"/>
      <c r="AF4" s="482">
        <f>AC4+1</f>
        <v>44084</v>
      </c>
      <c r="AG4" s="482"/>
      <c r="AH4" s="482">
        <f>AF4+1</f>
        <v>44085</v>
      </c>
      <c r="AI4" s="482"/>
      <c r="AJ4" s="482">
        <f>AH4+1</f>
        <v>44086</v>
      </c>
      <c r="AK4" s="482"/>
      <c r="AL4" s="482">
        <f>AJ4+1</f>
        <v>44087</v>
      </c>
      <c r="AM4" s="482"/>
      <c r="AN4" s="482">
        <f>AL4+1</f>
        <v>44088</v>
      </c>
      <c r="AO4" s="482"/>
    </row>
    <row r="5" spans="1:41" x14ac:dyDescent="0.25">
      <c r="A5" s="254"/>
      <c r="B5" s="254"/>
      <c r="C5" s="255"/>
      <c r="D5" s="254"/>
      <c r="E5" s="292" t="s">
        <v>1442</v>
      </c>
      <c r="F5" s="292" t="s">
        <v>1443</v>
      </c>
      <c r="G5" s="292"/>
      <c r="H5" s="292" t="s">
        <v>1442</v>
      </c>
      <c r="I5" s="292" t="s">
        <v>1443</v>
      </c>
      <c r="J5" s="292"/>
      <c r="K5" s="292" t="s">
        <v>1442</v>
      </c>
      <c r="L5" s="292" t="s">
        <v>1443</v>
      </c>
      <c r="M5" s="292"/>
      <c r="N5" s="292" t="s">
        <v>1442</v>
      </c>
      <c r="O5" s="292" t="s">
        <v>1443</v>
      </c>
      <c r="P5" s="292"/>
      <c r="Q5" s="292" t="s">
        <v>1442</v>
      </c>
      <c r="R5" s="292" t="s">
        <v>1443</v>
      </c>
      <c r="S5" s="292"/>
      <c r="T5" s="292" t="s">
        <v>1442</v>
      </c>
      <c r="U5" s="292" t="s">
        <v>1443</v>
      </c>
      <c r="V5" s="292"/>
      <c r="W5" s="292" t="s">
        <v>1442</v>
      </c>
      <c r="X5" s="292" t="s">
        <v>1443</v>
      </c>
      <c r="Y5" s="292"/>
      <c r="Z5" s="292" t="s">
        <v>1442</v>
      </c>
      <c r="AA5" s="292" t="s">
        <v>1443</v>
      </c>
      <c r="AB5" s="292"/>
      <c r="AC5" s="292" t="s">
        <v>1442</v>
      </c>
      <c r="AD5" s="292" t="s">
        <v>1443</v>
      </c>
      <c r="AE5" s="292"/>
      <c r="AF5" s="292" t="s">
        <v>1442</v>
      </c>
      <c r="AG5" s="292" t="s">
        <v>1443</v>
      </c>
      <c r="AH5" s="292" t="s">
        <v>1442</v>
      </c>
      <c r="AI5" s="292" t="s">
        <v>1443</v>
      </c>
      <c r="AJ5" s="292" t="s">
        <v>1442</v>
      </c>
      <c r="AK5" s="292" t="s">
        <v>1443</v>
      </c>
      <c r="AL5" s="292" t="s">
        <v>1442</v>
      </c>
      <c r="AM5" s="292" t="s">
        <v>1443</v>
      </c>
      <c r="AN5" s="292" t="s">
        <v>1442</v>
      </c>
      <c r="AO5" s="292" t="s">
        <v>1443</v>
      </c>
    </row>
    <row r="6" spans="1:41" ht="20.100000000000001" customHeight="1" x14ac:dyDescent="0.25">
      <c r="A6" s="254" t="str">
        <f>CONCATENATE(B6,D6)</f>
        <v>LOC1Prod Plan</v>
      </c>
      <c r="B6" s="257" t="s">
        <v>367</v>
      </c>
      <c r="C6" s="255">
        <v>22000071</v>
      </c>
      <c r="D6" s="254" t="s">
        <v>1405</v>
      </c>
      <c r="E6" s="258">
        <f>VLOOKUP($A6,'[1]Requirement (WK36)'!$A:$AD,E$3,0)</f>
        <v>210</v>
      </c>
      <c r="F6" s="267">
        <v>443.3</v>
      </c>
      <c r="G6" s="259">
        <v>0</v>
      </c>
      <c r="H6" s="258">
        <f>VLOOKUP($A6,'[1]Requirement (WK36)'!$A:$AD,H$3,0)</f>
        <v>210</v>
      </c>
      <c r="I6" s="267">
        <v>408</v>
      </c>
      <c r="J6" s="259">
        <v>0</v>
      </c>
      <c r="K6" s="258">
        <v>400</v>
      </c>
      <c r="L6" s="270">
        <v>416</v>
      </c>
      <c r="M6" s="259">
        <v>1</v>
      </c>
      <c r="N6" s="258">
        <v>400</v>
      </c>
      <c r="O6" s="267">
        <v>348</v>
      </c>
      <c r="P6" s="259">
        <v>0</v>
      </c>
      <c r="Q6" s="258">
        <v>400</v>
      </c>
      <c r="R6" s="270">
        <v>408</v>
      </c>
      <c r="S6" s="259">
        <v>1</v>
      </c>
      <c r="T6" s="258">
        <v>400</v>
      </c>
      <c r="U6" s="268">
        <v>472.45</v>
      </c>
      <c r="V6" s="259">
        <v>0</v>
      </c>
      <c r="W6" s="258">
        <v>400</v>
      </c>
      <c r="X6" s="270">
        <v>394</v>
      </c>
      <c r="Y6" s="270">
        <v>1</v>
      </c>
      <c r="Z6" s="258">
        <v>400</v>
      </c>
      <c r="AA6" s="267">
        <v>148</v>
      </c>
      <c r="AB6" s="267">
        <v>0</v>
      </c>
      <c r="AC6" s="258">
        <v>400</v>
      </c>
      <c r="AD6" s="259"/>
      <c r="AE6" s="259"/>
      <c r="AF6" s="258">
        <v>400</v>
      </c>
      <c r="AG6" s="259"/>
      <c r="AH6" s="258">
        <v>400</v>
      </c>
      <c r="AI6" s="259"/>
      <c r="AJ6" s="258">
        <v>400</v>
      </c>
      <c r="AK6" s="259"/>
      <c r="AL6" s="258">
        <v>400</v>
      </c>
      <c r="AM6" s="259"/>
      <c r="AN6" s="258">
        <f>VLOOKUP($A6,'[1]Requirement (WK36)'!$A:$AK,AN$3,0)</f>
        <v>210</v>
      </c>
      <c r="AO6" s="259"/>
    </row>
    <row r="7" spans="1:41" ht="20.100000000000001" customHeight="1" x14ac:dyDescent="0.25">
      <c r="A7" s="254" t="str">
        <f>CONCATENATE(B7,D7)</f>
        <v>LOA1-500Prod Plan</v>
      </c>
      <c r="B7" s="257" t="s">
        <v>1402</v>
      </c>
      <c r="C7" s="255">
        <v>22000015</v>
      </c>
      <c r="D7" s="254" t="s">
        <v>1405</v>
      </c>
      <c r="E7" s="258">
        <f>VLOOKUP($A7,'[1]Requirement (WK36)'!$A:$AD,E$3,0)</f>
        <v>50</v>
      </c>
      <c r="F7" s="259">
        <v>0</v>
      </c>
      <c r="G7" s="259">
        <v>0</v>
      </c>
      <c r="H7" s="258">
        <f>VLOOKUP($A7,'[1]Requirement (WK36)'!$A:$AD,H$3,0)</f>
        <v>50</v>
      </c>
      <c r="I7" s="259">
        <v>0</v>
      </c>
      <c r="J7" s="259">
        <v>0</v>
      </c>
      <c r="K7" s="258">
        <f>VLOOKUP($A7,'[1]Requirement (WK36)'!$A:$AD,K$3,0)</f>
        <v>50</v>
      </c>
      <c r="L7" s="259">
        <v>0</v>
      </c>
      <c r="M7" s="259">
        <v>0</v>
      </c>
      <c r="N7" s="258">
        <f>VLOOKUP($A7,'[1]Requirement (WK36)'!$A:$AD,N$3,0)</f>
        <v>50</v>
      </c>
      <c r="O7" s="267">
        <v>70</v>
      </c>
      <c r="P7" s="259">
        <v>0</v>
      </c>
      <c r="Q7" s="258">
        <f>VLOOKUP($A7,'[1]Requirement (WK36)'!$A:$AD,Q$3,0)</f>
        <v>50</v>
      </c>
      <c r="R7" s="259">
        <v>0</v>
      </c>
      <c r="S7" s="259">
        <v>0</v>
      </c>
      <c r="T7" s="258">
        <f>VLOOKUP($A7,'[1]Requirement (WK36)'!$A:$AD,T$3,0)</f>
        <v>50</v>
      </c>
      <c r="U7" s="259">
        <v>0</v>
      </c>
      <c r="V7" s="259">
        <v>0</v>
      </c>
      <c r="W7" s="258">
        <f>VLOOKUP($A7,'[1]Requirement (WK36)'!$A:$AD,W$3,0)</f>
        <v>50</v>
      </c>
      <c r="X7" s="259">
        <v>0</v>
      </c>
      <c r="Y7" s="259">
        <v>0</v>
      </c>
      <c r="Z7" s="258">
        <f>VLOOKUP($A7,'[1]Requirement (WK36)'!$A:$AD,Z$3,0)</f>
        <v>50</v>
      </c>
      <c r="AA7" s="259">
        <v>50</v>
      </c>
      <c r="AB7" s="259">
        <v>1</v>
      </c>
      <c r="AC7" s="258">
        <f>VLOOKUP($A7,'[1]Requirement (WK36)'!$A:$AD,AC$3,0)</f>
        <v>50</v>
      </c>
      <c r="AD7" s="259"/>
      <c r="AE7" s="259"/>
      <c r="AF7" s="258">
        <f>VLOOKUP($A7,'[1]Requirement (WK36)'!$A:$AD,AF$3,0)</f>
        <v>50</v>
      </c>
      <c r="AG7" s="259"/>
      <c r="AH7" s="258">
        <f>VLOOKUP($A7,'[1]Requirement (WK36)'!$A:$AK,AH$3,0)</f>
        <v>50</v>
      </c>
      <c r="AI7" s="259"/>
      <c r="AJ7" s="258">
        <f>VLOOKUP($A7,'[1]Requirement (WK36)'!$A:$AK,AJ$3,0)</f>
        <v>50</v>
      </c>
      <c r="AK7" s="259"/>
      <c r="AL7" s="258">
        <f>VLOOKUP($A7,'[1]Requirement (WK36)'!$A:$AK,AL$3,0)</f>
        <v>50</v>
      </c>
      <c r="AM7" s="259"/>
      <c r="AN7" s="258">
        <f>VLOOKUP($A7,'[1]Requirement (WK36)'!$A:$AK,AN$3,0)</f>
        <v>50</v>
      </c>
      <c r="AO7" s="259"/>
    </row>
    <row r="8" spans="1:41" ht="20.100000000000001" customHeight="1" x14ac:dyDescent="0.25">
      <c r="A8" s="254" t="str">
        <f t="shared" ref="A8:A19" si="0">CONCATENATE(B8,D8)</f>
        <v>LOA1Prod Plan</v>
      </c>
      <c r="B8" s="257" t="s">
        <v>357</v>
      </c>
      <c r="C8" s="255">
        <v>22000011</v>
      </c>
      <c r="D8" s="254" t="s">
        <v>1405</v>
      </c>
      <c r="E8" s="258">
        <f>VLOOKUP($A8,'[1]Requirement (WK36)'!$A:$AD,E$3,0)</f>
        <v>200</v>
      </c>
      <c r="F8" s="259">
        <v>191</v>
      </c>
      <c r="G8" s="259">
        <v>0</v>
      </c>
      <c r="H8" s="258">
        <f>VLOOKUP($A8,'[1]Requirement (WK36)'!$A:$AD,H$3,0)</f>
        <v>200</v>
      </c>
      <c r="I8" s="259">
        <v>188</v>
      </c>
      <c r="J8" s="259">
        <v>0</v>
      </c>
      <c r="K8" s="258">
        <f>VLOOKUP($A8,'[1]Requirement (WK36)'!$A:$AD,K$3,0)</f>
        <v>200</v>
      </c>
      <c r="L8" s="259">
        <v>24</v>
      </c>
      <c r="M8" s="259">
        <v>0</v>
      </c>
      <c r="N8" s="258">
        <f>VLOOKUP($A8,'[1]Requirement (WK36)'!$A:$AD,N$3,0)</f>
        <v>200</v>
      </c>
      <c r="O8" s="259">
        <v>82</v>
      </c>
      <c r="P8" s="259">
        <v>0</v>
      </c>
      <c r="Q8" s="258">
        <f>VLOOKUP($A8,'[1]Requirement (WK36)'!$A:$AD,Q$3,0)</f>
        <v>200</v>
      </c>
      <c r="R8" s="259">
        <v>56</v>
      </c>
      <c r="S8" s="259">
        <v>0</v>
      </c>
      <c r="T8" s="258">
        <f>VLOOKUP($A8,'[1]Requirement (WK36)'!$A:$AD,T$3,0)</f>
        <v>200</v>
      </c>
      <c r="U8" s="259">
        <v>65.349999999999994</v>
      </c>
      <c r="V8" s="259">
        <v>0</v>
      </c>
      <c r="W8" s="258">
        <f>VLOOKUP($A8,'[1]Requirement (WK36)'!$A:$AD,W$3,0)</f>
        <v>200</v>
      </c>
      <c r="X8" s="259">
        <v>234</v>
      </c>
      <c r="Y8" s="259">
        <v>0</v>
      </c>
      <c r="Z8" s="258">
        <f>VLOOKUP($A8,'[1]Requirement (WK36)'!$A:$AD,Z$3,0)</f>
        <v>200</v>
      </c>
      <c r="AA8" s="259">
        <v>92</v>
      </c>
      <c r="AB8" s="259">
        <v>0</v>
      </c>
      <c r="AC8" s="258">
        <f>VLOOKUP($A8,'[1]Requirement (WK36)'!$A:$AD,AC$3,0)</f>
        <v>200</v>
      </c>
      <c r="AD8" s="259"/>
      <c r="AE8" s="259"/>
      <c r="AF8" s="258">
        <f>VLOOKUP($A8,'[1]Requirement (WK36)'!$A:$AD,AF$3,0)</f>
        <v>200</v>
      </c>
      <c r="AG8" s="259"/>
      <c r="AH8" s="258">
        <f>VLOOKUP($A8,'[1]Requirement (WK36)'!$A:$AK,AH$3,0)</f>
        <v>200</v>
      </c>
      <c r="AI8" s="259"/>
      <c r="AJ8" s="258">
        <f>VLOOKUP($A8,'[1]Requirement (WK36)'!$A:$AK,AJ$3,0)</f>
        <v>200</v>
      </c>
      <c r="AK8" s="259"/>
      <c r="AL8" s="258">
        <f>VLOOKUP($A8,'[1]Requirement (WK36)'!$A:$AK,AL$3,0)</f>
        <v>200</v>
      </c>
      <c r="AM8" s="259"/>
      <c r="AN8" s="258">
        <f>VLOOKUP($A8,'[1]Requirement (WK36)'!$A:$AK,AN$3,0)</f>
        <v>200</v>
      </c>
      <c r="AO8" s="259"/>
    </row>
    <row r="9" spans="1:41" ht="20.100000000000001" customHeight="1" x14ac:dyDescent="0.25">
      <c r="A9" s="254" t="str">
        <f t="shared" si="0"/>
        <v>LOA11TProd Plan</v>
      </c>
      <c r="B9" s="257" t="s">
        <v>1409</v>
      </c>
      <c r="C9" s="255">
        <v>22000013</v>
      </c>
      <c r="D9" s="254" t="s">
        <v>1405</v>
      </c>
      <c r="E9" s="258">
        <f>VLOOKUP($A9,'[1]Requirement (WK36)'!$A:$AD,E$3,0)</f>
        <v>160</v>
      </c>
      <c r="F9" s="259">
        <v>210</v>
      </c>
      <c r="G9" s="259">
        <v>0</v>
      </c>
      <c r="H9" s="258">
        <f>VLOOKUP($A9,'[1]Requirement (WK36)'!$A:$AD,H$3,0)</f>
        <v>160</v>
      </c>
      <c r="I9" s="259">
        <v>330</v>
      </c>
      <c r="J9" s="259">
        <v>0</v>
      </c>
      <c r="K9" s="258">
        <f>VLOOKUP($A9,'[1]Requirement (WK36)'!$A:$AD,K$3,0)</f>
        <v>160</v>
      </c>
      <c r="L9" s="259">
        <v>300</v>
      </c>
      <c r="M9" s="259">
        <v>0</v>
      </c>
      <c r="N9" s="258">
        <f>VLOOKUP($A9,'[1]Requirement (WK36)'!$A:$AD,N$3,0)</f>
        <v>160</v>
      </c>
      <c r="O9" s="267">
        <v>340</v>
      </c>
      <c r="P9" s="259">
        <v>0</v>
      </c>
      <c r="Q9" s="258">
        <f>VLOOKUP($A9,'[1]Requirement (WK36)'!$A:$AD,Q$3,0)</f>
        <v>160</v>
      </c>
      <c r="R9" s="267">
        <v>220</v>
      </c>
      <c r="S9" s="259">
        <v>0</v>
      </c>
      <c r="T9" s="258">
        <f>VLOOKUP($A9,'[1]Requirement (WK36)'!$A:$AD,T$3,0)</f>
        <v>160</v>
      </c>
      <c r="U9" s="267">
        <v>180</v>
      </c>
      <c r="V9" s="259">
        <v>0</v>
      </c>
      <c r="W9" s="258">
        <f>VLOOKUP($A9,'[1]Requirement (WK36)'!$A:$AD,W$3,0)</f>
        <v>160</v>
      </c>
      <c r="X9" s="259">
        <v>93</v>
      </c>
      <c r="Y9" s="259">
        <v>0</v>
      </c>
      <c r="Z9" s="258">
        <f>VLOOKUP($A9,'[1]Requirement (WK36)'!$A:$AD,Z$3,0)</f>
        <v>160</v>
      </c>
      <c r="AA9" s="259">
        <v>114</v>
      </c>
      <c r="AB9" s="259">
        <v>0</v>
      </c>
      <c r="AC9" s="258">
        <f>VLOOKUP($A9,'[1]Requirement (WK36)'!$A:$AD,AC$3,0)</f>
        <v>160</v>
      </c>
      <c r="AD9" s="259"/>
      <c r="AE9" s="259"/>
      <c r="AF9" s="258">
        <f>VLOOKUP($A9,'[1]Requirement (WK36)'!$A:$AD,AF$3,0)</f>
        <v>160</v>
      </c>
      <c r="AG9" s="259"/>
      <c r="AH9" s="258">
        <f>VLOOKUP($A9,'[1]Requirement (WK36)'!$A:$AK,AH$3,0)</f>
        <v>160</v>
      </c>
      <c r="AI9" s="259"/>
      <c r="AJ9" s="258">
        <f>VLOOKUP($A9,'[1]Requirement (WK36)'!$A:$AK,AJ$3,0)</f>
        <v>160</v>
      </c>
      <c r="AK9" s="259"/>
      <c r="AL9" s="258">
        <f>VLOOKUP($A9,'[1]Requirement (WK36)'!$A:$AK,AL$3,0)</f>
        <v>160</v>
      </c>
      <c r="AM9" s="259"/>
      <c r="AN9" s="258">
        <f>VLOOKUP($A9,'[1]Requirement (WK36)'!$A:$AK,AN$3,0)</f>
        <v>160</v>
      </c>
      <c r="AO9" s="259"/>
    </row>
    <row r="10" spans="1:41" ht="20.100000000000001" customHeight="1" x14ac:dyDescent="0.25">
      <c r="A10" s="254" t="str">
        <f t="shared" si="0"/>
        <v>LOCA25(P)Prod Plan</v>
      </c>
      <c r="B10" s="257" t="s">
        <v>1410</v>
      </c>
      <c r="C10" s="255">
        <v>22000087</v>
      </c>
      <c r="D10" s="254" t="s">
        <v>1405</v>
      </c>
      <c r="E10" s="258">
        <f>VLOOKUP($A10,'[1]Requirement (WK36)'!$A:$AD,E$3,0)</f>
        <v>30</v>
      </c>
      <c r="F10" s="259">
        <v>0</v>
      </c>
      <c r="G10" s="259">
        <v>0</v>
      </c>
      <c r="H10" s="258">
        <f>VLOOKUP($A10,'[1]Requirement (WK36)'!$A:$AD,H$3,0)</f>
        <v>0</v>
      </c>
      <c r="I10" s="259">
        <v>0</v>
      </c>
      <c r="J10" s="259">
        <v>1</v>
      </c>
      <c r="K10" s="258">
        <f>VLOOKUP($A10,'[1]Requirement (WK36)'!$A:$AD,K$3,0)</f>
        <v>0</v>
      </c>
      <c r="L10" s="259">
        <v>0</v>
      </c>
      <c r="M10" s="259">
        <v>1</v>
      </c>
      <c r="N10" s="258">
        <f>VLOOKUP($A10,'[1]Requirement (WK36)'!$A:$AD,N$3,0)</f>
        <v>30</v>
      </c>
      <c r="O10" s="259">
        <v>0</v>
      </c>
      <c r="P10" s="259">
        <v>0</v>
      </c>
      <c r="Q10" s="258">
        <f>VLOOKUP($A10,'[1]Requirement (WK36)'!$A:$AD,Q$3,0)</f>
        <v>0</v>
      </c>
      <c r="R10" s="259">
        <v>30</v>
      </c>
      <c r="S10" s="259">
        <v>0</v>
      </c>
      <c r="T10" s="258">
        <f>VLOOKUP($A10,'[1]Requirement (WK36)'!$A:$AD,T$3,0)</f>
        <v>0</v>
      </c>
      <c r="U10" s="259">
        <v>0</v>
      </c>
      <c r="V10" s="259">
        <v>1</v>
      </c>
      <c r="W10" s="258">
        <f>VLOOKUP($A10,'[1]Requirement (WK36)'!$A:$AD,W$3,0)</f>
        <v>30</v>
      </c>
      <c r="X10" s="259">
        <v>0</v>
      </c>
      <c r="Y10" s="259">
        <v>0</v>
      </c>
      <c r="Z10" s="258">
        <f>VLOOKUP($A10,'[1]Requirement (WK36)'!$A:$AD,Z$3,0)</f>
        <v>0</v>
      </c>
      <c r="AA10" s="259">
        <v>0</v>
      </c>
      <c r="AB10" s="259">
        <v>1</v>
      </c>
      <c r="AC10" s="258">
        <f>VLOOKUP($A10,'[1]Requirement (WK36)'!$A:$AD,AC$3,0)</f>
        <v>0</v>
      </c>
      <c r="AD10" s="259"/>
      <c r="AE10" s="259"/>
      <c r="AF10" s="258">
        <f>VLOOKUP($A10,'[1]Requirement (WK36)'!$A:$AD,AF$3,0)</f>
        <v>0</v>
      </c>
      <c r="AG10" s="259"/>
      <c r="AH10" s="258">
        <f>VLOOKUP($A10,'[1]Requirement (WK36)'!$A:$AK,AH$3,0)</f>
        <v>0</v>
      </c>
      <c r="AI10" s="259"/>
      <c r="AJ10" s="258">
        <f>VLOOKUP($A10,'[1]Requirement (WK36)'!$A:$AK,AJ$3,0)</f>
        <v>0</v>
      </c>
      <c r="AK10" s="259"/>
      <c r="AL10" s="258">
        <f>VLOOKUP($A10,'[1]Requirement (WK36)'!$A:$AK,AL$3,0)</f>
        <v>0</v>
      </c>
      <c r="AM10" s="259"/>
      <c r="AN10" s="258">
        <f>VLOOKUP($A10,'[1]Requirement (WK36)'!$A:$AK,AN$3,0)</f>
        <v>0</v>
      </c>
      <c r="AO10" s="259"/>
    </row>
    <row r="11" spans="1:41" ht="20.100000000000001" customHeight="1" x14ac:dyDescent="0.25">
      <c r="A11" s="254" t="str">
        <f t="shared" si="0"/>
        <v>LOCA-900Prod Plan</v>
      </c>
      <c r="B11" s="257" t="s">
        <v>1411</v>
      </c>
      <c r="C11" s="255">
        <v>22000088</v>
      </c>
      <c r="D11" s="254" t="s">
        <v>1405</v>
      </c>
      <c r="E11" s="258">
        <f>VLOOKUP($A11,'[1]Requirement (WK36)'!$A:$AD,E$3,0)</f>
        <v>0</v>
      </c>
      <c r="F11" s="259">
        <v>0</v>
      </c>
      <c r="G11" s="259">
        <v>1</v>
      </c>
      <c r="H11" s="258">
        <f>VLOOKUP($A11,'[1]Requirement (WK36)'!$A:$AD,H$3,0)</f>
        <v>0</v>
      </c>
      <c r="I11" s="259">
        <v>0</v>
      </c>
      <c r="J11" s="259">
        <v>1</v>
      </c>
      <c r="K11" s="258">
        <f>VLOOKUP($A11,'[1]Requirement (WK36)'!$A:$AD,K$3,0)</f>
        <v>0</v>
      </c>
      <c r="L11" s="259">
        <v>36</v>
      </c>
      <c r="M11" s="259">
        <v>0</v>
      </c>
      <c r="N11" s="258">
        <f>VLOOKUP($A11,'[1]Requirement (WK36)'!$A:$AD,N$3,0)</f>
        <v>0</v>
      </c>
      <c r="O11" s="259">
        <v>36</v>
      </c>
      <c r="P11" s="259">
        <v>0</v>
      </c>
      <c r="Q11" s="258">
        <f>VLOOKUP($A11,'[1]Requirement (WK36)'!$A:$AD,Q$3,0)</f>
        <v>0</v>
      </c>
      <c r="R11" s="259">
        <v>0</v>
      </c>
      <c r="S11" s="259">
        <v>1</v>
      </c>
      <c r="T11" s="258">
        <f>VLOOKUP($A11,'[1]Requirement (WK36)'!$A:$AD,T$3,0)</f>
        <v>0</v>
      </c>
      <c r="U11" s="259">
        <v>27</v>
      </c>
      <c r="V11" s="259">
        <v>1</v>
      </c>
      <c r="W11" s="258">
        <f>VLOOKUP($A11,'[1]Requirement (WK36)'!$A:$AD,W$3,0)</f>
        <v>0</v>
      </c>
      <c r="X11" s="259">
        <v>0</v>
      </c>
      <c r="Y11" s="259">
        <v>1</v>
      </c>
      <c r="Z11" s="258">
        <f>VLOOKUP($A11,'[1]Requirement (WK36)'!$A:$AD,Z$3,0)</f>
        <v>0</v>
      </c>
      <c r="AA11" s="259">
        <v>0</v>
      </c>
      <c r="AB11" s="259">
        <v>1</v>
      </c>
      <c r="AC11" s="258">
        <f>VLOOKUP($A11,'[1]Requirement (WK36)'!$A:$AD,AC$3,0)</f>
        <v>0</v>
      </c>
      <c r="AD11" s="259"/>
      <c r="AE11" s="259"/>
      <c r="AF11" s="258">
        <f>VLOOKUP($A11,'[1]Requirement (WK36)'!$A:$AD,AF$3,0)</f>
        <v>0</v>
      </c>
      <c r="AG11" s="259"/>
      <c r="AH11" s="258">
        <f>VLOOKUP($A11,'[1]Requirement (WK36)'!$A:$AK,AH$3,0)</f>
        <v>0</v>
      </c>
      <c r="AI11" s="259"/>
      <c r="AJ11" s="258">
        <f>VLOOKUP($A11,'[1]Requirement (WK36)'!$A:$AK,AJ$3,0)</f>
        <v>0</v>
      </c>
      <c r="AK11" s="259"/>
      <c r="AL11" s="258">
        <f>VLOOKUP($A11,'[1]Requirement (WK36)'!$A:$AK,AL$3,0)</f>
        <v>0</v>
      </c>
      <c r="AM11" s="259"/>
      <c r="AN11" s="258">
        <f>VLOOKUP($A11,'[1]Requirement (WK36)'!$A:$AK,AN$3,0)</f>
        <v>0</v>
      </c>
      <c r="AO11" s="259"/>
    </row>
    <row r="12" spans="1:41" ht="20.100000000000001" customHeight="1" x14ac:dyDescent="0.25">
      <c r="A12" s="254" t="str">
        <f t="shared" si="0"/>
        <v>LOIGCXProd Plan</v>
      </c>
      <c r="B12" s="257" t="s">
        <v>538</v>
      </c>
      <c r="C12" s="255">
        <v>22000105</v>
      </c>
      <c r="D12" s="254" t="s">
        <v>1405</v>
      </c>
      <c r="E12" s="258">
        <f>VLOOKUP($A12,'[1]Requirement (WK36)'!$A:$AD,E$3,0)</f>
        <v>0</v>
      </c>
      <c r="F12" s="259">
        <v>0</v>
      </c>
      <c r="G12" s="259">
        <v>1</v>
      </c>
      <c r="H12" s="258">
        <f>VLOOKUP($A12,'[1]Requirement (WK36)'!$A:$AD,H$3,0)</f>
        <v>0</v>
      </c>
      <c r="I12" s="259">
        <v>0</v>
      </c>
      <c r="J12" s="259">
        <v>1</v>
      </c>
      <c r="K12" s="258">
        <f>VLOOKUP($A12,'[1]Requirement (WK36)'!$A:$AD,K$3,0)</f>
        <v>60</v>
      </c>
      <c r="L12" s="266">
        <v>0</v>
      </c>
      <c r="M12" s="259">
        <v>0</v>
      </c>
      <c r="N12" s="258">
        <f>VLOOKUP($A12,'[1]Requirement (WK36)'!$A:$AD,N$3,0)</f>
        <v>50</v>
      </c>
      <c r="O12" s="259">
        <v>0</v>
      </c>
      <c r="P12" s="259">
        <v>0</v>
      </c>
      <c r="Q12" s="258">
        <f>VLOOKUP($A12,'[1]Requirement (WK36)'!$A:$AD,Q$3,0)</f>
        <v>60</v>
      </c>
      <c r="R12" s="266">
        <v>250</v>
      </c>
      <c r="S12" s="259">
        <v>0</v>
      </c>
      <c r="T12" s="258">
        <f>VLOOKUP($A12,'[1]Requirement (WK36)'!$A:$AD,T$3,0)</f>
        <v>0</v>
      </c>
      <c r="U12" s="259">
        <v>260</v>
      </c>
      <c r="V12" s="259">
        <v>0</v>
      </c>
      <c r="W12" s="258">
        <f>VLOOKUP($A12,'[1]Requirement (WK36)'!$A:$AD,W$3,0)</f>
        <v>0</v>
      </c>
      <c r="X12" s="259">
        <v>0</v>
      </c>
      <c r="Y12" s="259">
        <v>1</v>
      </c>
      <c r="Z12" s="258">
        <f>VLOOKUP($A12,'[1]Requirement (WK36)'!$A:$AD,Z$3,0)</f>
        <v>0</v>
      </c>
      <c r="AA12" s="259">
        <v>134</v>
      </c>
      <c r="AB12" s="259">
        <v>0</v>
      </c>
      <c r="AC12" s="258">
        <f>VLOOKUP($A12,'[1]Requirement (WK36)'!$A:$AD,AC$3,0)</f>
        <v>0</v>
      </c>
      <c r="AD12" s="259"/>
      <c r="AE12" s="259"/>
      <c r="AF12" s="258">
        <f>VLOOKUP($A12,'[1]Requirement (WK36)'!$A:$AD,AF$3,0)</f>
        <v>0</v>
      </c>
      <c r="AG12" s="259"/>
      <c r="AH12" s="258">
        <f>VLOOKUP($A12,'[1]Requirement (WK36)'!$A:$AK,AH$3,0)</f>
        <v>0</v>
      </c>
      <c r="AI12" s="259"/>
      <c r="AJ12" s="258">
        <f>VLOOKUP($A12,'[1]Requirement (WK36)'!$A:$AK,AJ$3,0)</f>
        <v>0</v>
      </c>
      <c r="AK12" s="259"/>
      <c r="AL12" s="258">
        <f>VLOOKUP($A12,'[1]Requirement (WK36)'!$A:$AK,AL$3,0)</f>
        <v>0</v>
      </c>
      <c r="AM12" s="259"/>
      <c r="AN12" s="258">
        <f>VLOOKUP($A12,'[1]Requirement (WK36)'!$A:$AK,AN$3,0)</f>
        <v>0</v>
      </c>
      <c r="AO12" s="259"/>
    </row>
    <row r="13" spans="1:41" ht="20.100000000000001" customHeight="1" x14ac:dyDescent="0.25">
      <c r="A13" s="254" t="str">
        <f t="shared" si="0"/>
        <v>LOIGCX-25Prod Plan</v>
      </c>
      <c r="B13" s="257" t="s">
        <v>1412</v>
      </c>
      <c r="C13" s="255">
        <v>22000106</v>
      </c>
      <c r="D13" s="254" t="s">
        <v>1405</v>
      </c>
      <c r="E13" s="258">
        <f>VLOOKUP($A13,'[1]Requirement (WK36)'!$A:$AD,E$3,0)</f>
        <v>0</v>
      </c>
      <c r="F13" s="259">
        <v>0</v>
      </c>
      <c r="G13" s="259">
        <v>1</v>
      </c>
      <c r="H13" s="258">
        <f>VLOOKUP($A13,'[1]Requirement (WK36)'!$A:$AD,H$3,0)</f>
        <v>20</v>
      </c>
      <c r="I13" s="259">
        <v>0</v>
      </c>
      <c r="J13" s="259">
        <v>0</v>
      </c>
      <c r="K13" s="258">
        <f>VLOOKUP($A13,'[1]Requirement (WK36)'!$A:$AD,K$3,0)</f>
        <v>0</v>
      </c>
      <c r="L13" s="259">
        <v>0</v>
      </c>
      <c r="M13" s="259">
        <v>1</v>
      </c>
      <c r="N13" s="258">
        <f>VLOOKUP($A13,'[1]Requirement (WK36)'!$A:$AD,N$3,0)</f>
        <v>20</v>
      </c>
      <c r="O13" s="259">
        <v>0</v>
      </c>
      <c r="P13" s="259">
        <v>0</v>
      </c>
      <c r="Q13" s="258">
        <f>VLOOKUP($A13,'[1]Requirement (WK36)'!$A:$AD,Q$3,0)</f>
        <v>0</v>
      </c>
      <c r="R13" s="259">
        <v>0</v>
      </c>
      <c r="S13" s="259">
        <v>1</v>
      </c>
      <c r="T13" s="258">
        <f>VLOOKUP($A13,'[1]Requirement (WK36)'!$A:$AD,T$3,0)</f>
        <v>20</v>
      </c>
      <c r="U13" s="259">
        <v>0</v>
      </c>
      <c r="V13" s="259">
        <v>0</v>
      </c>
      <c r="W13" s="258">
        <f>VLOOKUP($A13,'[1]Requirement (WK36)'!$A:$AD,W$3,0)</f>
        <v>0</v>
      </c>
      <c r="X13" s="259">
        <v>34</v>
      </c>
      <c r="Y13" s="259">
        <v>0</v>
      </c>
      <c r="Z13" s="258">
        <f>VLOOKUP($A13,'[1]Requirement (WK36)'!$A:$AD,Z$3,0)</f>
        <v>20</v>
      </c>
      <c r="AA13" s="259">
        <v>0</v>
      </c>
      <c r="AB13" s="259">
        <v>0</v>
      </c>
      <c r="AC13" s="258">
        <f>VLOOKUP($A13,'[1]Requirement (WK36)'!$A:$AD,AC$3,0)</f>
        <v>0</v>
      </c>
      <c r="AD13" s="259"/>
      <c r="AE13" s="259"/>
      <c r="AF13" s="258">
        <f>VLOOKUP($A13,'[1]Requirement (WK36)'!$A:$AD,AF$3,0)</f>
        <v>20</v>
      </c>
      <c r="AG13" s="259"/>
      <c r="AH13" s="258">
        <f>VLOOKUP($A13,'[1]Requirement (WK36)'!$A:$AK,AH$3,0)</f>
        <v>20</v>
      </c>
      <c r="AI13" s="259"/>
      <c r="AJ13" s="258">
        <f>VLOOKUP($A13,'[1]Requirement (WK36)'!$A:$AK,AJ$3,0)</f>
        <v>20</v>
      </c>
      <c r="AK13" s="259"/>
      <c r="AL13" s="258">
        <f>VLOOKUP($A13,'[1]Requirement (WK36)'!$A:$AK,AL$3,0)</f>
        <v>20</v>
      </c>
      <c r="AM13" s="259"/>
      <c r="AN13" s="258">
        <f>VLOOKUP($A13,'[1]Requirement (WK36)'!$A:$AK,AN$3,0)</f>
        <v>20</v>
      </c>
      <c r="AO13" s="259"/>
    </row>
    <row r="14" spans="1:41" ht="20.100000000000001" customHeight="1" x14ac:dyDescent="0.25">
      <c r="A14" s="254" t="str">
        <f t="shared" si="0"/>
        <v>LOCX1TProd Plan</v>
      </c>
      <c r="B14" s="257" t="s">
        <v>715</v>
      </c>
      <c r="C14" s="255">
        <v>22000101</v>
      </c>
      <c r="D14" s="254" t="s">
        <v>1405</v>
      </c>
      <c r="E14" s="258">
        <f>VLOOKUP($A14,'[1]Requirement (WK36)'!$A:$AD,E$3,0)</f>
        <v>0</v>
      </c>
      <c r="F14" s="259">
        <v>110</v>
      </c>
      <c r="G14" s="259">
        <v>0</v>
      </c>
      <c r="H14" s="258">
        <f>VLOOKUP($A14,'[1]Requirement (WK36)'!$A:$AD,H$3,0)</f>
        <v>0</v>
      </c>
      <c r="I14" s="259">
        <v>0</v>
      </c>
      <c r="J14" s="259">
        <v>1</v>
      </c>
      <c r="K14" s="258">
        <f>VLOOKUP($A14,'[1]Requirement (WK36)'!$A:$AD,K$3,0)</f>
        <v>0</v>
      </c>
      <c r="L14" s="259">
        <v>0</v>
      </c>
      <c r="M14" s="259">
        <v>1</v>
      </c>
      <c r="N14" s="258">
        <f>VLOOKUP($A14,'[1]Requirement (WK36)'!$A:$AD,N$3,0)</f>
        <v>60</v>
      </c>
      <c r="O14" s="266">
        <v>0</v>
      </c>
      <c r="P14" s="259">
        <v>0</v>
      </c>
      <c r="Q14" s="258">
        <f>VLOOKUP($A14,'[1]Requirement (WK36)'!$A:$AD,Q$3,0)</f>
        <v>0</v>
      </c>
      <c r="R14" s="259">
        <v>0</v>
      </c>
      <c r="S14" s="259">
        <v>1</v>
      </c>
      <c r="T14" s="258">
        <f>VLOOKUP($A14,'[1]Requirement (WK36)'!$A:$AD,T$3,0)</f>
        <v>0</v>
      </c>
      <c r="U14" s="259">
        <v>0</v>
      </c>
      <c r="V14" s="259">
        <v>1</v>
      </c>
      <c r="W14" s="258">
        <f>VLOOKUP($A14,'[1]Requirement (WK36)'!$A:$AD,W$3,0)</f>
        <v>0</v>
      </c>
      <c r="X14" s="259">
        <v>0</v>
      </c>
      <c r="Y14" s="259">
        <v>1</v>
      </c>
      <c r="Z14" s="258">
        <f>VLOOKUP($A14,'[1]Requirement (WK36)'!$A:$AD,Z$3,0)</f>
        <v>0</v>
      </c>
      <c r="AA14" s="259">
        <v>0</v>
      </c>
      <c r="AB14" s="259">
        <v>1</v>
      </c>
      <c r="AC14" s="258">
        <f>VLOOKUP($A14,'[1]Requirement (WK36)'!$A:$AD,AC$3,0)</f>
        <v>0</v>
      </c>
      <c r="AD14" s="259"/>
      <c r="AE14" s="259"/>
      <c r="AF14" s="258">
        <f>VLOOKUP($A14,'[1]Requirement (WK36)'!$A:$AD,AF$3,0)</f>
        <v>0</v>
      </c>
      <c r="AG14" s="259"/>
      <c r="AH14" s="258">
        <f>VLOOKUP($A14,'[1]Requirement (WK36)'!$A:$AK,AH$3,0)</f>
        <v>0</v>
      </c>
      <c r="AI14" s="259"/>
      <c r="AJ14" s="258">
        <f>VLOOKUP($A14,'[1]Requirement (WK36)'!$A:$AK,AJ$3,0)</f>
        <v>0</v>
      </c>
      <c r="AK14" s="259"/>
      <c r="AL14" s="258">
        <f>VLOOKUP($A14,'[1]Requirement (WK36)'!$A:$AK,AL$3,0)</f>
        <v>0</v>
      </c>
      <c r="AM14" s="259"/>
      <c r="AN14" s="258">
        <f>VLOOKUP($A14,'[1]Requirement (WK36)'!$A:$AK,AN$3,0)</f>
        <v>0</v>
      </c>
      <c r="AO14" s="259"/>
    </row>
    <row r="15" spans="1:41" ht="20.100000000000001" customHeight="1" x14ac:dyDescent="0.25">
      <c r="A15" s="254" t="str">
        <f t="shared" si="0"/>
        <v>LOIGFFProd Plan</v>
      </c>
      <c r="B15" s="257" t="s">
        <v>494</v>
      </c>
      <c r="C15" s="255">
        <v>22000107</v>
      </c>
      <c r="D15" s="254" t="s">
        <v>1405</v>
      </c>
      <c r="E15" s="258">
        <f>VLOOKUP($A15,'[1]Requirement (WK36)'!$A:$AD,E$3,0)</f>
        <v>0</v>
      </c>
      <c r="F15" s="259">
        <v>0</v>
      </c>
      <c r="G15" s="259">
        <v>1</v>
      </c>
      <c r="H15" s="258">
        <f>VLOOKUP($A15,'[1]Requirement (WK36)'!$A:$AD,H$3,0)</f>
        <v>0</v>
      </c>
      <c r="I15" s="259">
        <v>0</v>
      </c>
      <c r="J15" s="259">
        <v>1</v>
      </c>
      <c r="K15" s="258">
        <f>VLOOKUP($A15,'[1]Requirement (WK36)'!$A:$AD,K$3,0)</f>
        <v>150</v>
      </c>
      <c r="L15" s="259">
        <v>0</v>
      </c>
      <c r="M15" s="259">
        <v>0</v>
      </c>
      <c r="N15" s="258">
        <f>VLOOKUP($A15,'[1]Requirement (WK36)'!$A:$AD,N$3,0)</f>
        <v>0</v>
      </c>
      <c r="O15" s="259">
        <v>160</v>
      </c>
      <c r="P15" s="259">
        <v>0</v>
      </c>
      <c r="Q15" s="258">
        <f>VLOOKUP($A15,'[1]Requirement (WK36)'!$A:$AD,Q$3,0)</f>
        <v>0</v>
      </c>
      <c r="R15" s="259">
        <v>0</v>
      </c>
      <c r="S15" s="259">
        <v>1</v>
      </c>
      <c r="T15" s="258">
        <f>VLOOKUP($A15,'[1]Requirement (WK36)'!$A:$AD,T$3,0)</f>
        <v>0</v>
      </c>
      <c r="U15" s="259">
        <v>0</v>
      </c>
      <c r="V15" s="259">
        <v>1</v>
      </c>
      <c r="W15" s="258">
        <f>VLOOKUP($A15,'[1]Requirement (WK36)'!$A:$AD,W$3,0)</f>
        <v>0</v>
      </c>
      <c r="X15" s="259">
        <v>0</v>
      </c>
      <c r="Y15" s="259">
        <v>1</v>
      </c>
      <c r="Z15" s="258">
        <f>VLOOKUP($A15,'[1]Requirement (WK36)'!$A:$AD,Z$3,0)</f>
        <v>0</v>
      </c>
      <c r="AA15" s="259">
        <v>0</v>
      </c>
      <c r="AB15" s="259">
        <v>1</v>
      </c>
      <c r="AC15" s="258">
        <f>VLOOKUP($A15,'[1]Requirement (WK36)'!$A:$AD,AC$3,0)</f>
        <v>0</v>
      </c>
      <c r="AD15" s="259"/>
      <c r="AE15" s="259"/>
      <c r="AF15" s="258">
        <f>VLOOKUP($A15,'[1]Requirement (WK36)'!$A:$AD,AF$3,0)</f>
        <v>0</v>
      </c>
      <c r="AG15" s="259"/>
      <c r="AH15" s="258">
        <f>VLOOKUP($A15,'[1]Requirement (WK36)'!$A:$AK,AH$3,0)</f>
        <v>0</v>
      </c>
      <c r="AI15" s="259"/>
      <c r="AJ15" s="258">
        <f>VLOOKUP($A15,'[1]Requirement (WK36)'!$A:$AK,AJ$3,0)</f>
        <v>0</v>
      </c>
      <c r="AK15" s="259"/>
      <c r="AL15" s="258">
        <f>VLOOKUP($A15,'[1]Requirement (WK36)'!$A:$AK,AL$3,0)</f>
        <v>0</v>
      </c>
      <c r="AM15" s="259"/>
      <c r="AN15" s="258">
        <f>VLOOKUP($A15,'[1]Requirement (WK36)'!$A:$AK,AN$3,0)</f>
        <v>0</v>
      </c>
      <c r="AO15" s="259"/>
    </row>
    <row r="16" spans="1:41" ht="20.100000000000001" customHeight="1" x14ac:dyDescent="0.25">
      <c r="A16" s="254" t="str">
        <f t="shared" si="0"/>
        <v>LOIG1TProd Plan</v>
      </c>
      <c r="B16" s="257" t="s">
        <v>1413</v>
      </c>
      <c r="C16" s="255">
        <v>22000103</v>
      </c>
      <c r="D16" s="254" t="s">
        <v>1405</v>
      </c>
      <c r="E16" s="258">
        <f>VLOOKUP($A16,'[1]Requirement (WK36)'!$A:$AD,E$3,0)</f>
        <v>240</v>
      </c>
      <c r="F16" s="259">
        <v>140</v>
      </c>
      <c r="G16" s="259">
        <v>0</v>
      </c>
      <c r="H16" s="258">
        <f>VLOOKUP($A16,'[1]Requirement (WK36)'!$A:$AD,H$3,0)</f>
        <v>240</v>
      </c>
      <c r="I16" s="259">
        <v>200</v>
      </c>
      <c r="J16" s="259">
        <v>0</v>
      </c>
      <c r="K16" s="258">
        <f>VLOOKUP($A16,'[1]Requirement (WK36)'!$A:$AD,K$3,0)</f>
        <v>240</v>
      </c>
      <c r="L16" s="259">
        <v>100</v>
      </c>
      <c r="M16" s="259">
        <v>0</v>
      </c>
      <c r="N16" s="258">
        <f>VLOOKUP($A16,'[1]Requirement (WK36)'!$A:$AD,N$3,0)</f>
        <v>240</v>
      </c>
      <c r="O16" s="259">
        <v>0</v>
      </c>
      <c r="P16" s="259">
        <v>0</v>
      </c>
      <c r="Q16" s="258">
        <f>VLOOKUP($A16,'[1]Requirement (WK36)'!$A:$AD,Q$3,0)</f>
        <v>240</v>
      </c>
      <c r="R16" s="259">
        <v>120</v>
      </c>
      <c r="S16" s="259">
        <v>0</v>
      </c>
      <c r="T16" s="258">
        <f>VLOOKUP($A16,'[1]Requirement (WK36)'!$A:$AD,T$3,0)</f>
        <v>240</v>
      </c>
      <c r="U16" s="259">
        <v>150</v>
      </c>
      <c r="V16" s="259">
        <v>0</v>
      </c>
      <c r="W16" s="258">
        <f>VLOOKUP($A16,'[1]Requirement (WK36)'!$A:$AD,W$3,0)</f>
        <v>240</v>
      </c>
      <c r="X16" s="259">
        <v>180</v>
      </c>
      <c r="Y16" s="259">
        <v>0</v>
      </c>
      <c r="Z16" s="258">
        <f>VLOOKUP($A16,'[1]Requirement (WK36)'!$A:$AD,Z$3,0)</f>
        <v>240</v>
      </c>
      <c r="AA16" s="259">
        <v>110</v>
      </c>
      <c r="AB16" s="259">
        <v>0</v>
      </c>
      <c r="AC16" s="258">
        <f>VLOOKUP($A16,'[1]Requirement (WK36)'!$A:$AD,AC$3,0)</f>
        <v>240</v>
      </c>
      <c r="AD16" s="259"/>
      <c r="AE16" s="259"/>
      <c r="AF16" s="258">
        <f>VLOOKUP($A16,'[1]Requirement (WK36)'!$A:$AD,AF$3,0)</f>
        <v>240</v>
      </c>
      <c r="AG16" s="259"/>
      <c r="AH16" s="258">
        <f>VLOOKUP($A16,'[1]Requirement (WK36)'!$A:$AK,AH$3,0)</f>
        <v>240</v>
      </c>
      <c r="AI16" s="259"/>
      <c r="AJ16" s="258">
        <f>VLOOKUP($A16,'[1]Requirement (WK36)'!$A:$AK,AJ$3,0)</f>
        <v>240</v>
      </c>
      <c r="AK16" s="259"/>
      <c r="AL16" s="258">
        <f>VLOOKUP($A16,'[1]Requirement (WK36)'!$A:$AK,AL$3,0)</f>
        <v>240</v>
      </c>
      <c r="AM16" s="259"/>
      <c r="AN16" s="258">
        <f>VLOOKUP($A16,'[1]Requirement (WK36)'!$A:$AK,AN$3,0)</f>
        <v>240</v>
      </c>
      <c r="AO16" s="259"/>
    </row>
    <row r="17" spans="1:41" ht="20.100000000000001" customHeight="1" x14ac:dyDescent="0.25">
      <c r="A17" s="254" t="str">
        <f t="shared" si="0"/>
        <v>SPCG1Prod Plan</v>
      </c>
      <c r="B17" s="257" t="s">
        <v>1414</v>
      </c>
      <c r="C17" s="255">
        <v>22000073</v>
      </c>
      <c r="D17" s="254" t="s">
        <v>1405</v>
      </c>
      <c r="E17" s="258">
        <f>VLOOKUP($A17,'[1]Requirement (WK36)'!$A:$AD,E$3,0)</f>
        <v>300</v>
      </c>
      <c r="F17" s="259">
        <v>227</v>
      </c>
      <c r="G17" s="259">
        <v>0</v>
      </c>
      <c r="H17" s="258">
        <f>VLOOKUP($A17,'[1]Requirement (WK36)'!$A:$AD,H$3,0)</f>
        <v>300</v>
      </c>
      <c r="I17" s="259">
        <v>187.68</v>
      </c>
      <c r="J17" s="259">
        <v>0</v>
      </c>
      <c r="K17" s="258">
        <f>VLOOKUP($A17,'[1]Requirement (WK36)'!$A:$AD,K$3,0)</f>
        <v>300</v>
      </c>
      <c r="L17" s="259">
        <v>135</v>
      </c>
      <c r="M17" s="259">
        <v>0</v>
      </c>
      <c r="N17" s="258">
        <f>VLOOKUP($A17,'[1]Requirement (WK36)'!$A:$AD,N$3,0)</f>
        <v>300</v>
      </c>
      <c r="O17" s="259">
        <v>247.32</v>
      </c>
      <c r="P17" s="259">
        <v>0</v>
      </c>
      <c r="Q17" s="258">
        <f>VLOOKUP($A17,'[1]Requirement (WK36)'!$A:$AD,Q$3,0)</f>
        <v>300</v>
      </c>
      <c r="R17" s="259">
        <v>218.52</v>
      </c>
      <c r="S17" s="259">
        <v>0</v>
      </c>
      <c r="T17" s="258">
        <f>VLOOKUP($A17,'[1]Requirement (WK36)'!$A:$AD,T$3,0)</f>
        <v>300</v>
      </c>
      <c r="U17" s="259">
        <v>102.6</v>
      </c>
      <c r="V17" s="259">
        <v>0</v>
      </c>
      <c r="W17" s="258">
        <f>VLOOKUP($A17,'[1]Requirement (WK36)'!$A:$AD,W$3,0)</f>
        <v>300</v>
      </c>
      <c r="X17" s="259">
        <v>176.04</v>
      </c>
      <c r="Y17" s="259">
        <v>0</v>
      </c>
      <c r="Z17" s="258">
        <f>VLOOKUP($A17,'[1]Requirement (WK36)'!$A:$AD,Z$3,0)</f>
        <v>300</v>
      </c>
      <c r="AA17" s="259">
        <v>69.12</v>
      </c>
      <c r="AB17" s="259">
        <v>0</v>
      </c>
      <c r="AC17" s="258">
        <f>VLOOKUP($A17,'[1]Requirement (WK36)'!$A:$AD,AC$3,0)</f>
        <v>300</v>
      </c>
      <c r="AD17" s="259"/>
      <c r="AE17" s="259"/>
      <c r="AF17" s="258">
        <f>VLOOKUP($A17,'[1]Requirement (WK36)'!$A:$AD,AF$3,0)</f>
        <v>300</v>
      </c>
      <c r="AG17" s="259"/>
      <c r="AH17" s="258">
        <f>VLOOKUP($A17,'[1]Requirement (WK36)'!$A:$AK,AH$3,0)</f>
        <v>300</v>
      </c>
      <c r="AI17" s="259"/>
      <c r="AJ17" s="258">
        <f>VLOOKUP($A17,'[1]Requirement (WK36)'!$A:$AK,AJ$3,0)</f>
        <v>300</v>
      </c>
      <c r="AK17" s="259"/>
      <c r="AL17" s="258">
        <f>VLOOKUP($A17,'[1]Requirement (WK36)'!$A:$AK,AL$3,0)</f>
        <v>300</v>
      </c>
      <c r="AM17" s="259"/>
      <c r="AN17" s="258">
        <f>VLOOKUP($A17,'[1]Requirement (WK36)'!$A:$AK,AN$3,0)</f>
        <v>300</v>
      </c>
      <c r="AO17" s="259"/>
    </row>
    <row r="18" spans="1:41" ht="20.100000000000001" customHeight="1" x14ac:dyDescent="0.25">
      <c r="A18" s="254" t="str">
        <f t="shared" si="0"/>
        <v>LOCBProd Plan</v>
      </c>
      <c r="B18" s="257" t="s">
        <v>403</v>
      </c>
      <c r="C18" s="255">
        <v>22000041</v>
      </c>
      <c r="D18" s="254" t="s">
        <v>1405</v>
      </c>
      <c r="E18" s="258">
        <f>VLOOKUP($A18,'[1]Requirement (WK36)'!$A:$AD,E$3,0)</f>
        <v>18</v>
      </c>
      <c r="F18" s="259">
        <v>47</v>
      </c>
      <c r="G18" s="259">
        <v>0</v>
      </c>
      <c r="H18" s="258">
        <f>VLOOKUP($A18,'[1]Requirement (WK36)'!$A:$AD,H$3,0)</f>
        <v>18</v>
      </c>
      <c r="I18" s="259">
        <v>20</v>
      </c>
      <c r="J18" s="259">
        <v>1</v>
      </c>
      <c r="K18" s="258">
        <f>VLOOKUP($A18,'[1]Requirement (WK36)'!$A:$AD,K$3,0)</f>
        <v>18</v>
      </c>
      <c r="L18" s="259">
        <v>63.7</v>
      </c>
      <c r="M18" s="259">
        <v>0</v>
      </c>
      <c r="N18" s="258">
        <f>VLOOKUP($A18,'[1]Requirement (WK36)'!$A:$AD,N$3,0)</f>
        <v>18</v>
      </c>
      <c r="O18" s="269">
        <v>75.349999999999994</v>
      </c>
      <c r="P18" s="259">
        <v>0</v>
      </c>
      <c r="Q18" s="258">
        <f>VLOOKUP($A18,'[1]Requirement (WK36)'!$A:$AD,Q$3,0)</f>
        <v>18</v>
      </c>
      <c r="R18" s="266">
        <v>52</v>
      </c>
      <c r="S18" s="259">
        <v>0</v>
      </c>
      <c r="T18" s="258">
        <f>VLOOKUP($A18,'[1]Requirement (WK36)'!$A:$AD,T$3,0)</f>
        <v>18</v>
      </c>
      <c r="U18" s="266">
        <v>24</v>
      </c>
      <c r="V18" s="259">
        <v>0</v>
      </c>
      <c r="W18" s="258">
        <f>VLOOKUP($A18,'[1]Requirement (WK36)'!$A:$AD,W$3,0)</f>
        <v>18</v>
      </c>
      <c r="X18" s="269">
        <v>51.4</v>
      </c>
      <c r="Y18" s="269">
        <v>0</v>
      </c>
      <c r="Z18" s="258">
        <f>VLOOKUP($A18,'[1]Requirement (WK36)'!$A:$AD,Z$3,0)</f>
        <v>18</v>
      </c>
      <c r="AA18" s="269">
        <v>28.5</v>
      </c>
      <c r="AB18" s="269">
        <v>0</v>
      </c>
      <c r="AC18" s="258">
        <f>VLOOKUP($A18,'[1]Requirement (WK36)'!$A:$AD,AC$3,0)</f>
        <v>18</v>
      </c>
      <c r="AD18" s="259"/>
      <c r="AE18" s="259"/>
      <c r="AF18" s="258">
        <f>VLOOKUP($A18,'[1]Requirement (WK36)'!$A:$AD,AF$3,0)</f>
        <v>18</v>
      </c>
      <c r="AG18" s="259"/>
      <c r="AH18" s="258">
        <f>VLOOKUP($A18,'[1]Requirement (WK36)'!$A:$AK,AH$3,0)</f>
        <v>18</v>
      </c>
      <c r="AI18" s="259"/>
      <c r="AJ18" s="258">
        <f>VLOOKUP($A18,'[1]Requirement (WK36)'!$A:$AK,AJ$3,0)</f>
        <v>18</v>
      </c>
      <c r="AK18" s="259"/>
      <c r="AL18" s="258">
        <f>VLOOKUP($A18,'[1]Requirement (WK36)'!$A:$AK,AL$3,0)</f>
        <v>18</v>
      </c>
      <c r="AM18" s="259"/>
      <c r="AN18" s="258">
        <f>VLOOKUP($A18,'[1]Requirement (WK36)'!$A:$AK,AN$3,0)</f>
        <v>18</v>
      </c>
      <c r="AO18" s="259"/>
    </row>
    <row r="19" spans="1:41" ht="20.100000000000001" customHeight="1" x14ac:dyDescent="0.25">
      <c r="A19" s="254" t="str">
        <f t="shared" si="0"/>
        <v>LOSBProd Plan</v>
      </c>
      <c r="B19" s="257" t="s">
        <v>365</v>
      </c>
      <c r="C19" s="255">
        <v>22000047</v>
      </c>
      <c r="D19" s="254" t="s">
        <v>1405</v>
      </c>
      <c r="E19" s="258">
        <f>VLOOKUP($A19,'[1]Requirement (WK36)'!$A:$AD,E$3,0)</f>
        <v>20</v>
      </c>
      <c r="F19" s="259">
        <v>25</v>
      </c>
      <c r="G19" s="259">
        <v>0</v>
      </c>
      <c r="H19" s="258">
        <f>VLOOKUP($A19,'[1]Requirement (WK36)'!$A:$AD,H$3,0)</f>
        <v>0</v>
      </c>
      <c r="I19" s="259">
        <v>0</v>
      </c>
      <c r="J19" s="259">
        <v>1</v>
      </c>
      <c r="K19" s="258">
        <f>VLOOKUP($A19,'[1]Requirement (WK36)'!$A:$AD,K$3,0)</f>
        <v>20</v>
      </c>
      <c r="L19" s="259">
        <v>25.5</v>
      </c>
      <c r="M19" s="259">
        <v>0</v>
      </c>
      <c r="N19" s="258">
        <f>VLOOKUP($A19,'[1]Requirement (WK36)'!$A:$AD,N$3,0)</f>
        <v>0</v>
      </c>
      <c r="O19" s="259">
        <v>0</v>
      </c>
      <c r="P19" s="259">
        <v>1</v>
      </c>
      <c r="Q19" s="258">
        <f>VLOOKUP($A19,'[1]Requirement (WK36)'!$A:$AD,Q$3,0)</f>
        <v>20</v>
      </c>
      <c r="R19" s="271">
        <v>19.350000000000001</v>
      </c>
      <c r="S19" s="259">
        <v>1</v>
      </c>
      <c r="T19" s="258">
        <f>VLOOKUP($A19,'[1]Requirement (WK36)'!$A:$AD,T$3,0)</f>
        <v>0</v>
      </c>
      <c r="U19" s="259">
        <v>0</v>
      </c>
      <c r="V19" s="259">
        <v>1</v>
      </c>
      <c r="W19" s="258">
        <f>VLOOKUP($A19,'[1]Requirement (WK36)'!$A:$AD,W$3,0)</f>
        <v>20</v>
      </c>
      <c r="X19" s="259">
        <v>24.25</v>
      </c>
      <c r="Y19" s="259">
        <v>1</v>
      </c>
      <c r="Z19" s="258">
        <f>VLOOKUP($A19,'[1]Requirement (WK36)'!$A:$AD,Z$3,0)</f>
        <v>0</v>
      </c>
      <c r="AA19" s="259">
        <v>0</v>
      </c>
      <c r="AB19" s="259">
        <v>1</v>
      </c>
      <c r="AC19" s="258">
        <f>VLOOKUP($A19,'[1]Requirement (WK36)'!$A:$AD,AC$3,0)</f>
        <v>20</v>
      </c>
      <c r="AD19" s="259"/>
      <c r="AE19" s="259"/>
      <c r="AF19" s="258">
        <f>VLOOKUP($A19,'[1]Requirement (WK36)'!$A:$AD,AF$3,0)</f>
        <v>0</v>
      </c>
      <c r="AG19" s="259"/>
      <c r="AH19" s="258">
        <f>VLOOKUP($A19,'[1]Requirement (WK36)'!$A:$AK,AH$3,0)</f>
        <v>0</v>
      </c>
      <c r="AI19" s="259"/>
      <c r="AJ19" s="258">
        <f>VLOOKUP($A19,'[1]Requirement (WK36)'!$A:$AK,AJ$3,0)</f>
        <v>0</v>
      </c>
      <c r="AK19" s="259"/>
      <c r="AL19" s="258">
        <f>VLOOKUP($A19,'[1]Requirement (WK36)'!$A:$AK,AL$3,0)</f>
        <v>0</v>
      </c>
      <c r="AM19" s="259"/>
      <c r="AN19" s="258">
        <f>VLOOKUP($A19,'[1]Requirement (WK36)'!$A:$AK,AN$3,0)</f>
        <v>0</v>
      </c>
      <c r="AO19" s="259"/>
    </row>
    <row r="20" spans="1:41" ht="38.25" customHeight="1" x14ac:dyDescent="0.25">
      <c r="A20" s="483" t="s">
        <v>1444</v>
      </c>
      <c r="B20" s="483"/>
      <c r="C20" s="483"/>
      <c r="D20" s="483"/>
      <c r="E20" s="260">
        <v>0.96</v>
      </c>
      <c r="F20" s="261">
        <f>SUM(G6:G19)/COUNT(G6:G19)</f>
        <v>0.2857142857142857</v>
      </c>
      <c r="G20" s="261"/>
      <c r="H20" s="262">
        <f>E20</f>
        <v>0.96</v>
      </c>
      <c r="I20" s="261">
        <f>SUM(J6:J19)/COUNT(J6:J19)</f>
        <v>0.5</v>
      </c>
      <c r="J20" s="261">
        <f>SUM(J6:J19)/COUNT(J6:J19)</f>
        <v>0.5</v>
      </c>
      <c r="K20" s="262">
        <f>H20</f>
        <v>0.96</v>
      </c>
      <c r="L20" s="261">
        <f>SUM(M6:M19)/COUNT(M6:M19)</f>
        <v>0.2857142857142857</v>
      </c>
      <c r="M20" s="261"/>
      <c r="N20" s="262">
        <f>K20</f>
        <v>0.96</v>
      </c>
      <c r="O20" s="261">
        <f>SUM(P6:P19)/COUNT(P6:P19)</f>
        <v>7.1428571428571425E-2</v>
      </c>
      <c r="P20" s="261"/>
      <c r="Q20" s="262">
        <f>N20</f>
        <v>0.96</v>
      </c>
      <c r="R20" s="261">
        <f>SUM(S6:S19)/COUNT(S6:S19)</f>
        <v>0.42857142857142855</v>
      </c>
      <c r="S20" s="261"/>
      <c r="T20" s="262">
        <f>Q20</f>
        <v>0.96</v>
      </c>
      <c r="U20" s="261">
        <f>SUM(V6:V19)/COUNT(V6:V19)</f>
        <v>0.35714285714285715</v>
      </c>
      <c r="V20" s="261"/>
      <c r="W20" s="262">
        <f>T20</f>
        <v>0.96</v>
      </c>
      <c r="X20" s="261">
        <f>SUM(Y6:Y19)/COUNT(Y6:Y19)</f>
        <v>0.42857142857142855</v>
      </c>
      <c r="Y20" s="261"/>
      <c r="Z20" s="262">
        <f>W20</f>
        <v>0.96</v>
      </c>
      <c r="AA20" s="261">
        <f>SUM(AB6:AB19)/COUNT(AB6:AB19)</f>
        <v>0.42857142857142855</v>
      </c>
      <c r="AB20" s="261"/>
      <c r="AC20" s="262">
        <f>Z20</f>
        <v>0.96</v>
      </c>
      <c r="AD20" s="261" t="str">
        <f>IF(ISBLANK(AD6),"",(IF(AD6&gt;AC6,0,1)+IF(AD7&gt;AC7,0,1)+IF(AD8&gt;AC8,0,1)+IF(AD9&gt;AC9,0,1)+IF(AD10&gt;AC10,0,1)+IF(AD11&gt;AC11,0,1)+IF(AD12&gt;AC12,0,1)+IF(AD13&gt;AC13,0,1)+IF(AD14&gt;AC14,0,1)+IF(AD15&gt;AC15,0,1)+IF(AD16&gt;AC16,0,1)+IF(AD17&gt;AC17,0,1)+IF(AD18&gt;AC18,0,1)+IF(AD19&gt;AC19,0,1))/14)</f>
        <v/>
      </c>
      <c r="AE20" s="261"/>
      <c r="AF20" s="262">
        <f>AC20</f>
        <v>0.96</v>
      </c>
      <c r="AG20" s="261" t="str">
        <f>IF(ISBLANK(AG6),"",(IF(AG6&gt;AF6,0,1)+IF(AG7&gt;AF7,0,1)+IF(AG8&gt;AF8,0,1)+IF(AG9&gt;AF9,0,1)+IF(AG10&gt;AF10,0,1)+IF(AG11&gt;AF11,0,1)+IF(AG12&gt;AF12,0,1)+IF(AG13&gt;AF13,0,1)+IF(AG14&gt;AF14,0,1)+IF(AG15&gt;AF15,0,1)+IF(AG16&gt;AF16,0,1)+IF(AG17&gt;AF17,0,1)+IF(AG18&gt;AF18,0,1)+IF(AG19&gt;AF19,0,1))/14)</f>
        <v/>
      </c>
      <c r="AH20" s="262">
        <f>AF20</f>
        <v>0.96</v>
      </c>
      <c r="AI20" s="261" t="str">
        <f>IF(ISBLANK(AI6),"",(IF(AI6&gt;AH6,0,1)+IF(AI7&gt;AH7,0,1)+IF(AI8&gt;AH8,0,1)+IF(AI9&gt;AH9,0,1)+IF(AI10&gt;AH10,0,1)+IF(AI11&gt;AH11,0,1)+IF(AI12&gt;AH12,0,1)+IF(AI13&gt;AH13,0,1)+IF(AI14&gt;AH14,0,1)+IF(AI15&gt;AH15,0,1)+IF(AI16&gt;AH16,0,1)+IF(AI17&gt;AH17,0,1)+IF(AI18&gt;AH18,0,1)+IF(AI19&gt;AH19,0,1))/14)</f>
        <v/>
      </c>
      <c r="AJ20" s="262">
        <f>AH20</f>
        <v>0.96</v>
      </c>
      <c r="AK20" s="261" t="str">
        <f>IF(ISBLANK(AK6),"",(IF(AK6&gt;AJ6,0,1)+IF(AK7&gt;AJ7,0,1)+IF(AK8&gt;AJ8,0,1)+IF(AK9&gt;AJ9,0,1)+IF(AK10&gt;AJ10,0,1)+IF(AK11&gt;AJ11,0,1)+IF(AK12&gt;AJ12,0,1)+IF(AK13&gt;AJ13,0,1)+IF(AK14&gt;AJ14,0,1)+IF(AK15&gt;AJ15,0,1)+IF(AK16&gt;AJ16,0,1)+IF(AK17&gt;AJ17,0,1)+IF(AK18&gt;AJ18,0,1)+IF(AK19&gt;AJ19,0,1))/14)</f>
        <v/>
      </c>
      <c r="AL20" s="262">
        <f>AJ20</f>
        <v>0.96</v>
      </c>
      <c r="AM20" s="261" t="str">
        <f>IF(ISBLANK(AM6),"",(IF(AM6&gt;AL6,0,1)+IF(AM7&gt;AL7,0,1)+IF(AM8&gt;AL8,0,1)+IF(AM9&gt;AL9,0,1)+IF(AM10&gt;AL10,0,1)+IF(AM11&gt;AL11,0,1)+IF(AM12&gt;AL12,0,1)+IF(AM13&gt;AL13,0,1)+IF(AM14&gt;AL14,0,1)+IF(AM15&gt;AL15,0,1)+IF(AM16&gt;AL16,0,1)+IF(AM17&gt;AL17,0,1)+IF(AM18&gt;AL18,0,1)+IF(AM19&gt;AL19,0,1))/14)</f>
        <v/>
      </c>
      <c r="AN20" s="262">
        <f>AL20</f>
        <v>0.96</v>
      </c>
      <c r="AO20" s="261" t="str">
        <f>IF(ISBLANK(AO6),"",(IF(AO6&gt;AN6,0,1)+IF(AO7&gt;AN7,0,1)+IF(AO8&gt;AN8,0,1)+IF(AO9&gt;AN9,0,1)+IF(AO10&gt;AN10,0,1)+IF(AO11&gt;AN11,0,1)+IF(AO12&gt;AN12,0,1)+IF(AO13&gt;AN13,0,1)+IF(AO14&gt;AN14,0,1)+IF(AO15&gt;AN15,0,1)+IF(AO16&gt;AN16,0,1)+IF(AO17&gt;AN17,0,1)+IF(AO18&gt;AN18,0,1)+IF(AO19&gt;AN19,0,1))/14)</f>
        <v/>
      </c>
    </row>
    <row r="21" spans="1:41" x14ac:dyDescent="0.25">
      <c r="F21" s="264"/>
      <c r="G21" s="264"/>
      <c r="I21" s="264"/>
      <c r="J21" s="264"/>
    </row>
    <row r="22" spans="1:41" x14ac:dyDescent="0.25">
      <c r="F22" s="264"/>
      <c r="G22" s="264"/>
    </row>
  </sheetData>
  <sheetProtection selectLockedCells="1" selectUnlockedCells="1"/>
  <protectedRanges>
    <protectedRange sqref="F6:G19 I6:J19 L6:M19 O6:P19 R6:S19 U6:V19 X6:Y19 AA6:AB19 AD6:AE19 AG6:AG19 AI6:AI19 AK6:AK19 AM6:AM19 AO6:AO19" name="Input" securityDescriptor="O:WDG:WDD:(A;;CC;;;S-1-5-21-3821806413-3337887645-2514434261-4672)(A;;CC;;;S-1-5-21-3821806413-3337887645-2514434261-2116)"/>
  </protectedRanges>
  <mergeCells count="15">
    <mergeCell ref="AL4:AM4"/>
    <mergeCell ref="AN4:AO4"/>
    <mergeCell ref="A20:D20"/>
    <mergeCell ref="W4:X4"/>
    <mergeCell ref="Z4:AA4"/>
    <mergeCell ref="AC4:AD4"/>
    <mergeCell ref="AF4:AG4"/>
    <mergeCell ref="AH4:AI4"/>
    <mergeCell ref="AJ4:AK4"/>
    <mergeCell ref="E4:F4"/>
    <mergeCell ref="H4:I4"/>
    <mergeCell ref="K4:L4"/>
    <mergeCell ref="N4:O4"/>
    <mergeCell ref="Q4:R4"/>
    <mergeCell ref="T4:U4"/>
  </mergeCells>
  <conditionalFormatting sqref="F7:G7 I7:J7 L7:M7 P7 R7:S7 U7:V7 X7:Y7 AA7:AB7 AD7:AE7 AG7 AI7 AK7 AM7 AO7">
    <cfRule type="cellIs" dxfId="34" priority="39" operator="equal">
      <formula>$E$7</formula>
    </cfRule>
    <cfRule type="cellIs" dxfId="33" priority="40" operator="between">
      <formula>0</formula>
      <formula>49</formula>
    </cfRule>
    <cfRule type="cellIs" dxfId="32" priority="41" operator="greaterThan">
      <formula>$E$7</formula>
    </cfRule>
  </conditionalFormatting>
  <conditionalFormatting sqref="F8:G8 I8:J8 L8:M8 O8:P8 R8:S8 U8:V8 X8:Y8 AA8:AB8 AD8:AE8 AG8 AI8 AK8 AM8 AO8">
    <cfRule type="cellIs" dxfId="31" priority="36" operator="equal">
      <formula>$E$8</formula>
    </cfRule>
    <cfRule type="cellIs" dxfId="30" priority="37" operator="between">
      <formula>0</formula>
      <formula>199</formula>
    </cfRule>
    <cfRule type="cellIs" dxfId="29" priority="38" operator="greaterThan">
      <formula>$E$8</formula>
    </cfRule>
  </conditionalFormatting>
  <conditionalFormatting sqref="F9:G9 I9:J9 L9:M9 O9:P9 R9:S9 U9:V9 X9:Y9 AA9:AB9 AD9:AE9 AG9 AI9 AK9 AM9 AO9">
    <cfRule type="cellIs" dxfId="28" priority="35" operator="between">
      <formula>0</formula>
      <formula>153</formula>
    </cfRule>
  </conditionalFormatting>
  <conditionalFormatting sqref="F10:G10 O10:P10 X10:Y10">
    <cfRule type="cellIs" dxfId="27" priority="32" operator="equal">
      <formula>$E$10</formula>
    </cfRule>
    <cfRule type="cellIs" dxfId="26" priority="33" operator="between">
      <formula>0</formula>
      <formula>29</formula>
    </cfRule>
    <cfRule type="cellIs" dxfId="25" priority="34" operator="greaterThan">
      <formula>$E$10</formula>
    </cfRule>
  </conditionalFormatting>
  <conditionalFormatting sqref="F11:G15 I19:J19 I14:J15 I10:J12 L10:M11 L13:M14 O19:P19 O15:P15 O11:P11 R10:S11 R13:S15 U19:V19 U14:V15 U10:V12 X11:Y15 AA10:AB12 AA14:AB15 AA19:AB19 AD10:AE15 AG10:AG12 AG14:AG15 AG19 AI10:AI12 AI14:AI15 AI19 AK19 AK14:AK15 AK10:AK12 AM10:AM12 AM14:AM15 AM19 AO10:AO12 AO14:AO15 AO19">
    <cfRule type="cellIs" dxfId="24" priority="31" operator="greaterThan">
      <formula>0</formula>
    </cfRule>
  </conditionalFormatting>
  <conditionalFormatting sqref="F11:G15 I10:J12 I14:J15 I19:J19 L10:M11 L13:M14 O19:P19 O15:P15 O11:P11 R10:S11 R13:S15 U19:V19 U14:V15 U10:V12 X11:Y15 AA10:AB12 AA14:AB15 AA19:AB19 AD10:AE15 AG19 AG14:AG15 AG10:AG12 AI10:AI12 AI14:AI15 AI19 AK19 AK14:AK15 AK10:AK12 AM10:AM12 AM14:AM15 AM19 AO10:AO12 AO14:AO15 AO19">
    <cfRule type="cellIs" dxfId="23" priority="30" operator="equal">
      <formula>$H$10</formula>
    </cfRule>
  </conditionalFormatting>
  <conditionalFormatting sqref="I13:J13 F19:G19 L19:M19 R19:S19 U13:V13 X19:Y19 O13:P13 AA13:AB13 AD19:AE19 AG13 AI13 AK13 AM13 AO13">
    <cfRule type="cellIs" dxfId="22" priority="27" operator="equal">
      <formula>$H$13</formula>
    </cfRule>
  </conditionalFormatting>
  <conditionalFormatting sqref="I13:J13 F19:G19 L19:M19 O13:P13 R19:S19 U13:V13 X19:Y19 AA13:AB13 AD19:AE19 AG13 AI13 AK13 AM13 AO13">
    <cfRule type="cellIs" dxfId="21" priority="28" operator="between">
      <formula>0</formula>
      <formula>19</formula>
    </cfRule>
    <cfRule type="cellIs" dxfId="20" priority="29" operator="greaterThan">
      <formula>$H$13</formula>
    </cfRule>
  </conditionalFormatting>
  <conditionalFormatting sqref="O12:P12">
    <cfRule type="cellIs" dxfId="19" priority="21" operator="equal">
      <formula>$N$12</formula>
    </cfRule>
    <cfRule type="cellIs" dxfId="18" priority="22" operator="between">
      <formula>0</formula>
      <formula>49</formula>
    </cfRule>
    <cfRule type="cellIs" dxfId="17" priority="23" operator="greaterThan">
      <formula>$N$12</formula>
    </cfRule>
  </conditionalFormatting>
  <conditionalFormatting sqref="F16:G16 I16:J16 L16:M16 O16:P16 R16:S16 U16:V16 X16:Y16 AA16:AB16 AD16:AE16 AG16 AI16 AK16 AM16 AO16">
    <cfRule type="cellIs" dxfId="16" priority="18" operator="equal">
      <formula>$E$16</formula>
    </cfRule>
    <cfRule type="cellIs" dxfId="15" priority="19" operator="between">
      <formula>0</formula>
      <formula>239</formula>
    </cfRule>
    <cfRule type="cellIs" dxfId="14" priority="20" operator="greaterThan">
      <formula>$E$16</formula>
    </cfRule>
  </conditionalFormatting>
  <conditionalFormatting sqref="F17:G17 I17:J17 L17:M17 O17:P17 R17:S17 U17:V17 X17:Y17 AA17:AB17 AD17:AE17 AG17 AI17 AK17 AM17 AO17">
    <cfRule type="cellIs" dxfId="13" priority="15" operator="equal">
      <formula>$E$17</formula>
    </cfRule>
    <cfRule type="cellIs" dxfId="12" priority="16" operator="lessThan">
      <formula>$E$17</formula>
    </cfRule>
    <cfRule type="cellIs" dxfId="11" priority="17" operator="greaterThan">
      <formula>$E$17</formula>
    </cfRule>
  </conditionalFormatting>
  <conditionalFormatting sqref="L15:M15">
    <cfRule type="cellIs" dxfId="10" priority="13" operator="lessThan">
      <formula>$K$15</formula>
    </cfRule>
    <cfRule type="cellIs" dxfId="9" priority="14" operator="greaterThanOrEqual">
      <formula>$K$15</formula>
    </cfRule>
  </conditionalFormatting>
  <conditionalFormatting sqref="F20:G20">
    <cfRule type="cellIs" dxfId="8" priority="11" operator="lessThan">
      <formula>$E$20</formula>
    </cfRule>
    <cfRule type="cellIs" dxfId="7" priority="12" operator="greaterThanOrEqual">
      <formula>$E$20</formula>
    </cfRule>
  </conditionalFormatting>
  <conditionalFormatting sqref="AO20 AM20 AK20 AI20 AG20 AD20:AE20 AA20:AB20 X20:Y20 U20:V20 R20:S20 O20:P20 L20:M20 I20:J20">
    <cfRule type="cellIs" dxfId="6" priority="9" operator="lessThan">
      <formula>$E$20</formula>
    </cfRule>
    <cfRule type="cellIs" dxfId="5" priority="10" operator="greaterThan">
      <formula>$E$20</formula>
    </cfRule>
  </conditionalFormatting>
  <conditionalFormatting sqref="L9:M9 I9:J9 F9:G9">
    <cfRule type="cellIs" dxfId="4" priority="5" operator="greaterThan">
      <formula>168</formula>
    </cfRule>
    <cfRule type="cellIs" dxfId="3" priority="6" operator="between">
      <formula>153</formula>
      <formula>168</formula>
    </cfRule>
  </conditionalFormatting>
  <conditionalFormatting sqref="L18:M19">
    <cfRule type="cellIs" dxfId="2" priority="4" operator="between">
      <formula>0</formula>
      <formula>17</formula>
    </cfRule>
  </conditionalFormatting>
  <conditionalFormatting sqref="L18:M19">
    <cfRule type="cellIs" dxfId="1" priority="2" operator="greaterThan">
      <formula>21</formula>
    </cfRule>
  </conditionalFormatting>
  <conditionalFormatting sqref="L18:M19">
    <cfRule type="cellIs" dxfId="0" priority="3" operator="between">
      <formula>19</formula>
      <formula>21</formula>
    </cfRule>
  </conditionalFormatting>
  <pageMargins left="0.7" right="0.7" top="0.75" bottom="0.75" header="0.3" footer="0.3"/>
  <pageSetup paperSize="9" scale="91" fitToHeight="0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C9A7-013C-4872-8334-534166EA3C3E}">
  <dimension ref="A2:L34"/>
  <sheetViews>
    <sheetView topLeftCell="A14" workbookViewId="0">
      <selection activeCell="H24" sqref="H24:L24"/>
    </sheetView>
  </sheetViews>
  <sheetFormatPr defaultRowHeight="12.75" x14ac:dyDescent="0.2"/>
  <sheetData>
    <row r="2" spans="1:12" ht="15.75" x14ac:dyDescent="0.2">
      <c r="A2" s="117"/>
      <c r="B2" s="265" t="s">
        <v>285</v>
      </c>
      <c r="C2" s="265" t="s">
        <v>286</v>
      </c>
      <c r="D2" s="265" t="s">
        <v>287</v>
      </c>
      <c r="E2" s="265" t="s">
        <v>288</v>
      </c>
      <c r="F2" s="265" t="s">
        <v>289</v>
      </c>
      <c r="G2" s="265" t="s">
        <v>1445</v>
      </c>
    </row>
    <row r="3" spans="1:12" ht="15.75" x14ac:dyDescent="0.2">
      <c r="A3" s="277">
        <v>1</v>
      </c>
      <c r="B3" s="117">
        <f ca="1">INDIRECT("'"&amp;A3&amp;"'!$j$30")</f>
        <v>2</v>
      </c>
      <c r="C3" s="117">
        <f ca="1">INDIRECT("'"&amp;A3&amp;"'!$j$31")</f>
        <v>5</v>
      </c>
      <c r="D3" s="117">
        <f ca="1">INDIRECT("'"&amp;A3&amp;"'!$j$32")</f>
        <v>3</v>
      </c>
      <c r="E3" s="117">
        <f ca="1">INDIRECT("'"&amp;A3&amp;"'!$j$33")</f>
        <v>0</v>
      </c>
      <c r="F3" s="117">
        <f ca="1">INDIRECT("'"&amp;A3&amp;"'!$j$34")</f>
        <v>1</v>
      </c>
      <c r="G3" s="117">
        <f ca="1">SUM(B3:F3)</f>
        <v>11</v>
      </c>
    </row>
    <row r="4" spans="1:12" ht="15.75" x14ac:dyDescent="0.2">
      <c r="A4" s="277">
        <v>2</v>
      </c>
      <c r="B4" s="117">
        <f t="shared" ref="B4:B33" ca="1" si="0">INDIRECT("'"&amp;A4&amp;"'!$j$30")</f>
        <v>1</v>
      </c>
      <c r="C4" s="117">
        <f t="shared" ref="C4:C33" ca="1" si="1">INDIRECT("'"&amp;A4&amp;"'!$j$31")</f>
        <v>6</v>
      </c>
      <c r="D4" s="117">
        <f t="shared" ref="D4:D33" ca="1" si="2">INDIRECT("'"&amp;A4&amp;"'!$j$32")</f>
        <v>3</v>
      </c>
      <c r="E4" s="117">
        <f t="shared" ref="E4:E33" ca="1" si="3">INDIRECT("'"&amp;A4&amp;"'!$j$33")</f>
        <v>1</v>
      </c>
      <c r="F4" s="117">
        <f t="shared" ref="F4:F33" ca="1" si="4">INDIRECT("'"&amp;A4&amp;"'!$j$34")</f>
        <v>1</v>
      </c>
      <c r="G4" s="117">
        <f t="shared" ref="G4:G33" ca="1" si="5">SUM(B4:F4)</f>
        <v>12</v>
      </c>
    </row>
    <row r="5" spans="1:12" ht="15.75" x14ac:dyDescent="0.2">
      <c r="A5" s="277">
        <v>3</v>
      </c>
      <c r="B5" s="117">
        <f t="shared" ca="1" si="0"/>
        <v>4</v>
      </c>
      <c r="C5" s="117">
        <f t="shared" ca="1" si="1"/>
        <v>7</v>
      </c>
      <c r="D5" s="117">
        <f t="shared" ca="1" si="2"/>
        <v>2</v>
      </c>
      <c r="E5" s="117">
        <f t="shared" ca="1" si="3"/>
        <v>0</v>
      </c>
      <c r="F5" s="117">
        <f t="shared" ca="1" si="4"/>
        <v>2</v>
      </c>
      <c r="G5" s="117">
        <f t="shared" ca="1" si="5"/>
        <v>15</v>
      </c>
    </row>
    <row r="6" spans="1:12" ht="15.75" x14ac:dyDescent="0.2">
      <c r="A6" s="277">
        <v>4</v>
      </c>
      <c r="B6" s="117">
        <f t="shared" ca="1" si="0"/>
        <v>4</v>
      </c>
      <c r="C6" s="117">
        <f t="shared" ca="1" si="1"/>
        <v>6</v>
      </c>
      <c r="D6" s="117">
        <f t="shared" ca="1" si="2"/>
        <v>3</v>
      </c>
      <c r="E6" s="117">
        <f t="shared" ca="1" si="3"/>
        <v>1</v>
      </c>
      <c r="F6" s="117">
        <f t="shared" ca="1" si="4"/>
        <v>1</v>
      </c>
      <c r="G6" s="117">
        <f t="shared" ca="1" si="5"/>
        <v>15</v>
      </c>
    </row>
    <row r="7" spans="1:12" ht="15.75" x14ac:dyDescent="0.2">
      <c r="A7" s="277">
        <v>5</v>
      </c>
      <c r="B7" s="117">
        <f t="shared" ca="1" si="0"/>
        <v>2</v>
      </c>
      <c r="C7" s="117">
        <f t="shared" ca="1" si="1"/>
        <v>8</v>
      </c>
      <c r="D7" s="117">
        <f t="shared" ca="1" si="2"/>
        <v>3</v>
      </c>
      <c r="E7" s="117">
        <f t="shared" ca="1" si="3"/>
        <v>0</v>
      </c>
      <c r="F7" s="117">
        <f t="shared" ca="1" si="4"/>
        <v>1</v>
      </c>
      <c r="G7" s="117">
        <f t="shared" ca="1" si="5"/>
        <v>14</v>
      </c>
    </row>
    <row r="8" spans="1:12" ht="15.75" x14ac:dyDescent="0.2">
      <c r="A8" s="277">
        <v>6</v>
      </c>
      <c r="B8" s="117">
        <f t="shared" ca="1" si="0"/>
        <v>1</v>
      </c>
      <c r="C8" s="117">
        <f t="shared" ca="1" si="1"/>
        <v>8</v>
      </c>
      <c r="D8" s="117">
        <f t="shared" ca="1" si="2"/>
        <v>4</v>
      </c>
      <c r="E8" s="117">
        <f t="shared" ca="1" si="3"/>
        <v>1</v>
      </c>
      <c r="F8" s="117">
        <f t="shared" ca="1" si="4"/>
        <v>1</v>
      </c>
      <c r="G8" s="117">
        <f t="shared" ca="1" si="5"/>
        <v>15</v>
      </c>
    </row>
    <row r="9" spans="1:12" ht="15.75" x14ac:dyDescent="0.2">
      <c r="A9" s="277">
        <v>7</v>
      </c>
      <c r="B9" s="117">
        <f t="shared" ca="1" si="0"/>
        <v>5</v>
      </c>
      <c r="C9" s="117">
        <f t="shared" ca="1" si="1"/>
        <v>7</v>
      </c>
      <c r="D9" s="117">
        <f t="shared" ca="1" si="2"/>
        <v>3</v>
      </c>
      <c r="E9" s="117">
        <f t="shared" ca="1" si="3"/>
        <v>0</v>
      </c>
      <c r="F9" s="117">
        <f t="shared" ca="1" si="4"/>
        <v>1</v>
      </c>
      <c r="G9" s="117">
        <f t="shared" ca="1" si="5"/>
        <v>16</v>
      </c>
      <c r="H9" s="4">
        <f t="shared" ref="H9:I9" ca="1" si="6">SUM(B3:B9)</f>
        <v>19</v>
      </c>
      <c r="I9" s="4">
        <f t="shared" ca="1" si="6"/>
        <v>47</v>
      </c>
      <c r="J9" s="4">
        <f ca="1">SUM(D3:D9)</f>
        <v>21</v>
      </c>
      <c r="K9" s="4">
        <f t="shared" ref="K9" ca="1" si="7">SUM(E3:E9)</f>
        <v>3</v>
      </c>
      <c r="L9" s="4">
        <f t="shared" ref="L9" ca="1" si="8">SUM(F3:F9)</f>
        <v>8</v>
      </c>
    </row>
    <row r="10" spans="1:12" ht="15.75" x14ac:dyDescent="0.2">
      <c r="A10" s="265">
        <v>8</v>
      </c>
      <c r="B10" s="117">
        <f t="shared" ca="1" si="0"/>
        <v>1</v>
      </c>
      <c r="C10" s="117">
        <f t="shared" ca="1" si="1"/>
        <v>3</v>
      </c>
      <c r="D10" s="117">
        <f t="shared" ca="1" si="2"/>
        <v>2</v>
      </c>
      <c r="E10" s="117">
        <f t="shared" ca="1" si="3"/>
        <v>1</v>
      </c>
      <c r="F10" s="117">
        <f t="shared" ca="1" si="4"/>
        <v>0</v>
      </c>
      <c r="G10" s="117">
        <f t="shared" ca="1" si="5"/>
        <v>7</v>
      </c>
      <c r="H10" s="4">
        <f ca="1">H9*21</f>
        <v>399</v>
      </c>
      <c r="I10" s="4">
        <f t="shared" ref="I10:L10" ca="1" si="9">I9*21</f>
        <v>987</v>
      </c>
      <c r="J10" s="4">
        <f t="shared" ca="1" si="9"/>
        <v>441</v>
      </c>
      <c r="K10" s="4">
        <f t="shared" ca="1" si="9"/>
        <v>63</v>
      </c>
      <c r="L10" s="4">
        <f t="shared" ca="1" si="9"/>
        <v>168</v>
      </c>
    </row>
    <row r="11" spans="1:12" ht="15.75" x14ac:dyDescent="0.2">
      <c r="A11" s="265">
        <v>9</v>
      </c>
      <c r="B11" s="117">
        <f t="shared" ca="1" si="0"/>
        <v>3</v>
      </c>
      <c r="C11" s="117">
        <f t="shared" ca="1" si="1"/>
        <v>7</v>
      </c>
      <c r="D11" s="117">
        <f t="shared" ca="1" si="2"/>
        <v>3</v>
      </c>
      <c r="E11" s="117">
        <f t="shared" ca="1" si="3"/>
        <v>0</v>
      </c>
      <c r="F11" s="117">
        <f t="shared" ca="1" si="4"/>
        <v>1</v>
      </c>
      <c r="G11" s="117">
        <f t="shared" ca="1" si="5"/>
        <v>14</v>
      </c>
    </row>
    <row r="12" spans="1:12" ht="15.75" x14ac:dyDescent="0.2">
      <c r="A12" s="265">
        <v>10</v>
      </c>
      <c r="B12" s="117">
        <f t="shared" ca="1" si="0"/>
        <v>4</v>
      </c>
      <c r="C12" s="117">
        <f t="shared" ca="1" si="1"/>
        <v>8</v>
      </c>
      <c r="D12" s="117">
        <f t="shared" ca="1" si="2"/>
        <v>3</v>
      </c>
      <c r="E12" s="117">
        <f t="shared" ca="1" si="3"/>
        <v>1</v>
      </c>
      <c r="F12" s="117">
        <f t="shared" ca="1" si="4"/>
        <v>2</v>
      </c>
      <c r="G12" s="117">
        <f t="shared" ca="1" si="5"/>
        <v>18</v>
      </c>
    </row>
    <row r="13" spans="1:12" ht="15.75" x14ac:dyDescent="0.2">
      <c r="A13" s="265">
        <v>11</v>
      </c>
      <c r="B13" s="117">
        <f t="shared" ca="1" si="0"/>
        <v>1</v>
      </c>
      <c r="C13" s="117">
        <f t="shared" ca="1" si="1"/>
        <v>7</v>
      </c>
      <c r="D13" s="117">
        <f t="shared" ca="1" si="2"/>
        <v>3</v>
      </c>
      <c r="E13" s="117">
        <f t="shared" ca="1" si="3"/>
        <v>0</v>
      </c>
      <c r="F13" s="117">
        <f t="shared" ca="1" si="4"/>
        <v>1</v>
      </c>
      <c r="G13" s="117">
        <f t="shared" ca="1" si="5"/>
        <v>12</v>
      </c>
    </row>
    <row r="14" spans="1:12" ht="15.75" x14ac:dyDescent="0.2">
      <c r="A14" s="265">
        <v>12</v>
      </c>
      <c r="B14" s="117">
        <f t="shared" ca="1" si="0"/>
        <v>0</v>
      </c>
      <c r="C14" s="117">
        <f t="shared" ca="1" si="1"/>
        <v>4</v>
      </c>
      <c r="D14" s="117">
        <f t="shared" ca="1" si="2"/>
        <v>2</v>
      </c>
      <c r="E14" s="117">
        <f t="shared" ca="1" si="3"/>
        <v>0</v>
      </c>
      <c r="F14" s="117">
        <f t="shared" ca="1" si="4"/>
        <v>1</v>
      </c>
      <c r="G14" s="117">
        <f t="shared" ca="1" si="5"/>
        <v>7</v>
      </c>
    </row>
    <row r="15" spans="1:12" ht="15.75" x14ac:dyDescent="0.2">
      <c r="A15" s="265">
        <v>13</v>
      </c>
      <c r="B15" s="117">
        <f t="shared" ca="1" si="0"/>
        <v>1</v>
      </c>
      <c r="C15" s="117">
        <f t="shared" ca="1" si="1"/>
        <v>8</v>
      </c>
      <c r="D15" s="117">
        <f t="shared" ca="1" si="2"/>
        <v>3</v>
      </c>
      <c r="E15" s="117">
        <f t="shared" ca="1" si="3"/>
        <v>0</v>
      </c>
      <c r="F15" s="117">
        <f t="shared" ca="1" si="4"/>
        <v>1</v>
      </c>
      <c r="G15" s="117">
        <f t="shared" ca="1" si="5"/>
        <v>13</v>
      </c>
    </row>
    <row r="16" spans="1:12" ht="15.75" x14ac:dyDescent="0.2">
      <c r="A16" s="265">
        <v>14</v>
      </c>
      <c r="B16" s="117">
        <f t="shared" ca="1" si="0"/>
        <v>1</v>
      </c>
      <c r="C16" s="117">
        <f t="shared" ca="1" si="1"/>
        <v>9</v>
      </c>
      <c r="D16" s="117">
        <f t="shared" ca="1" si="2"/>
        <v>4</v>
      </c>
      <c r="E16" s="117">
        <f t="shared" ca="1" si="3"/>
        <v>1</v>
      </c>
      <c r="F16" s="117">
        <f t="shared" ca="1" si="4"/>
        <v>1</v>
      </c>
      <c r="G16" s="117">
        <f t="shared" ca="1" si="5"/>
        <v>16</v>
      </c>
      <c r="H16" s="4">
        <f ca="1">SUM(B10:B16)</f>
        <v>11</v>
      </c>
      <c r="I16" s="4">
        <f t="shared" ref="I16:L16" ca="1" si="10">SUM(C10:C16)</f>
        <v>46</v>
      </c>
      <c r="J16" s="4">
        <f t="shared" ca="1" si="10"/>
        <v>20</v>
      </c>
      <c r="K16" s="4">
        <f t="shared" ca="1" si="10"/>
        <v>3</v>
      </c>
      <c r="L16" s="4">
        <f t="shared" ca="1" si="10"/>
        <v>7</v>
      </c>
    </row>
    <row r="17" spans="1:12" ht="15.75" x14ac:dyDescent="0.2">
      <c r="A17" s="277">
        <v>15</v>
      </c>
      <c r="B17" s="117">
        <f t="shared" ca="1" si="0"/>
        <v>4</v>
      </c>
      <c r="C17" s="117">
        <f t="shared" ca="1" si="1"/>
        <v>4</v>
      </c>
      <c r="D17" s="117">
        <f t="shared" ca="1" si="2"/>
        <v>3</v>
      </c>
      <c r="E17" s="117">
        <f t="shared" ca="1" si="3"/>
        <v>0</v>
      </c>
      <c r="F17" s="117">
        <f t="shared" ca="1" si="4"/>
        <v>1</v>
      </c>
      <c r="G17" s="117">
        <f t="shared" ca="1" si="5"/>
        <v>12</v>
      </c>
      <c r="H17" s="4">
        <f ca="1">H16*20</f>
        <v>220</v>
      </c>
      <c r="I17" s="4">
        <f t="shared" ref="I17:L17" ca="1" si="11">I16*20</f>
        <v>920</v>
      </c>
      <c r="J17" s="4">
        <f t="shared" ca="1" si="11"/>
        <v>400</v>
      </c>
      <c r="K17" s="4">
        <f t="shared" ca="1" si="11"/>
        <v>60</v>
      </c>
      <c r="L17" s="4">
        <f t="shared" ca="1" si="11"/>
        <v>140</v>
      </c>
    </row>
    <row r="18" spans="1:12" ht="15.75" x14ac:dyDescent="0.2">
      <c r="A18" s="277">
        <v>16</v>
      </c>
      <c r="B18" s="117">
        <f t="shared" ca="1" si="0"/>
        <v>1</v>
      </c>
      <c r="C18" s="117">
        <f t="shared" ca="1" si="1"/>
        <v>7</v>
      </c>
      <c r="D18" s="117">
        <f t="shared" ca="1" si="2"/>
        <v>3</v>
      </c>
      <c r="E18" s="117">
        <f t="shared" ca="1" si="3"/>
        <v>1</v>
      </c>
      <c r="F18" s="117">
        <f t="shared" ca="1" si="4"/>
        <v>1</v>
      </c>
      <c r="G18" s="117">
        <f t="shared" ca="1" si="5"/>
        <v>13</v>
      </c>
    </row>
    <row r="19" spans="1:12" ht="15.75" x14ac:dyDescent="0.2">
      <c r="A19" s="277">
        <v>17</v>
      </c>
      <c r="B19" s="117">
        <f t="shared" ca="1" si="0"/>
        <v>1</v>
      </c>
      <c r="C19" s="117">
        <f t="shared" ca="1" si="1"/>
        <v>7</v>
      </c>
      <c r="D19" s="117">
        <f t="shared" ca="1" si="2"/>
        <v>3</v>
      </c>
      <c r="E19" s="117">
        <f t="shared" ca="1" si="3"/>
        <v>0</v>
      </c>
      <c r="F19" s="117">
        <f t="shared" ca="1" si="4"/>
        <v>1</v>
      </c>
      <c r="G19" s="117">
        <f t="shared" ca="1" si="5"/>
        <v>12</v>
      </c>
    </row>
    <row r="20" spans="1:12" ht="15.75" x14ac:dyDescent="0.2">
      <c r="A20" s="277">
        <v>18</v>
      </c>
      <c r="B20" s="117">
        <f t="shared" ca="1" si="0"/>
        <v>4</v>
      </c>
      <c r="C20" s="117">
        <f t="shared" ca="1" si="1"/>
        <v>7</v>
      </c>
      <c r="D20" s="117">
        <f t="shared" ca="1" si="2"/>
        <v>3</v>
      </c>
      <c r="E20" s="117">
        <f t="shared" ca="1" si="3"/>
        <v>1</v>
      </c>
      <c r="F20" s="117">
        <f t="shared" ca="1" si="4"/>
        <v>2</v>
      </c>
      <c r="G20" s="117">
        <f t="shared" ca="1" si="5"/>
        <v>17</v>
      </c>
    </row>
    <row r="21" spans="1:12" ht="15.75" x14ac:dyDescent="0.2">
      <c r="A21" s="277">
        <v>19</v>
      </c>
      <c r="B21" s="117">
        <f t="shared" ca="1" si="0"/>
        <v>4</v>
      </c>
      <c r="C21" s="117">
        <f t="shared" ca="1" si="1"/>
        <v>8</v>
      </c>
      <c r="D21" s="117">
        <f t="shared" ca="1" si="2"/>
        <v>3</v>
      </c>
      <c r="E21" s="117">
        <f t="shared" ca="1" si="3"/>
        <v>0</v>
      </c>
      <c r="F21" s="117">
        <f t="shared" ca="1" si="4"/>
        <v>1</v>
      </c>
      <c r="G21" s="117">
        <f t="shared" ca="1" si="5"/>
        <v>16</v>
      </c>
    </row>
    <row r="22" spans="1:12" ht="15.75" x14ac:dyDescent="0.2">
      <c r="A22" s="277">
        <v>20</v>
      </c>
      <c r="B22" s="117">
        <f t="shared" ca="1" si="0"/>
        <v>5</v>
      </c>
      <c r="C22" s="117">
        <f t="shared" ca="1" si="1"/>
        <v>8</v>
      </c>
      <c r="D22" s="117">
        <f t="shared" ca="1" si="2"/>
        <v>3</v>
      </c>
      <c r="E22" s="117">
        <f t="shared" ca="1" si="3"/>
        <v>1</v>
      </c>
      <c r="F22" s="117">
        <f t="shared" ca="1" si="4"/>
        <v>1</v>
      </c>
      <c r="G22" s="117">
        <f t="shared" ca="1" si="5"/>
        <v>18</v>
      </c>
    </row>
    <row r="23" spans="1:12" ht="15.75" x14ac:dyDescent="0.2">
      <c r="A23" s="277">
        <v>21</v>
      </c>
      <c r="B23" s="117">
        <f t="shared" ca="1" si="0"/>
        <v>1</v>
      </c>
      <c r="C23" s="117">
        <f t="shared" ca="1" si="1"/>
        <v>7</v>
      </c>
      <c r="D23" s="117">
        <f t="shared" ca="1" si="2"/>
        <v>3</v>
      </c>
      <c r="E23" s="117">
        <f t="shared" ca="1" si="3"/>
        <v>0</v>
      </c>
      <c r="F23" s="117">
        <f t="shared" ca="1" si="4"/>
        <v>0</v>
      </c>
      <c r="G23" s="117">
        <f t="shared" ca="1" si="5"/>
        <v>11</v>
      </c>
      <c r="H23" s="4">
        <f ca="1">SUM(B17:B23)</f>
        <v>20</v>
      </c>
      <c r="I23" s="4">
        <f t="shared" ref="I23:L23" ca="1" si="12">SUM(C17:C23)</f>
        <v>48</v>
      </c>
      <c r="J23" s="4">
        <f t="shared" ca="1" si="12"/>
        <v>21</v>
      </c>
      <c r="K23" s="4">
        <f t="shared" ca="1" si="12"/>
        <v>3</v>
      </c>
      <c r="L23" s="4">
        <f t="shared" ca="1" si="12"/>
        <v>7</v>
      </c>
    </row>
    <row r="24" spans="1:12" ht="15.75" x14ac:dyDescent="0.2">
      <c r="A24" s="265">
        <v>22</v>
      </c>
      <c r="B24" s="117">
        <f t="shared" ca="1" si="0"/>
        <v>3</v>
      </c>
      <c r="C24" s="117">
        <f t="shared" ca="1" si="1"/>
        <v>8</v>
      </c>
      <c r="D24" s="117">
        <f t="shared" ca="1" si="2"/>
        <v>0</v>
      </c>
      <c r="E24" s="117">
        <f t="shared" ca="1" si="3"/>
        <v>0</v>
      </c>
      <c r="F24" s="117">
        <f t="shared" ca="1" si="4"/>
        <v>0</v>
      </c>
      <c r="G24" s="117">
        <f t="shared" ca="1" si="5"/>
        <v>11</v>
      </c>
      <c r="H24" s="4">
        <f ca="1">H23*20</f>
        <v>400</v>
      </c>
      <c r="I24" s="4">
        <f t="shared" ref="I24:L24" ca="1" si="13">I23*20</f>
        <v>960</v>
      </c>
      <c r="J24" s="4">
        <f t="shared" ca="1" si="13"/>
        <v>420</v>
      </c>
      <c r="K24" s="4">
        <f t="shared" ca="1" si="13"/>
        <v>60</v>
      </c>
      <c r="L24" s="4">
        <f t="shared" ca="1" si="13"/>
        <v>140</v>
      </c>
    </row>
    <row r="25" spans="1:12" ht="15.75" x14ac:dyDescent="0.2">
      <c r="A25" s="265">
        <v>23</v>
      </c>
      <c r="B25" s="117">
        <f t="shared" ca="1" si="0"/>
        <v>2</v>
      </c>
      <c r="C25" s="117">
        <f t="shared" ca="1" si="1"/>
        <v>6</v>
      </c>
      <c r="D25" s="117">
        <f t="shared" ca="1" si="2"/>
        <v>3</v>
      </c>
      <c r="E25" s="117">
        <f t="shared" ca="1" si="3"/>
        <v>0</v>
      </c>
      <c r="F25" s="117">
        <f t="shared" ca="1" si="4"/>
        <v>1</v>
      </c>
      <c r="G25" s="117">
        <f t="shared" ca="1" si="5"/>
        <v>12</v>
      </c>
    </row>
    <row r="26" spans="1:12" ht="15.75" x14ac:dyDescent="0.2">
      <c r="A26" s="265">
        <v>24</v>
      </c>
      <c r="B26" s="117">
        <f t="shared" ca="1" si="0"/>
        <v>1</v>
      </c>
      <c r="C26" s="117">
        <f t="shared" ca="1" si="1"/>
        <v>6</v>
      </c>
      <c r="D26" s="117">
        <f t="shared" ca="1" si="2"/>
        <v>3</v>
      </c>
      <c r="E26" s="117">
        <f t="shared" ca="1" si="3"/>
        <v>1</v>
      </c>
      <c r="F26" s="117">
        <f t="shared" ca="1" si="4"/>
        <v>1</v>
      </c>
      <c r="G26" s="117">
        <f t="shared" ca="1" si="5"/>
        <v>12</v>
      </c>
    </row>
    <row r="27" spans="1:12" ht="15.75" x14ac:dyDescent="0.2">
      <c r="A27" s="265">
        <v>25</v>
      </c>
      <c r="B27" s="117">
        <f t="shared" ca="1" si="0"/>
        <v>2</v>
      </c>
      <c r="C27" s="117">
        <f t="shared" ca="1" si="1"/>
        <v>6</v>
      </c>
      <c r="D27" s="117">
        <f t="shared" ca="1" si="2"/>
        <v>3</v>
      </c>
      <c r="E27" s="117">
        <f t="shared" ca="1" si="3"/>
        <v>0</v>
      </c>
      <c r="F27" s="117">
        <f t="shared" ca="1" si="4"/>
        <v>1</v>
      </c>
      <c r="G27" s="117">
        <f t="shared" ca="1" si="5"/>
        <v>12</v>
      </c>
    </row>
    <row r="28" spans="1:12" ht="15.75" x14ac:dyDescent="0.2">
      <c r="A28" s="265">
        <v>26</v>
      </c>
      <c r="B28" s="117">
        <f t="shared" ca="1" si="0"/>
        <v>1</v>
      </c>
      <c r="C28" s="117">
        <f t="shared" ca="1" si="1"/>
        <v>8</v>
      </c>
      <c r="D28" s="117">
        <f t="shared" ca="1" si="2"/>
        <v>3</v>
      </c>
      <c r="E28" s="117">
        <f t="shared" ca="1" si="3"/>
        <v>1</v>
      </c>
      <c r="F28" s="117">
        <f t="shared" ca="1" si="4"/>
        <v>2</v>
      </c>
      <c r="G28" s="117">
        <f t="shared" ca="1" si="5"/>
        <v>15</v>
      </c>
    </row>
    <row r="29" spans="1:12" ht="15.75" x14ac:dyDescent="0.2">
      <c r="A29" s="265">
        <v>27</v>
      </c>
      <c r="B29" s="117">
        <f t="shared" ca="1" si="0"/>
        <v>2</v>
      </c>
      <c r="C29" s="117">
        <f t="shared" ca="1" si="1"/>
        <v>7</v>
      </c>
      <c r="D29" s="117">
        <f t="shared" ca="1" si="2"/>
        <v>3</v>
      </c>
      <c r="E29" s="117">
        <f t="shared" ca="1" si="3"/>
        <v>0</v>
      </c>
      <c r="F29" s="117">
        <f t="shared" ca="1" si="4"/>
        <v>1</v>
      </c>
      <c r="G29" s="117">
        <f t="shared" ca="1" si="5"/>
        <v>13</v>
      </c>
    </row>
    <row r="30" spans="1:12" ht="15.75" x14ac:dyDescent="0.2">
      <c r="A30" s="265">
        <v>28</v>
      </c>
      <c r="B30" s="117">
        <f t="shared" ca="1" si="0"/>
        <v>1</v>
      </c>
      <c r="C30" s="117">
        <f t="shared" ca="1" si="1"/>
        <v>8</v>
      </c>
      <c r="D30" s="117">
        <f t="shared" ca="1" si="2"/>
        <v>3</v>
      </c>
      <c r="E30" s="117">
        <f t="shared" ca="1" si="3"/>
        <v>1</v>
      </c>
      <c r="F30" s="117">
        <f t="shared" ca="1" si="4"/>
        <v>1</v>
      </c>
      <c r="G30" s="117">
        <f t="shared" ca="1" si="5"/>
        <v>14</v>
      </c>
    </row>
    <row r="31" spans="1:12" ht="15.75" x14ac:dyDescent="0.2">
      <c r="A31" s="265">
        <v>29</v>
      </c>
      <c r="B31" s="117">
        <f t="shared" ca="1" si="0"/>
        <v>3</v>
      </c>
      <c r="C31" s="117">
        <f t="shared" ca="1" si="1"/>
        <v>6</v>
      </c>
      <c r="D31" s="117">
        <f t="shared" ca="1" si="2"/>
        <v>3</v>
      </c>
      <c r="E31" s="117">
        <f t="shared" ca="1" si="3"/>
        <v>0</v>
      </c>
      <c r="F31" s="117">
        <f t="shared" ca="1" si="4"/>
        <v>1</v>
      </c>
      <c r="G31" s="117">
        <f t="shared" ca="1" si="5"/>
        <v>13</v>
      </c>
    </row>
    <row r="32" spans="1:12" ht="15.75" x14ac:dyDescent="0.2">
      <c r="A32" s="265">
        <v>30</v>
      </c>
      <c r="B32" s="117">
        <f t="shared" ca="1" si="0"/>
        <v>1</v>
      </c>
      <c r="C32" s="117">
        <f t="shared" ca="1" si="1"/>
        <v>8</v>
      </c>
      <c r="D32" s="117">
        <f t="shared" ca="1" si="2"/>
        <v>4</v>
      </c>
      <c r="E32" s="117">
        <f t="shared" ca="1" si="3"/>
        <v>1</v>
      </c>
      <c r="F32" s="117">
        <f t="shared" ca="1" si="4"/>
        <v>1</v>
      </c>
      <c r="G32" s="117">
        <f t="shared" ca="1" si="5"/>
        <v>15</v>
      </c>
    </row>
    <row r="33" spans="1:7" ht="15.75" x14ac:dyDescent="0.2">
      <c r="A33" s="265">
        <v>31</v>
      </c>
      <c r="B33" s="117">
        <f t="shared" ca="1" si="0"/>
        <v>0</v>
      </c>
      <c r="C33" s="117">
        <f t="shared" ca="1" si="1"/>
        <v>0</v>
      </c>
      <c r="D33" s="117">
        <f t="shared" ca="1" si="2"/>
        <v>0</v>
      </c>
      <c r="E33" s="117">
        <f t="shared" ca="1" si="3"/>
        <v>0</v>
      </c>
      <c r="F33" s="117">
        <f t="shared" ca="1" si="4"/>
        <v>0</v>
      </c>
      <c r="G33" s="117">
        <f t="shared" ca="1" si="5"/>
        <v>0</v>
      </c>
    </row>
    <row r="34" spans="1:7" x14ac:dyDescent="0.2">
      <c r="A34" s="484" t="s">
        <v>1446</v>
      </c>
      <c r="B34" s="485"/>
      <c r="C34" s="485"/>
      <c r="D34" s="485"/>
      <c r="E34" s="485"/>
      <c r="F34" s="486"/>
      <c r="G34" s="117">
        <f ca="1">AVERAGE(G3:G33)</f>
        <v>12.935483870967742</v>
      </c>
    </row>
  </sheetData>
  <mergeCells count="1">
    <mergeCell ref="A34:F3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BFD383EA9C304083A8E6AB5C637A38" ma:contentTypeVersion="11" ma:contentTypeDescription="Create a new document." ma:contentTypeScope="" ma:versionID="5d160974693f94d875f8305f9d172a2f">
  <xsd:schema xmlns:xsd="http://www.w3.org/2001/XMLSchema" xmlns:xs="http://www.w3.org/2001/XMLSchema" xmlns:p="http://schemas.microsoft.com/office/2006/metadata/properties" xmlns:ns2="31f5dcea-c448-41ca-a734-66bd8405f415" xmlns:ns3="5dce81ae-c154-4bd7-90f9-1208034f416e" targetNamespace="http://schemas.microsoft.com/office/2006/metadata/properties" ma:root="true" ma:fieldsID="6a03075f69c0583af06fa1baef9fdbdf" ns2:_="" ns3:_="">
    <xsd:import namespace="31f5dcea-c448-41ca-a734-66bd8405f415"/>
    <xsd:import namespace="5dce81ae-c154-4bd7-90f9-1208034f41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5dcea-c448-41ca-a734-66bd8405f4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ce81ae-c154-4bd7-90f9-1208034f416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DF723E-C33B-417A-85DD-47B06F2DDC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40C96B-02E1-446E-9737-C60FE4A64B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f5dcea-c448-41ca-a734-66bd8405f415"/>
    <ds:schemaRef ds:uri="5dce81ae-c154-4bd7-90f9-1208034f41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9EF3DC-15B2-4FB5-8F4D-6B2C844B9C45}">
  <ds:schemaRefs>
    <ds:schemaRef ds:uri="31f5dcea-c448-41ca-a734-66bd8405f415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5dce81ae-c154-4bd7-90f9-1208034f416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43</vt:i4>
      </vt:variant>
    </vt:vector>
  </HeadingPairs>
  <TitlesOfParts>
    <vt:vector size="88" baseType="lpstr">
      <vt:lpstr>List</vt:lpstr>
      <vt:lpstr>Summary (2)</vt:lpstr>
      <vt:lpstr>Graph</vt:lpstr>
      <vt:lpstr>Graph (2)</vt:lpstr>
      <vt:lpstr>1</vt:lpstr>
      <vt:lpstr>2</vt:lpstr>
      <vt:lpstr>3</vt:lpstr>
      <vt:lpstr>4</vt:lpstr>
      <vt:lpstr>5</vt:lpstr>
      <vt:lpstr>Sheet4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Sheet5</vt:lpstr>
      <vt:lpstr>Sheet6</vt:lpstr>
      <vt:lpstr>Sheet7</vt:lpstr>
      <vt:lpstr>27</vt:lpstr>
      <vt:lpstr>28</vt:lpstr>
      <vt:lpstr>29</vt:lpstr>
      <vt:lpstr>30</vt:lpstr>
      <vt:lpstr>31</vt:lpstr>
      <vt:lpstr>Requirement (wk35)</vt:lpstr>
      <vt:lpstr>Sheet1</vt:lpstr>
      <vt:lpstr>Sheet3</vt:lpstr>
      <vt:lpstr>Summary</vt:lpstr>
      <vt:lpstr>Production Plan</vt:lpstr>
      <vt:lpstr>Sheet2</vt:lpstr>
      <vt:lpstr>Affination</vt:lpstr>
      <vt:lpstr>Boiling</vt:lpstr>
      <vt:lpstr>Clarification</vt:lpstr>
      <vt:lpstr>CuringLine1</vt:lpstr>
      <vt:lpstr>CuringLine2</vt:lpstr>
      <vt:lpstr>CuringLine3</vt:lpstr>
      <vt:lpstr>CuringLine4</vt:lpstr>
      <vt:lpstr>LGH</vt:lpstr>
      <vt:lpstr>LiquidSugar</vt:lpstr>
      <vt:lpstr>'1'!Print_Area</vt:lpstr>
      <vt:lpstr>'10'!Print_Area</vt:lpstr>
      <vt:lpstr>'11'!Print_Area</vt:lpstr>
      <vt:lpstr>'12'!Print_Area</vt:lpstr>
      <vt:lpstr>'13'!Print_Area</vt:lpstr>
      <vt:lpstr>'14'!Print_Area</vt:lpstr>
      <vt:lpstr>'15'!Print_Area</vt:lpstr>
      <vt:lpstr>'16'!Print_Area</vt:lpstr>
      <vt:lpstr>'17'!Print_Area</vt:lpstr>
      <vt:lpstr>'18'!Print_Area</vt:lpstr>
      <vt:lpstr>'19'!Print_Area</vt:lpstr>
      <vt:lpstr>'2'!Print_Area</vt:lpstr>
      <vt:lpstr>'20'!Print_Area</vt:lpstr>
      <vt:lpstr>'21'!Print_Area</vt:lpstr>
      <vt:lpstr>'22'!Print_Area</vt:lpstr>
      <vt:lpstr>'23'!Print_Area</vt:lpstr>
      <vt:lpstr>'24'!Print_Area</vt:lpstr>
      <vt:lpstr>'25'!Print_Area</vt:lpstr>
      <vt:lpstr>'26'!Print_Area</vt:lpstr>
      <vt:lpstr>'27'!Print_Area</vt:lpstr>
      <vt:lpstr>'28'!Print_Area</vt:lpstr>
      <vt:lpstr>'29'!Print_Area</vt:lpstr>
      <vt:lpstr>'3'!Print_Area</vt:lpstr>
      <vt:lpstr>'30'!Print_Area</vt:lpstr>
      <vt:lpstr>'31'!Print_Area</vt:lpstr>
      <vt:lpstr>'4'!Print_Area</vt:lpstr>
      <vt:lpstr>'5'!Print_Area</vt:lpstr>
      <vt:lpstr>'6'!Print_Area</vt:lpstr>
      <vt:lpstr>'7'!Print_Area</vt:lpstr>
      <vt:lpstr>'8'!Print_Area</vt:lpstr>
      <vt:lpstr>'9'!Print_Area</vt:lpstr>
      <vt:lpstr>'Production Plan'!Print_Area</vt:lpstr>
      <vt:lpstr>'Summary (2)'!Print_Area</vt:lpstr>
      <vt:lpstr>RawSugarPit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Jaclyn Kelly Tay Shin Ying</dc:creator>
  <cp:keywords/>
  <dc:description/>
  <cp:lastModifiedBy>Jaclyn Kelly Tay Shin Ying</cp:lastModifiedBy>
  <cp:revision/>
  <dcterms:created xsi:type="dcterms:W3CDTF">2019-07-08T06:17:30Z</dcterms:created>
  <dcterms:modified xsi:type="dcterms:W3CDTF">2021-01-14T03:00:47Z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0x010100C1BFD383EA9C304083A8E6AB5C637A38</vt:lpwstr>
  </property>
</Properties>
</file>